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750" activeTab="5"/>
  </bookViews>
  <sheets>
    <sheet name="Intro" sheetId="1" r:id="rId1"/>
    <sheet name="Model" sheetId="2" r:id="rId2"/>
    <sheet name="Practice" sheetId="3" r:id="rId3"/>
    <sheet name="Model (2) - Inflation" sheetId="4" r:id="rId4"/>
    <sheet name="Model (3) - Sunk Costs" sheetId="5" r:id="rId5"/>
    <sheet name="Model (4) - Land" sheetId="6" r:id="rId6"/>
  </sheets>
  <definedNames>
    <definedName name="ZA0" localSheetId="1">"Crystal Ball Data : Ver. 5.0"</definedName>
    <definedName name="ZA0" localSheetId="3">"Crystal Ball Data : Ver. 5.0"</definedName>
    <definedName name="ZA0" localSheetId="4">"Crystal Ball Data : Ver. 5.0"</definedName>
    <definedName name="ZA0" localSheetId="5">"Crystal Ball Data : Ver. 5.0"</definedName>
    <definedName name="ZA0" localSheetId="2">"Crystal Ball Data : Ver. 5.0"</definedName>
    <definedName name="ZA0A" localSheetId="1">2+108</definedName>
    <definedName name="ZA0A" localSheetId="3">2+108</definedName>
    <definedName name="ZA0A" localSheetId="4">2+108</definedName>
    <definedName name="ZA0A" localSheetId="5">2+108</definedName>
    <definedName name="ZA0A" localSheetId="2">2+108</definedName>
    <definedName name="ZA0C" localSheetId="1">0+0</definedName>
    <definedName name="ZA0C" localSheetId="3">0+0</definedName>
    <definedName name="ZA0C" localSheetId="4">0+0</definedName>
    <definedName name="ZA0C" localSheetId="5">0+0</definedName>
    <definedName name="ZA0C" localSheetId="2">0+0</definedName>
    <definedName name="ZA0D" localSheetId="1">0+0</definedName>
    <definedName name="ZA0D" localSheetId="3">0+0</definedName>
    <definedName name="ZA0D" localSheetId="4">0+0</definedName>
    <definedName name="ZA0D" localSheetId="5">0+0</definedName>
    <definedName name="ZA0D" localSheetId="2">0+0</definedName>
    <definedName name="ZA0F" localSheetId="1">1+104</definedName>
    <definedName name="ZA0F" localSheetId="3">1+104</definedName>
    <definedName name="ZA0F" localSheetId="4">1+104</definedName>
    <definedName name="ZA0F" localSheetId="5">1+104</definedName>
    <definedName name="ZA0F" localSheetId="2">1+104</definedName>
    <definedName name="ZA0T" localSheetId="1">10886644+0</definedName>
    <definedName name="ZA0T" localSheetId="3">10886644+0</definedName>
    <definedName name="ZA0T" localSheetId="4">10886644+0</definedName>
    <definedName name="ZA0T" localSheetId="5">10886644+0</definedName>
    <definedName name="ZA0T" localSheetId="2">10886644+0</definedName>
    <definedName name="ZA107" localSheetId="1">'Model'!#REF!+"aD10"+16929+1800+400</definedName>
    <definedName name="ZA107" localSheetId="3">'Model (2) - Inflation'!#REF!+"aD10"+16929+1800+400</definedName>
    <definedName name="ZA107" localSheetId="4">'Model (3) - Sunk Costs'!#REF!+"aD10"+16929+1800+400</definedName>
    <definedName name="ZA107" localSheetId="5">'Model (4) - Land'!#REF!+"aD10"+16929+1800+400</definedName>
    <definedName name="ZA107" localSheetId="2">'Practice'!#REF!+"aD10"+16929+1800+400</definedName>
    <definedName name="ZA108" localSheetId="1">'Model'!$B$88+"lD5"+16929+575+0.05+1+25+55+"+"+25+9+9+3+0+0+8</definedName>
    <definedName name="ZA108" localSheetId="3">'Model (2) - Inflation'!$B$88+"lD5"+16929+575+0.05+1+25+55+"+"+25+9+9+3+0+0+8</definedName>
    <definedName name="ZA108" localSheetId="4">'Model (3) - Sunk Costs'!$B$89+"lD5"+16929+575+0.05+1+25+55+"+"+25+9+9+3+0+0+8</definedName>
    <definedName name="ZA108" localSheetId="5">'Model (4) - Land'!$B$91+"lD5"+16929+575+0.05+1+25+55+"+"+25+9+9+3+0+0+8</definedName>
    <definedName name="ZA108" localSheetId="2">'Practice'!$B$88+"lD5"+16929+575+0.05+1+25+55+"+"+25+9+9+3+0+0+8</definedName>
    <definedName name="ZA108AA" localSheetId="1">0+0.025+25+0+0.025+35+0+0.25+"?"+0+0.05+35+0+0.05+45+0+0.5+"?"+0+0.025+45+0+0.025+55+0+0.25+"?"+9</definedName>
    <definedName name="ZA108AA" localSheetId="3">0+0.025+25+0+0.025+35+0+0.25+"?"+0+0.05+35+0+0.05+45+0+0.5+"?"+0+0.025+45+0+0.025+55+0+0.25+"?"+9</definedName>
    <definedName name="ZA108AA" localSheetId="4">0+0.025+25+0+0.025+35+0+0.25+"?"+0+0.05+35+0+0.05+45+0+0.5+"?"+0+0.025+45+0+0.025+55+0+0.25+"?"+9</definedName>
    <definedName name="ZA108AA" localSheetId="5">0+0.025+25+0+0.025+35+0+0.25+"?"+0+0.05+35+0+0.05+45+0+0.5+"?"+0+0.025+45+0+0.025+55+0+0.25+"?"+9</definedName>
    <definedName name="ZA108AA" localSheetId="2">0+0.025+25+0+0.025+35+0+0.25+"?"+0+0.05+35+0+0.05+45+0+0.5+"?"+0+0.025+45+0+0.025+55+0+0.25+"?"+9</definedName>
    <definedName name="ZF104" localSheetId="1">'Model'!#REF!+"NPV"+"1000 VND"+1+1+409+0+0+0+0+4+3+"-"+"+"+2.6+50+2+4+95+325110.785486369+5</definedName>
    <definedName name="ZF104" localSheetId="3">'Model (2) - Inflation'!#REF!+"NPV"+"1000 VND"+1+1+409+0+0+0+0+4+3+"-"+"+"+2.6+50+2+4+95+325110.785486369+5</definedName>
    <definedName name="ZF104" localSheetId="4">'Model (3) - Sunk Costs'!#REF!+"NPV"+"1000 VND"+1+1+409+0+0+0+0+4+3+"-"+"+"+2.6+50+2+4+95+325110.785486369+5</definedName>
    <definedName name="ZF104" localSheetId="5">'Model (4) - Land'!#REF!+"NPV"+"1000 VND"+1+1+409+0+0+0+0+4+3+"-"+"+"+2.6+50+2+4+95+325110.785486369+5</definedName>
    <definedName name="ZF104" localSheetId="2">'Practice'!#REF!+"NPV"+"1000 VND"+1+1+409+0+0+0+0+4+3+"-"+"+"+2.6+50+2+4+95+325110.785486369+5</definedName>
  </definedNames>
  <calcPr fullCalcOnLoad="1"/>
</workbook>
</file>

<file path=xl/sharedStrings.xml><?xml version="1.0" encoding="utf-8"?>
<sst xmlns="http://schemas.openxmlformats.org/spreadsheetml/2006/main" count="961" uniqueCount="144">
  <si>
    <t>Doanh thu</t>
  </si>
  <si>
    <t>EBIT</t>
  </si>
  <si>
    <t>xe</t>
  </si>
  <si>
    <t>Số ngày hoạt động/năm</t>
  </si>
  <si>
    <t>Vốn lưu động</t>
  </si>
  <si>
    <t>Khoản phải thu</t>
  </si>
  <si>
    <t>Khoản phải trả</t>
  </si>
  <si>
    <t>Huy động vốn</t>
  </si>
  <si>
    <t>Kỳ thanh toán</t>
  </si>
  <si>
    <t>năm</t>
  </si>
  <si>
    <t>Tỉ lệ lạm phát trong nước</t>
  </si>
  <si>
    <t>Chi phí hoạt động</t>
  </si>
  <si>
    <t>Chi phí bảo trì</t>
  </si>
  <si>
    <t>Bảo hiểm</t>
  </si>
  <si>
    <t>Nợ đầu kỳ</t>
  </si>
  <si>
    <t>Nợ cuối kỳ</t>
  </si>
  <si>
    <t>Khấu hao tích lũy</t>
  </si>
  <si>
    <t>Chi phí lãi vay</t>
  </si>
  <si>
    <t>Lợi nhuận trước thuế</t>
  </si>
  <si>
    <t>Tổng dòng tiền ra</t>
  </si>
  <si>
    <t>Thuế thu nhập doanh nghiệp</t>
  </si>
  <si>
    <t>IRR thực</t>
  </si>
  <si>
    <t>Nhiên liệu</t>
  </si>
  <si>
    <t>đô-la</t>
  </si>
  <si>
    <t>Chi phí quản lý, năm</t>
  </si>
  <si>
    <t>Tồn quỹ tiền mặt</t>
  </si>
  <si>
    <t>Giá trị sổ sách đầu năm</t>
  </si>
  <si>
    <t>Mức khấu hao năm</t>
  </si>
  <si>
    <t>Giá trị sổ sách cuối năm</t>
  </si>
  <si>
    <t>Tổng dòng tiền vào</t>
  </si>
  <si>
    <t>Chi phí đầu tư</t>
  </si>
  <si>
    <t>IRR danh nghĩa</t>
  </si>
  <si>
    <t>doanh thu</t>
  </si>
  <si>
    <t>Thuế nhập khẩu</t>
  </si>
  <si>
    <t>Tỉ giá hối đoái</t>
  </si>
  <si>
    <t>(triệu đồng)</t>
  </si>
  <si>
    <t>Thay đổi khoản phải thu</t>
  </si>
  <si>
    <t>Chi phí quản lý</t>
  </si>
  <si>
    <t>Giá nhập khẩu - CIF/xe</t>
  </si>
  <si>
    <t>Vay dài hạn</t>
  </si>
  <si>
    <t>Trả nợ đều, trong đó:</t>
  </si>
  <si>
    <t>triệu đồng</t>
  </si>
  <si>
    <t>Thanh lý tài sản cố định</t>
  </si>
  <si>
    <t>Hàng tồn kho</t>
  </si>
  <si>
    <t>ngày</t>
  </si>
  <si>
    <t>km</t>
  </si>
  <si>
    <t>vốn đầu tư</t>
  </si>
  <si>
    <t>Chi đầu tư</t>
  </si>
  <si>
    <t>Thời gian khấu hao (đều)</t>
  </si>
  <si>
    <t xml:space="preserve">Vòng đời dự án </t>
  </si>
  <si>
    <t>Tiền mặt</t>
  </si>
  <si>
    <t>Trong đó, thời gian thanh lý</t>
  </si>
  <si>
    <t>Chi phí thanh lý</t>
  </si>
  <si>
    <t>giá trị thanh lý TSCĐ</t>
  </si>
  <si>
    <t>chi phí nhiên liệu+bảo trì</t>
  </si>
  <si>
    <t>Chi phí thanh lý tài sản cố định</t>
  </si>
  <si>
    <t>Bảng thông số</t>
  </si>
  <si>
    <t>Vĩ mô</t>
  </si>
  <si>
    <t>Thuế TNDN và suất chiết khấu</t>
  </si>
  <si>
    <t>Lợi nhuận ròng</t>
  </si>
  <si>
    <t>NPV</t>
  </si>
  <si>
    <t>Chiều dài tuyến</t>
  </si>
  <si>
    <t>Số chuyến/xe/ngày</t>
  </si>
  <si>
    <t>hành khách</t>
  </si>
  <si>
    <t>Giá vé/khách/chuyến</t>
  </si>
  <si>
    <t>Tỷ lệ trợ giá/giá vé</t>
  </si>
  <si>
    <t>đồng</t>
  </si>
  <si>
    <t>Lương tài xế/tháng</t>
  </si>
  <si>
    <t>Lương nhân viên soát vé/tháng</t>
  </si>
  <si>
    <t>Lương tài xế &amp; NV soát vé</t>
  </si>
  <si>
    <t>Tiêu thụ dầu diesel/km/xe</t>
  </si>
  <si>
    <t>Giá dầu diesel</t>
  </si>
  <si>
    <t>đồng/lít</t>
  </si>
  <si>
    <t>lít/km</t>
  </si>
  <si>
    <t>đồng/xe/tháng</t>
  </si>
  <si>
    <t>Phí bảo hiểm/số tiền bảo hiểm (3 năm đầu)</t>
  </si>
  <si>
    <t>Phí bảo hiểm/số tiền bảo hiểm (2 năm tiếp theo)</t>
  </si>
  <si>
    <r>
      <t>r</t>
    </r>
    <r>
      <rPr>
        <i/>
        <vertAlign val="subscript"/>
        <sz val="10"/>
        <rFont val="Arial"/>
        <family val="2"/>
      </rPr>
      <t>E</t>
    </r>
    <r>
      <rPr>
        <i/>
        <sz val="10"/>
        <rFont val="Arial"/>
        <family val="2"/>
      </rPr>
      <t xml:space="preserve"> danh nghĩa</t>
    </r>
  </si>
  <si>
    <t>Thay đổi khoản phải trả</t>
  </si>
  <si>
    <t>đồng/đô-la</t>
  </si>
  <si>
    <t>Tỉ lệ tăng hành khách/năm</t>
  </si>
  <si>
    <t>Số khách bình quân/chuyến vào năm 1</t>
  </si>
  <si>
    <t>Số lượng xe nhập khẩu</t>
  </si>
  <si>
    <t>DỰ ÁN XE BUÝT CHỢ LỚN - GÒ VẤP</t>
  </si>
  <si>
    <t>Tốc độ điều chỉnh giá vé hàng năm</t>
  </si>
  <si>
    <t>Giá vé quy định (đồng)</t>
  </si>
  <si>
    <t>Số xe dự phòng</t>
  </si>
  <si>
    <t>Tổng số km hoạt động bình quân ngày</t>
  </si>
  <si>
    <t>chuyến</t>
  </si>
  <si>
    <t>Lượng hành khách/chuyến</t>
  </si>
  <si>
    <t>Doanh thu không trợ giá, triệu VNĐ</t>
  </si>
  <si>
    <t>Trợ giá, triệu VNĐ</t>
  </si>
  <si>
    <t>Mức trợ giá (đồng)</t>
  </si>
  <si>
    <t>trợ giá</t>
  </si>
  <si>
    <t>WACC^ danh nghĩa</t>
  </si>
  <si>
    <t>WACC^ thực</t>
  </si>
  <si>
    <t>BẢNG TÍNH EXCEL</t>
  </si>
  <si>
    <t>LẬP MÔ HÌNH TÀI CHÍNH DỰ ÁN XE BUÝT CHỢ LỚN - GÒ VẤP</t>
  </si>
  <si>
    <t>Đây là bảng tính Excel do Nguyễn Tấn Bình và Nguyễn Xuân Thành, giảng viên tại Chương trình Giảng dạy Kinh tế Fulbright soạn.</t>
  </si>
  <si>
    <t>Chi phí đầu tư ban đầu</t>
  </si>
  <si>
    <t>Thay đổi vốn lưu động</t>
  </si>
  <si>
    <t>Báo cáo kết quả hoạt động kinh doanh</t>
  </si>
  <si>
    <t>NGÂN LƯU VÀO</t>
  </si>
  <si>
    <t>NGÂN LƯU RA</t>
  </si>
  <si>
    <t>Ngân lưu ròng dự án, thực</t>
  </si>
  <si>
    <t>Ngân lưu ròng dự án, danh nghĩa</t>
  </si>
  <si>
    <t>Ngân lưu nợ vay</t>
  </si>
  <si>
    <t>IRR nợ vay</t>
  </si>
  <si>
    <t>Giải ngân nợ</t>
  </si>
  <si>
    <t>Trả lãi</t>
  </si>
  <si>
    <t>Lãi suất, danh nghĩa</t>
  </si>
  <si>
    <t>Lãi suất, thực</t>
  </si>
  <si>
    <t>Báo cáo ngân lưu danh nghĩa</t>
  </si>
  <si>
    <t>Báo cáo ngân lưu thực</t>
  </si>
  <si>
    <t>Quan điểm tổng đầu tư</t>
  </si>
  <si>
    <t>Quan điểm chủ đầu tư</t>
  </si>
  <si>
    <t>Ngân lưu ròng chủ đầu tư, danh nghĩa</t>
  </si>
  <si>
    <t>Ngân lưu ròng chủ đầu tư, thực</t>
  </si>
  <si>
    <r>
      <t>r</t>
    </r>
    <r>
      <rPr>
        <i/>
        <vertAlign val="subscript"/>
        <sz val="10"/>
        <rFont val="Arial"/>
        <family val="2"/>
      </rPr>
      <t>E</t>
    </r>
    <r>
      <rPr>
        <i/>
        <sz val="10"/>
        <rFont val="Arial"/>
        <family val="2"/>
      </rPr>
      <t xml:space="preserve"> thực</t>
    </r>
  </si>
  <si>
    <t>Suất chiết khấu</t>
  </si>
  <si>
    <t>Chỉ số giá</t>
  </si>
  <si>
    <t>Chỉ số giá VNĐ</t>
  </si>
  <si>
    <t>Thay đổi cân đối tiền mặt</t>
  </si>
  <si>
    <t>Khấu hao</t>
  </si>
  <si>
    <t>Tổng chi phí hoạt động</t>
  </si>
  <si>
    <t>Gốc và lãi trả đều</t>
  </si>
  <si>
    <t xml:space="preserve">Gốc trả đều </t>
  </si>
  <si>
    <t>Lịch nợ vay: Gốc trả đều</t>
  </si>
  <si>
    <t>Lịch nợ vay: Gốc và lãi trả đều</t>
  </si>
  <si>
    <t>Trả nợ gốc</t>
  </si>
  <si>
    <t xml:space="preserve">    Nợ gốc</t>
  </si>
  <si>
    <t>Chi phí vốn chủ sở hữu, danh nghĩa</t>
  </si>
  <si>
    <t>Thuế suất thuế thu nhập doanh nghiệp</t>
  </si>
  <si>
    <t>Thuế TNDN</t>
  </si>
  <si>
    <t>Cân đối tiền mặt</t>
  </si>
  <si>
    <t>Giá trị đất thu hồi</t>
  </si>
  <si>
    <t>PV</t>
  </si>
  <si>
    <t>Chênh lệch PV khi lạm phát thay đổi</t>
  </si>
  <si>
    <t>Chi phí đầu tư xe</t>
  </si>
  <si>
    <t>Tổng chi phí đầu tư</t>
  </si>
  <si>
    <t>Nếu tính cả chi phí chìm</t>
  </si>
  <si>
    <t>Chi phí mua đất</t>
  </si>
  <si>
    <t>Chi phí đầu tư mua đất</t>
  </si>
  <si>
    <t>Chi phí chuẩn bị dự án đã thực hiện (trước 2013)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</si>
</sst>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0.0%"/>
    <numFmt numFmtId="168" formatCode="0.00000%"/>
    <numFmt numFmtId="169" formatCode="0.000000%"/>
    <numFmt numFmtId="170" formatCode="0.0000%"/>
    <numFmt numFmtId="171" formatCode="0.000%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$&quot;#,##0.0_);[Red]\(&quot;$&quot;#,##0.0\)"/>
    <numFmt numFmtId="181" formatCode="0.0000000%"/>
    <numFmt numFmtId="182" formatCode="0.000000000000000%"/>
    <numFmt numFmtId="183" formatCode="0.00000000000000%"/>
    <numFmt numFmtId="184" formatCode="0.0000000000000%"/>
    <numFmt numFmtId="185" formatCode="0.000000000000%"/>
    <numFmt numFmtId="186" formatCode="0.00000000000%"/>
    <numFmt numFmtId="187" formatCode="0.0000000000%"/>
    <numFmt numFmtId="188" formatCode="0.000000000%"/>
    <numFmt numFmtId="189" formatCode="0.00000000%"/>
    <numFmt numFmtId="190" formatCode="_(* #,##0.0_);_(* \(#,##0.0\);_(* &quot;-&quot;??_);_(@_)"/>
    <numFmt numFmtId="191" formatCode="_(* #,##0_);_(* \(#,##0\);_(* &quot;-&quot;??_);_(@_)"/>
    <numFmt numFmtId="192" formatCode="_(* #,##0.0_);_(* \(#,##0.0\);_(* &quot;-&quot;?_);_(@_)"/>
    <numFmt numFmtId="193" formatCode="_(* #,##0.000_);_(* \(#,##0.000\);_(* &quot;-&quot;??_);_(@_)"/>
    <numFmt numFmtId="194" formatCode="00000"/>
    <numFmt numFmtId="195" formatCode="&quot;$&quot;#,##0.00"/>
    <numFmt numFmtId="196" formatCode="0E+00"/>
    <numFmt numFmtId="197" formatCode="0.00000000"/>
    <numFmt numFmtId="198" formatCode="_(* #,##0.000_);_(* \(#,##0.000\);_(* &quot;-&quot;???_);_(@_)"/>
  </numFmts>
  <fonts count="66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6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3"/>
      <name val="Arial"/>
      <family val="2"/>
    </font>
    <font>
      <sz val="10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2"/>
      <color theme="1"/>
      <name val="Arial"/>
      <family val="2"/>
    </font>
    <font>
      <sz val="6"/>
      <name val="Calibri"/>
      <family val="2"/>
    </font>
    <font>
      <b/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sz val="10"/>
      <color theme="1" tint="0.49998000264167786"/>
      <name val="Calibri"/>
      <family val="2"/>
    </font>
    <font>
      <sz val="10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91" fontId="54" fillId="0" borderId="0" xfId="42" applyNumberFormat="1" applyFont="1" applyAlignment="1">
      <alignment/>
    </xf>
    <xf numFmtId="0" fontId="55" fillId="0" borderId="0" xfId="0" applyFont="1" applyAlignment="1">
      <alignment horizontal="left"/>
    </xf>
    <xf numFmtId="0" fontId="54" fillId="0" borderId="0" xfId="0" applyFont="1" applyAlignment="1">
      <alignment/>
    </xf>
    <xf numFmtId="9" fontId="54" fillId="0" borderId="0" xfId="0" applyNumberFormat="1" applyFont="1" applyFill="1" applyBorder="1" applyAlignment="1">
      <alignment horizontal="right"/>
    </xf>
    <xf numFmtId="9" fontId="54" fillId="0" borderId="0" xfId="0" applyNumberFormat="1" applyFont="1" applyBorder="1" applyAlignment="1">
      <alignment horizontal="center"/>
    </xf>
    <xf numFmtId="9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54" fillId="0" borderId="0" xfId="0" applyFont="1" applyFill="1" applyAlignment="1">
      <alignment/>
    </xf>
    <xf numFmtId="0" fontId="56" fillId="0" borderId="0" xfId="0" applyFont="1" applyAlignment="1">
      <alignment/>
    </xf>
    <xf numFmtId="9" fontId="54" fillId="0" borderId="0" xfId="0" applyNumberFormat="1" applyFont="1" applyFill="1" applyAlignment="1">
      <alignment/>
    </xf>
    <xf numFmtId="10" fontId="54" fillId="0" borderId="0" xfId="0" applyNumberFormat="1" applyFont="1" applyAlignment="1">
      <alignment/>
    </xf>
    <xf numFmtId="9" fontId="54" fillId="0" borderId="0" xfId="60" applyNumberFormat="1" applyFont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 horizontal="left"/>
    </xf>
    <xf numFmtId="167" fontId="54" fillId="0" borderId="0" xfId="0" applyNumberFormat="1" applyFont="1" applyAlignment="1">
      <alignment/>
    </xf>
    <xf numFmtId="167" fontId="54" fillId="0" borderId="0" xfId="60" applyNumberFormat="1" applyFont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4" fillId="0" borderId="0" xfId="0" applyFont="1" applyBorder="1" applyAlignment="1">
      <alignment/>
    </xf>
    <xf numFmtId="2" fontId="54" fillId="0" borderId="0" xfId="0" applyNumberFormat="1" applyFont="1" applyBorder="1" applyAlignment="1">
      <alignment/>
    </xf>
    <xf numFmtId="0" fontId="54" fillId="0" borderId="12" xfId="0" applyFont="1" applyBorder="1" applyAlignment="1">
      <alignment/>
    </xf>
    <xf numFmtId="0" fontId="56" fillId="0" borderId="0" xfId="0" applyFont="1" applyAlignment="1">
      <alignment horizontal="left"/>
    </xf>
    <xf numFmtId="1" fontId="54" fillId="0" borderId="0" xfId="0" applyNumberFormat="1" applyFont="1" applyBorder="1" applyAlignment="1">
      <alignment/>
    </xf>
    <xf numFmtId="0" fontId="57" fillId="0" borderId="13" xfId="0" applyFont="1" applyBorder="1" applyAlignment="1">
      <alignment/>
    </xf>
    <xf numFmtId="191" fontId="54" fillId="0" borderId="12" xfId="42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0" fontId="55" fillId="0" borderId="0" xfId="0" applyFont="1" applyBorder="1" applyAlignment="1">
      <alignment/>
    </xf>
    <xf numFmtId="191" fontId="55" fillId="0" borderId="0" xfId="42" applyNumberFormat="1" applyFont="1" applyAlignment="1">
      <alignment/>
    </xf>
    <xf numFmtId="0" fontId="54" fillId="0" borderId="14" xfId="0" applyFont="1" applyBorder="1" applyAlignment="1">
      <alignment/>
    </xf>
    <xf numFmtId="191" fontId="54" fillId="0" borderId="12" xfId="42" applyNumberFormat="1" applyFont="1" applyBorder="1" applyAlignment="1">
      <alignment/>
    </xf>
    <xf numFmtId="191" fontId="54" fillId="0" borderId="0" xfId="42" applyNumberFormat="1" applyFont="1" applyBorder="1" applyAlignment="1">
      <alignment/>
    </xf>
    <xf numFmtId="191" fontId="54" fillId="13" borderId="0" xfId="42" applyNumberFormat="1" applyFont="1" applyFill="1" applyBorder="1" applyAlignment="1">
      <alignment/>
    </xf>
    <xf numFmtId="191" fontId="55" fillId="0" borderId="12" xfId="42" applyNumberFormat="1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191" fontId="54" fillId="0" borderId="0" xfId="42" applyNumberFormat="1" applyFont="1" applyFill="1" applyAlignment="1">
      <alignment/>
    </xf>
    <xf numFmtId="1" fontId="54" fillId="0" borderId="0" xfId="0" applyNumberFormat="1" applyFont="1" applyAlignment="1">
      <alignment/>
    </xf>
    <xf numFmtId="191" fontId="54" fillId="0" borderId="0" xfId="0" applyNumberFormat="1" applyFont="1" applyFill="1" applyAlignment="1">
      <alignment/>
    </xf>
    <xf numFmtId="0" fontId="55" fillId="0" borderId="17" xfId="0" applyFont="1" applyBorder="1" applyAlignment="1">
      <alignment/>
    </xf>
    <xf numFmtId="191" fontId="55" fillId="0" borderId="17" xfId="42" applyNumberFormat="1" applyFont="1" applyBorder="1" applyAlignment="1">
      <alignment/>
    </xf>
    <xf numFmtId="191" fontId="55" fillId="0" borderId="17" xfId="42" applyNumberFormat="1" applyFont="1" applyFill="1" applyBorder="1" applyAlignment="1">
      <alignment/>
    </xf>
    <xf numFmtId="167" fontId="56" fillId="13" borderId="0" xfId="0" applyNumberFormat="1" applyFont="1" applyFill="1" applyAlignment="1">
      <alignment/>
    </xf>
    <xf numFmtId="191" fontId="55" fillId="33" borderId="0" xfId="42" applyNumberFormat="1" applyFont="1" applyFill="1" applyAlignment="1">
      <alignment/>
    </xf>
    <xf numFmtId="43" fontId="54" fillId="0" borderId="0" xfId="42" applyNumberFormat="1" applyFont="1" applyAlignment="1">
      <alignment/>
    </xf>
    <xf numFmtId="43" fontId="54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10" fontId="55" fillId="13" borderId="0" xfId="60" applyNumberFormat="1" applyFont="1" applyFill="1" applyAlignment="1">
      <alignment/>
    </xf>
    <xf numFmtId="9" fontId="54" fillId="0" borderId="0" xfId="60" applyNumberFormat="1" applyFont="1" applyAlignment="1">
      <alignment/>
    </xf>
    <xf numFmtId="0" fontId="5" fillId="34" borderId="0" xfId="57" applyFont="1" applyFill="1" applyAlignment="1">
      <alignment horizontal="center"/>
      <protection/>
    </xf>
    <xf numFmtId="0" fontId="49" fillId="0" borderId="0" xfId="57">
      <alignment/>
      <protection/>
    </xf>
    <xf numFmtId="0" fontId="58" fillId="34" borderId="0" xfId="57" applyFont="1" applyFill="1" applyAlignment="1">
      <alignment horizontal="center"/>
      <protection/>
    </xf>
    <xf numFmtId="0" fontId="6" fillId="34" borderId="0" xfId="57" applyFont="1" applyFill="1" applyAlignment="1">
      <alignment horizontal="center"/>
      <protection/>
    </xf>
    <xf numFmtId="0" fontId="7" fillId="34" borderId="0" xfId="57" applyFont="1" applyFill="1" applyAlignment="1">
      <alignment horizontal="center"/>
      <protection/>
    </xf>
    <xf numFmtId="0" fontId="0" fillId="34" borderId="0" xfId="57" applyFont="1" applyFill="1">
      <alignment/>
      <protection/>
    </xf>
    <xf numFmtId="0" fontId="49" fillId="34" borderId="0" xfId="57" applyFill="1">
      <alignment/>
      <protection/>
    </xf>
    <xf numFmtId="0" fontId="55" fillId="0" borderId="12" xfId="0" applyFont="1" applyBorder="1" applyAlignment="1">
      <alignment/>
    </xf>
    <xf numFmtId="0" fontId="55" fillId="0" borderId="17" xfId="0" applyFont="1" applyFill="1" applyBorder="1" applyAlignment="1">
      <alignment/>
    </xf>
    <xf numFmtId="191" fontId="55" fillId="0" borderId="12" xfId="42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10" fontId="56" fillId="0" borderId="0" xfId="0" applyNumberFormat="1" applyFont="1" applyFill="1" applyAlignment="1">
      <alignment/>
    </xf>
    <xf numFmtId="9" fontId="56" fillId="0" borderId="0" xfId="60" applyFont="1" applyAlignment="1">
      <alignment/>
    </xf>
    <xf numFmtId="191" fontId="55" fillId="0" borderId="0" xfId="42" applyNumberFormat="1" applyFont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91" fontId="55" fillId="0" borderId="0" xfId="42" applyNumberFormat="1" applyFont="1" applyFill="1" applyBorder="1" applyAlignment="1">
      <alignment/>
    </xf>
    <xf numFmtId="0" fontId="55" fillId="0" borderId="18" xfId="0" applyFont="1" applyBorder="1" applyAlignment="1">
      <alignment/>
    </xf>
    <xf numFmtId="2" fontId="59" fillId="0" borderId="0" xfId="0" applyNumberFormat="1" applyFont="1" applyBorder="1" applyAlignment="1">
      <alignment/>
    </xf>
    <xf numFmtId="174" fontId="54" fillId="0" borderId="0" xfId="0" applyNumberFormat="1" applyFont="1" applyBorder="1" applyAlignment="1">
      <alignment/>
    </xf>
    <xf numFmtId="191" fontId="54" fillId="0" borderId="0" xfId="0" applyNumberFormat="1" applyFont="1" applyAlignment="1">
      <alignment/>
    </xf>
    <xf numFmtId="191" fontId="54" fillId="0" borderId="0" xfId="42" applyNumberFormat="1" applyFont="1" applyFill="1" applyBorder="1" applyAlignment="1">
      <alignment/>
    </xf>
    <xf numFmtId="191" fontId="54" fillId="0" borderId="12" xfId="0" applyNumberFormat="1" applyFont="1" applyBorder="1" applyAlignment="1">
      <alignment/>
    </xf>
    <xf numFmtId="0" fontId="55" fillId="7" borderId="0" xfId="0" applyFont="1" applyFill="1" applyAlignment="1">
      <alignment horizontal="center"/>
    </xf>
    <xf numFmtId="0" fontId="54" fillId="7" borderId="0" xfId="0" applyFont="1" applyFill="1" applyAlignment="1">
      <alignment/>
    </xf>
    <xf numFmtId="191" fontId="54" fillId="7" borderId="0" xfId="0" applyNumberFormat="1" applyFont="1" applyFill="1" applyAlignment="1">
      <alignment/>
    </xf>
    <xf numFmtId="191" fontId="54" fillId="7" borderId="12" xfId="0" applyNumberFormat="1" applyFont="1" applyFill="1" applyBorder="1" applyAlignment="1">
      <alignment/>
    </xf>
    <xf numFmtId="191" fontId="55" fillId="7" borderId="17" xfId="0" applyNumberFormat="1" applyFont="1" applyFill="1" applyBorder="1" applyAlignment="1">
      <alignment/>
    </xf>
    <xf numFmtId="0" fontId="57" fillId="0" borderId="0" xfId="0" applyFont="1" applyAlignment="1">
      <alignment/>
    </xf>
    <xf numFmtId="191" fontId="54" fillId="0" borderId="0" xfId="0" applyNumberFormat="1" applyFont="1" applyBorder="1" applyAlignment="1">
      <alignment/>
    </xf>
    <xf numFmtId="0" fontId="60" fillId="13" borderId="0" xfId="0" applyFont="1" applyFill="1" applyAlignment="1">
      <alignment/>
    </xf>
    <xf numFmtId="3" fontId="60" fillId="13" borderId="0" xfId="0" applyNumberFormat="1" applyFont="1" applyFill="1" applyAlignment="1">
      <alignment/>
    </xf>
    <xf numFmtId="191" fontId="61" fillId="13" borderId="0" xfId="0" applyNumberFormat="1" applyFont="1" applyFill="1" applyAlignment="1">
      <alignment/>
    </xf>
    <xf numFmtId="9" fontId="61" fillId="13" borderId="0" xfId="0" applyNumberFormat="1" applyFont="1" applyFill="1" applyBorder="1" applyAlignment="1">
      <alignment horizontal="right"/>
    </xf>
    <xf numFmtId="9" fontId="61" fillId="13" borderId="0" xfId="60" applyNumberFormat="1" applyFont="1" applyFill="1" applyAlignment="1">
      <alignment/>
    </xf>
    <xf numFmtId="0" fontId="62" fillId="0" borderId="0" xfId="0" applyFont="1" applyAlignment="1">
      <alignment/>
    </xf>
    <xf numFmtId="0" fontId="61" fillId="13" borderId="0" xfId="0" applyFont="1" applyFill="1" applyAlignment="1">
      <alignment/>
    </xf>
    <xf numFmtId="0" fontId="63" fillId="13" borderId="0" xfId="0" applyFont="1" applyFill="1" applyAlignment="1">
      <alignment/>
    </xf>
    <xf numFmtId="10" fontId="61" fillId="13" borderId="0" xfId="0" applyNumberFormat="1" applyFont="1" applyFill="1" applyAlignment="1">
      <alignment/>
    </xf>
    <xf numFmtId="3" fontId="61" fillId="13" borderId="0" xfId="0" applyNumberFormat="1" applyFont="1" applyFill="1" applyAlignment="1">
      <alignment/>
    </xf>
    <xf numFmtId="0" fontId="55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191" fontId="54" fillId="0" borderId="0" xfId="0" applyNumberFormat="1" applyFont="1" applyFill="1" applyBorder="1" applyAlignment="1">
      <alignment/>
    </xf>
    <xf numFmtId="191" fontId="55" fillId="0" borderId="0" xfId="0" applyNumberFormat="1" applyFont="1" applyFill="1" applyBorder="1" applyAlignment="1">
      <alignment/>
    </xf>
    <xf numFmtId="0" fontId="54" fillId="13" borderId="0" xfId="0" applyFont="1" applyFill="1" applyAlignment="1">
      <alignment/>
    </xf>
    <xf numFmtId="191" fontId="54" fillId="13" borderId="0" xfId="42" applyNumberFormat="1" applyFont="1" applyFill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91" fontId="65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</xdr:row>
      <xdr:rowOff>0</xdr:rowOff>
    </xdr:from>
    <xdr:to>
      <xdr:col>0</xdr:col>
      <xdr:colOff>914400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9144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9.57421875" style="55" customWidth="1"/>
    <col min="2" max="16384" width="9.140625" style="50" customWidth="1"/>
  </cols>
  <sheetData>
    <row r="1" ht="18">
      <c r="A1" s="49" t="s">
        <v>96</v>
      </c>
    </row>
    <row r="2" ht="18">
      <c r="A2" s="49"/>
    </row>
    <row r="3" ht="15.75">
      <c r="A3" s="51" t="s">
        <v>97</v>
      </c>
    </row>
    <row r="4" ht="15.75">
      <c r="A4" s="51"/>
    </row>
    <row r="7" ht="12.75">
      <c r="A7" s="52" t="s">
        <v>98</v>
      </c>
    </row>
    <row r="8" ht="12.75">
      <c r="A8" s="52"/>
    </row>
    <row r="12" ht="12.75">
      <c r="A12" s="53"/>
    </row>
    <row r="25" ht="12.75">
      <c r="A25" s="54"/>
    </row>
    <row r="41" ht="12.75">
      <c r="A41" s="5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66"/>
  <sheetViews>
    <sheetView zoomScalePageLayoutView="0" workbookViewId="0" topLeftCell="A163">
      <selection activeCell="B148" sqref="B148"/>
    </sheetView>
  </sheetViews>
  <sheetFormatPr defaultColWidth="9.140625" defaultRowHeight="12.75"/>
  <cols>
    <col min="1" max="1" width="41.7109375" style="3" bestFit="1" customWidth="1"/>
    <col min="2" max="8" width="11.140625" style="3" customWidth="1"/>
    <col min="9" max="9" width="2.8515625" style="3" customWidth="1"/>
    <col min="10" max="10" width="10.28125" style="3" bestFit="1" customWidth="1"/>
    <col min="11" max="11" width="2.7109375" style="3" customWidth="1"/>
    <col min="12" max="12" width="10.421875" style="3" customWidth="1"/>
    <col min="13" max="16384" width="9.140625" style="3" customWidth="1"/>
  </cols>
  <sheetData>
    <row r="1" ht="12.75">
      <c r="A1" s="7" t="s">
        <v>83</v>
      </c>
    </row>
    <row r="2" spans="1:8" ht="13.5" thickBot="1">
      <c r="A2" s="2" t="s">
        <v>56</v>
      </c>
      <c r="B2" s="67">
        <v>2013</v>
      </c>
      <c r="C2" s="67">
        <v>2014</v>
      </c>
      <c r="D2" s="67">
        <v>2015</v>
      </c>
      <c r="E2" s="67">
        <v>2016</v>
      </c>
      <c r="F2" s="67">
        <v>2017</v>
      </c>
      <c r="G2" s="67">
        <v>2018</v>
      </c>
      <c r="H2" s="67">
        <v>2019</v>
      </c>
    </row>
    <row r="3" ht="13.5" thickTop="1">
      <c r="A3" s="2" t="s">
        <v>57</v>
      </c>
    </row>
    <row r="4" spans="1:3" ht="12.75">
      <c r="A4" s="3" t="s">
        <v>10</v>
      </c>
      <c r="B4" s="4">
        <v>0.1</v>
      </c>
      <c r="C4" s="5"/>
    </row>
    <row r="5" spans="1:3" ht="12.75">
      <c r="A5" s="3" t="s">
        <v>34</v>
      </c>
      <c r="B5" s="46">
        <v>21000</v>
      </c>
      <c r="C5" s="3" t="s">
        <v>79</v>
      </c>
    </row>
    <row r="6" spans="1:3" ht="12.75">
      <c r="A6" s="7" t="s">
        <v>99</v>
      </c>
      <c r="B6" s="8"/>
      <c r="C6" s="9"/>
    </row>
    <row r="7" spans="1:3" ht="12.75">
      <c r="A7" s="3" t="s">
        <v>38</v>
      </c>
      <c r="B7" s="46">
        <v>47000</v>
      </c>
      <c r="C7" s="3" t="s">
        <v>23</v>
      </c>
    </row>
    <row r="8" spans="1:3" ht="12.75">
      <c r="A8" s="3" t="s">
        <v>33</v>
      </c>
      <c r="B8" s="10">
        <v>0.7</v>
      </c>
      <c r="C8" s="9"/>
    </row>
    <row r="9" spans="1:3" ht="12.75">
      <c r="A9" s="3" t="s">
        <v>82</v>
      </c>
      <c r="B9" s="8">
        <v>5</v>
      </c>
      <c r="C9" s="3" t="s">
        <v>2</v>
      </c>
    </row>
    <row r="10" spans="1:3" ht="12.75">
      <c r="A10" s="3" t="s">
        <v>86</v>
      </c>
      <c r="B10" s="8">
        <v>1</v>
      </c>
      <c r="C10" s="3" t="s">
        <v>2</v>
      </c>
    </row>
    <row r="11" ht="12.75">
      <c r="A11" s="7" t="s">
        <v>49</v>
      </c>
    </row>
    <row r="12" spans="1:3" ht="12.75">
      <c r="A12" s="3" t="s">
        <v>48</v>
      </c>
      <c r="B12" s="3">
        <v>10</v>
      </c>
      <c r="C12" s="3" t="s">
        <v>9</v>
      </c>
    </row>
    <row r="13" spans="1:3" ht="12.75">
      <c r="A13" s="3" t="s">
        <v>49</v>
      </c>
      <c r="B13" s="3">
        <v>5</v>
      </c>
      <c r="C13" s="3" t="s">
        <v>9</v>
      </c>
    </row>
    <row r="14" spans="1:3" ht="12.75">
      <c r="A14" s="3" t="s">
        <v>51</v>
      </c>
      <c r="B14" s="3">
        <v>1</v>
      </c>
      <c r="C14" s="3" t="s">
        <v>9</v>
      </c>
    </row>
    <row r="15" spans="1:3" ht="12.75">
      <c r="A15" s="3" t="s">
        <v>52</v>
      </c>
      <c r="B15" s="6">
        <v>0.45</v>
      </c>
      <c r="C15" s="3" t="s">
        <v>53</v>
      </c>
    </row>
    <row r="16" ht="12.75">
      <c r="A16" s="7" t="s">
        <v>7</v>
      </c>
    </row>
    <row r="17" spans="1:3" ht="12.75">
      <c r="A17" s="3" t="s">
        <v>39</v>
      </c>
      <c r="B17" s="12">
        <v>0.5</v>
      </c>
      <c r="C17" s="3" t="s">
        <v>46</v>
      </c>
    </row>
    <row r="18" spans="1:2" ht="12.75">
      <c r="A18" s="3" t="s">
        <v>111</v>
      </c>
      <c r="B18" s="12">
        <f>(1+15%)/(1+10%)-1</f>
        <v>0.04545454545454519</v>
      </c>
    </row>
    <row r="19" spans="1:2" ht="12.75">
      <c r="A19" s="3" t="s">
        <v>110</v>
      </c>
      <c r="B19" s="6">
        <f>(1+B18)*(1+B4)-1</f>
        <v>0.1499999999999999</v>
      </c>
    </row>
    <row r="20" spans="1:3" ht="12.75">
      <c r="A20" s="3" t="s">
        <v>8</v>
      </c>
      <c r="B20" s="13">
        <v>5</v>
      </c>
      <c r="C20" s="14" t="s">
        <v>9</v>
      </c>
    </row>
    <row r="21" spans="1:3" ht="12.75">
      <c r="A21" s="3" t="s">
        <v>126</v>
      </c>
      <c r="B21" s="13">
        <v>1</v>
      </c>
      <c r="C21" s="14"/>
    </row>
    <row r="22" spans="1:3" ht="12.75">
      <c r="A22" s="3" t="s">
        <v>125</v>
      </c>
      <c r="B22" s="13"/>
      <c r="C22" s="14"/>
    </row>
    <row r="23" ht="12.75">
      <c r="A23" s="7" t="s">
        <v>0</v>
      </c>
    </row>
    <row r="24" spans="1:3" ht="12.75">
      <c r="A24" s="3" t="s">
        <v>61</v>
      </c>
      <c r="B24" s="3">
        <v>15</v>
      </c>
      <c r="C24" s="3" t="s">
        <v>45</v>
      </c>
    </row>
    <row r="25" spans="1:3" ht="12.75">
      <c r="A25" s="3" t="s">
        <v>62</v>
      </c>
      <c r="B25" s="3">
        <v>8</v>
      </c>
      <c r="C25" s="3" t="s">
        <v>88</v>
      </c>
    </row>
    <row r="26" spans="1:5" ht="12.75">
      <c r="A26" s="3" t="s">
        <v>3</v>
      </c>
      <c r="B26" s="3">
        <v>360</v>
      </c>
      <c r="C26" s="3" t="s">
        <v>44</v>
      </c>
      <c r="E26" s="45"/>
    </row>
    <row r="27" spans="1:2" ht="12.75">
      <c r="A27" s="3" t="s">
        <v>80</v>
      </c>
      <c r="B27" s="6">
        <v>0.07</v>
      </c>
    </row>
    <row r="28" spans="1:3" ht="12.75">
      <c r="A28" s="3" t="s">
        <v>81</v>
      </c>
      <c r="B28" s="3">
        <v>60</v>
      </c>
      <c r="C28" s="3" t="s">
        <v>63</v>
      </c>
    </row>
    <row r="29" spans="1:3" ht="12.75">
      <c r="A29" s="3" t="s">
        <v>64</v>
      </c>
      <c r="B29" s="46">
        <v>5000</v>
      </c>
      <c r="C29" s="3" t="s">
        <v>66</v>
      </c>
    </row>
    <row r="30" spans="1:2" ht="12.75">
      <c r="A30" s="3" t="s">
        <v>84</v>
      </c>
      <c r="B30" s="48">
        <v>0.1</v>
      </c>
    </row>
    <row r="31" spans="1:2" ht="12.75">
      <c r="A31" s="3" t="s">
        <v>65</v>
      </c>
      <c r="B31" s="6">
        <v>0.5</v>
      </c>
    </row>
    <row r="32" ht="12.75">
      <c r="A32" s="7" t="s">
        <v>11</v>
      </c>
    </row>
    <row r="33" spans="1:3" ht="12.75">
      <c r="A33" s="3" t="s">
        <v>70</v>
      </c>
      <c r="B33" s="3">
        <v>0.32</v>
      </c>
      <c r="C33" s="3" t="s">
        <v>73</v>
      </c>
    </row>
    <row r="34" spans="1:3" ht="12.75">
      <c r="A34" s="3" t="s">
        <v>71</v>
      </c>
      <c r="B34" s="46">
        <v>21500</v>
      </c>
      <c r="C34" s="3" t="s">
        <v>72</v>
      </c>
    </row>
    <row r="35" spans="1:3" ht="12.75">
      <c r="A35" s="3" t="s">
        <v>67</v>
      </c>
      <c r="B35" s="46">
        <v>8000000</v>
      </c>
      <c r="C35" s="3" t="s">
        <v>66</v>
      </c>
    </row>
    <row r="36" spans="1:3" ht="12.75">
      <c r="A36" s="3" t="s">
        <v>68</v>
      </c>
      <c r="B36" s="46">
        <v>5000000</v>
      </c>
      <c r="C36" s="3" t="s">
        <v>66</v>
      </c>
    </row>
    <row r="37" spans="1:3" ht="12.75">
      <c r="A37" s="3" t="s">
        <v>12</v>
      </c>
      <c r="B37" s="46">
        <v>12000000</v>
      </c>
      <c r="C37" s="3" t="s">
        <v>74</v>
      </c>
    </row>
    <row r="38" spans="1:2" ht="12.75">
      <c r="A38" s="3" t="s">
        <v>75</v>
      </c>
      <c r="B38" s="11">
        <v>0.0185</v>
      </c>
    </row>
    <row r="39" spans="1:2" ht="12.75">
      <c r="A39" s="3" t="s">
        <v>76</v>
      </c>
      <c r="B39" s="11">
        <v>0.0191</v>
      </c>
    </row>
    <row r="40" spans="1:3" ht="12.75">
      <c r="A40" s="3" t="s">
        <v>24</v>
      </c>
      <c r="B40" s="46">
        <v>935</v>
      </c>
      <c r="C40" s="3" t="s">
        <v>41</v>
      </c>
    </row>
    <row r="41" ht="12.75">
      <c r="A41" s="7" t="s">
        <v>4</v>
      </c>
    </row>
    <row r="42" spans="1:3" ht="12.75">
      <c r="A42" s="3" t="s">
        <v>134</v>
      </c>
      <c r="B42" s="6">
        <v>0.05</v>
      </c>
      <c r="C42" s="3" t="s">
        <v>32</v>
      </c>
    </row>
    <row r="43" spans="1:3" ht="12.75">
      <c r="A43" s="3" t="s">
        <v>5</v>
      </c>
      <c r="B43" s="6">
        <v>0.25</v>
      </c>
      <c r="C43" s="3" t="s">
        <v>93</v>
      </c>
    </row>
    <row r="44" spans="1:3" ht="12.75">
      <c r="A44" s="3" t="s">
        <v>43</v>
      </c>
      <c r="B44" s="6">
        <v>0</v>
      </c>
      <c r="C44" s="3" t="s">
        <v>32</v>
      </c>
    </row>
    <row r="45" spans="1:3" ht="12.75">
      <c r="A45" s="3" t="s">
        <v>6</v>
      </c>
      <c r="B45" s="6">
        <v>0.5</v>
      </c>
      <c r="C45" s="3" t="s">
        <v>54</v>
      </c>
    </row>
    <row r="46" ht="12.75">
      <c r="A46" s="7" t="s">
        <v>58</v>
      </c>
    </row>
    <row r="47" spans="1:2" ht="12.75">
      <c r="A47" s="3" t="s">
        <v>132</v>
      </c>
      <c r="B47" s="6">
        <v>0.22</v>
      </c>
    </row>
    <row r="48" spans="1:2" ht="12.75">
      <c r="A48" s="3" t="s">
        <v>131</v>
      </c>
      <c r="B48" s="6">
        <f>1.2/1.1*(1+B4)-1</f>
        <v>0.19999999999999996</v>
      </c>
    </row>
    <row r="50" spans="2:8" ht="13.5" thickBot="1">
      <c r="B50" s="67">
        <v>2013</v>
      </c>
      <c r="C50" s="67">
        <v>2014</v>
      </c>
      <c r="D50" s="67">
        <v>2015</v>
      </c>
      <c r="E50" s="67">
        <v>2016</v>
      </c>
      <c r="F50" s="67">
        <v>2017</v>
      </c>
      <c r="G50" s="67">
        <v>2018</v>
      </c>
      <c r="H50" s="67">
        <v>2019</v>
      </c>
    </row>
    <row r="51" spans="1:8" ht="13.5" thickTop="1">
      <c r="A51" s="7" t="s">
        <v>120</v>
      </c>
      <c r="B51" s="7"/>
      <c r="C51" s="7"/>
      <c r="D51" s="7"/>
      <c r="E51" s="7"/>
      <c r="F51" s="7"/>
      <c r="G51" s="7"/>
      <c r="H51" s="7"/>
    </row>
    <row r="52" spans="1:8" ht="13.5" thickBot="1">
      <c r="A52" s="17"/>
      <c r="B52" s="18">
        <v>0</v>
      </c>
      <c r="C52" s="18">
        <v>1</v>
      </c>
      <c r="D52" s="18">
        <v>2</v>
      </c>
      <c r="E52" s="18">
        <v>3</v>
      </c>
      <c r="F52" s="18">
        <v>4</v>
      </c>
      <c r="G52" s="18">
        <v>5</v>
      </c>
      <c r="H52" s="18">
        <v>6</v>
      </c>
    </row>
    <row r="53" spans="1:8" ht="13.5" thickTop="1">
      <c r="A53" s="19" t="s">
        <v>121</v>
      </c>
      <c r="B53" s="69">
        <f aca="true" t="shared" si="0" ref="B53:H53">(1+$B$4)^B52</f>
        <v>1</v>
      </c>
      <c r="C53" s="69">
        <f t="shared" si="0"/>
        <v>1.1</v>
      </c>
      <c r="D53" s="69">
        <f t="shared" si="0"/>
        <v>1.2100000000000002</v>
      </c>
      <c r="E53" s="69">
        <f t="shared" si="0"/>
        <v>1.3310000000000004</v>
      </c>
      <c r="F53" s="69">
        <f t="shared" si="0"/>
        <v>1.4641000000000004</v>
      </c>
      <c r="G53" s="69">
        <f t="shared" si="0"/>
        <v>1.6105100000000006</v>
      </c>
      <c r="H53" s="69">
        <f t="shared" si="0"/>
        <v>1.7715610000000008</v>
      </c>
    </row>
    <row r="54" spans="1:8" ht="12.75">
      <c r="A54" s="19"/>
      <c r="B54" s="68"/>
      <c r="C54" s="68"/>
      <c r="D54" s="68"/>
      <c r="E54" s="68"/>
      <c r="F54" s="68"/>
      <c r="G54" s="68"/>
      <c r="H54" s="68"/>
    </row>
    <row r="55" spans="1:4" ht="12.75">
      <c r="A55" s="19"/>
      <c r="B55" s="22" t="s">
        <v>35</v>
      </c>
      <c r="C55" s="23"/>
      <c r="D55" s="23"/>
    </row>
    <row r="56" spans="1:2" ht="13.5" thickBot="1">
      <c r="A56" s="7" t="s">
        <v>30</v>
      </c>
      <c r="B56" s="24">
        <v>0</v>
      </c>
    </row>
    <row r="57" ht="13.5" thickTop="1">
      <c r="B57" s="1">
        <f>B9*B7*(1+B8)*B5/10^6</f>
        <v>8389.5</v>
      </c>
    </row>
    <row r="58" ht="12.75">
      <c r="B58" s="1"/>
    </row>
    <row r="59" spans="1:3" ht="12.75">
      <c r="A59" s="27" t="s">
        <v>127</v>
      </c>
      <c r="B59" s="22" t="s">
        <v>35</v>
      </c>
      <c r="C59" s="19"/>
    </row>
    <row r="60" spans="1:8" ht="13.5" thickBot="1">
      <c r="A60" s="17"/>
      <c r="B60" s="18">
        <v>0</v>
      </c>
      <c r="C60" s="18">
        <v>1</v>
      </c>
      <c r="D60" s="18">
        <v>2</v>
      </c>
      <c r="E60" s="18">
        <v>3</v>
      </c>
      <c r="F60" s="18">
        <v>4</v>
      </c>
      <c r="G60" s="18">
        <v>5</v>
      </c>
      <c r="H60" s="18">
        <v>6</v>
      </c>
    </row>
    <row r="61" spans="1:7" ht="13.5" thickTop="1">
      <c r="A61" s="3" t="s">
        <v>14</v>
      </c>
      <c r="B61" s="1"/>
      <c r="C61" s="1">
        <f>B65</f>
        <v>4194.75</v>
      </c>
      <c r="D61" s="1">
        <f>C65</f>
        <v>3355.8</v>
      </c>
      <c r="E61" s="1">
        <f>D65</f>
        <v>2516.8500000000004</v>
      </c>
      <c r="F61" s="1">
        <f>E65</f>
        <v>1677.9000000000003</v>
      </c>
      <c r="G61" s="1">
        <f>F65</f>
        <v>838.9500000000003</v>
      </c>
    </row>
    <row r="62" spans="1:7" ht="12.75">
      <c r="A62" s="3" t="s">
        <v>108</v>
      </c>
      <c r="B62" s="1">
        <f>B57*B17</f>
        <v>4194.75</v>
      </c>
      <c r="C62" s="1"/>
      <c r="D62" s="1"/>
      <c r="E62" s="1"/>
      <c r="F62" s="1"/>
      <c r="G62" s="1"/>
    </row>
    <row r="63" spans="1:7" ht="12.75">
      <c r="A63" s="3" t="s">
        <v>109</v>
      </c>
      <c r="B63" s="1">
        <f aca="true" t="shared" si="1" ref="B63:G63">B61*$B$19</f>
        <v>0</v>
      </c>
      <c r="C63" s="1">
        <f t="shared" si="1"/>
        <v>629.2124999999996</v>
      </c>
      <c r="D63" s="1">
        <f t="shared" si="1"/>
        <v>503.3699999999997</v>
      </c>
      <c r="E63" s="1">
        <f t="shared" si="1"/>
        <v>377.5274999999998</v>
      </c>
      <c r="F63" s="1">
        <f t="shared" si="1"/>
        <v>251.6849999999999</v>
      </c>
      <c r="G63" s="1">
        <f t="shared" si="1"/>
        <v>125.84249999999997</v>
      </c>
    </row>
    <row r="64" spans="1:7" ht="12.75">
      <c r="A64" s="3" t="s">
        <v>129</v>
      </c>
      <c r="B64" s="1"/>
      <c r="C64" s="1">
        <f>$B$65/$B$20</f>
        <v>838.95</v>
      </c>
      <c r="D64" s="1">
        <f>$B$65/$B$20</f>
        <v>838.95</v>
      </c>
      <c r="E64" s="1">
        <f>$B$65/$B$20</f>
        <v>838.95</v>
      </c>
      <c r="F64" s="1">
        <f>$B$65/$B$20</f>
        <v>838.95</v>
      </c>
      <c r="G64" s="1">
        <f>$B$65/$B$20</f>
        <v>838.95</v>
      </c>
    </row>
    <row r="65" spans="1:8" ht="12.75">
      <c r="A65" s="21" t="s">
        <v>15</v>
      </c>
      <c r="B65" s="30">
        <f aca="true" t="shared" si="2" ref="B65:G65">B61+B62-B64</f>
        <v>4194.75</v>
      </c>
      <c r="C65" s="30">
        <f t="shared" si="2"/>
        <v>3355.8</v>
      </c>
      <c r="D65" s="30">
        <f t="shared" si="2"/>
        <v>2516.8500000000004</v>
      </c>
      <c r="E65" s="30">
        <f t="shared" si="2"/>
        <v>1677.9000000000003</v>
      </c>
      <c r="F65" s="30">
        <f t="shared" si="2"/>
        <v>838.9500000000003</v>
      </c>
      <c r="G65" s="30">
        <f t="shared" si="2"/>
        <v>0</v>
      </c>
      <c r="H65" s="21"/>
    </row>
    <row r="66" spans="1:7" ht="12.75">
      <c r="A66" s="19" t="s">
        <v>106</v>
      </c>
      <c r="B66" s="31">
        <f aca="true" t="shared" si="3" ref="B66:G66">B62-B63-B64</f>
        <v>4194.75</v>
      </c>
      <c r="C66" s="31">
        <f t="shared" si="3"/>
        <v>-1468.1624999999997</v>
      </c>
      <c r="D66" s="31">
        <f t="shared" si="3"/>
        <v>-1342.3199999999997</v>
      </c>
      <c r="E66" s="31">
        <f t="shared" si="3"/>
        <v>-1216.4775</v>
      </c>
      <c r="F66" s="31">
        <f t="shared" si="3"/>
        <v>-1090.635</v>
      </c>
      <c r="G66" s="31">
        <f t="shared" si="3"/>
        <v>-964.7925</v>
      </c>
    </row>
    <row r="67" spans="1:2" ht="12.75">
      <c r="A67" s="3" t="s">
        <v>107</v>
      </c>
      <c r="B67" s="62">
        <f>IRR(B66:G66)</f>
        <v>0.1499999999999999</v>
      </c>
    </row>
    <row r="68" ht="12.75">
      <c r="B68" s="62"/>
    </row>
    <row r="69" spans="1:3" ht="12.75">
      <c r="A69" s="27" t="s">
        <v>128</v>
      </c>
      <c r="B69" s="22" t="s">
        <v>35</v>
      </c>
      <c r="C69" s="19"/>
    </row>
    <row r="70" spans="1:8" ht="13.5" thickBot="1">
      <c r="A70" s="17"/>
      <c r="B70" s="18">
        <v>0</v>
      </c>
      <c r="C70" s="18">
        <v>1</v>
      </c>
      <c r="D70" s="18">
        <v>2</v>
      </c>
      <c r="E70" s="18">
        <v>3</v>
      </c>
      <c r="F70" s="18">
        <v>4</v>
      </c>
      <c r="G70" s="18">
        <v>5</v>
      </c>
      <c r="H70" s="18">
        <v>6</v>
      </c>
    </row>
    <row r="71" spans="1:7" ht="13.5" thickTop="1">
      <c r="A71" s="3" t="s">
        <v>14</v>
      </c>
      <c r="B71" s="1"/>
      <c r="C71" s="1">
        <f>B76</f>
        <v>4194.75</v>
      </c>
      <c r="D71" s="1">
        <f>C76</f>
        <v>3572.6033363120036</v>
      </c>
      <c r="E71" s="1">
        <f>D76</f>
        <v>2857.134673070808</v>
      </c>
      <c r="F71" s="1">
        <f>E76</f>
        <v>2034.3457103434328</v>
      </c>
      <c r="G71" s="1">
        <f>F76</f>
        <v>1088.1384032069516</v>
      </c>
    </row>
    <row r="72" spans="1:7" ht="12.75">
      <c r="A72" s="3" t="s">
        <v>108</v>
      </c>
      <c r="B72" s="1">
        <f>B57*B17</f>
        <v>4194.75</v>
      </c>
      <c r="C72" s="1"/>
      <c r="D72" s="1"/>
      <c r="E72" s="1"/>
      <c r="F72" s="1"/>
      <c r="G72" s="1"/>
    </row>
    <row r="73" spans="1:7" ht="12.75">
      <c r="A73" s="3" t="s">
        <v>109</v>
      </c>
      <c r="B73" s="1">
        <f aca="true" t="shared" si="4" ref="B73:G73">B71*$B$19</f>
        <v>0</v>
      </c>
      <c r="C73" s="1">
        <f t="shared" si="4"/>
        <v>629.2124999999996</v>
      </c>
      <c r="D73" s="1">
        <f t="shared" si="4"/>
        <v>535.8905004468003</v>
      </c>
      <c r="E73" s="1">
        <f t="shared" si="4"/>
        <v>428.5702009606209</v>
      </c>
      <c r="F73" s="1">
        <f t="shared" si="4"/>
        <v>305.15185655151475</v>
      </c>
      <c r="G73" s="1">
        <f t="shared" si="4"/>
        <v>163.22076048104265</v>
      </c>
    </row>
    <row r="74" spans="1:7" ht="12.75">
      <c r="A74" s="3" t="s">
        <v>40</v>
      </c>
      <c r="B74" s="1"/>
      <c r="C74" s="1">
        <f>PMT(B19,B20,-C71)</f>
        <v>1251.359163687996</v>
      </c>
      <c r="D74" s="1">
        <f>C74</f>
        <v>1251.359163687996</v>
      </c>
      <c r="E74" s="1">
        <f>D74</f>
        <v>1251.359163687996</v>
      </c>
      <c r="F74" s="1">
        <f>E74</f>
        <v>1251.359163687996</v>
      </c>
      <c r="G74" s="1">
        <f>F74</f>
        <v>1251.359163687996</v>
      </c>
    </row>
    <row r="75" spans="1:7" ht="12.75">
      <c r="A75" s="3" t="s">
        <v>130</v>
      </c>
      <c r="B75" s="1">
        <f aca="true" t="shared" si="5" ref="B75:G75">B74-B73</f>
        <v>0</v>
      </c>
      <c r="C75" s="1">
        <f t="shared" si="5"/>
        <v>622.1466636879964</v>
      </c>
      <c r="D75" s="1">
        <f t="shared" si="5"/>
        <v>715.4686632411957</v>
      </c>
      <c r="E75" s="1">
        <f t="shared" si="5"/>
        <v>822.7889627273751</v>
      </c>
      <c r="F75" s="1">
        <f t="shared" si="5"/>
        <v>946.2073071364812</v>
      </c>
      <c r="G75" s="1">
        <f t="shared" si="5"/>
        <v>1088.1384032069534</v>
      </c>
    </row>
    <row r="76" spans="1:8" ht="12.75">
      <c r="A76" s="21" t="s">
        <v>15</v>
      </c>
      <c r="B76" s="30">
        <f aca="true" t="shared" si="6" ref="B76:G76">B71+B72-B75</f>
        <v>4194.75</v>
      </c>
      <c r="C76" s="30">
        <f t="shared" si="6"/>
        <v>3572.6033363120036</v>
      </c>
      <c r="D76" s="30">
        <f t="shared" si="6"/>
        <v>2857.134673070808</v>
      </c>
      <c r="E76" s="30">
        <f t="shared" si="6"/>
        <v>2034.3457103434328</v>
      </c>
      <c r="F76" s="30">
        <f t="shared" si="6"/>
        <v>1088.1384032069516</v>
      </c>
      <c r="G76" s="30">
        <f t="shared" si="6"/>
        <v>-1.8189894035458565E-12</v>
      </c>
      <c r="H76" s="21"/>
    </row>
    <row r="77" spans="1:7" ht="12.75">
      <c r="A77" s="19" t="s">
        <v>106</v>
      </c>
      <c r="B77" s="31">
        <f aca="true" t="shared" si="7" ref="B77:G77">B72-B73-B75</f>
        <v>4194.75</v>
      </c>
      <c r="C77" s="31">
        <f t="shared" si="7"/>
        <v>-1251.359163687996</v>
      </c>
      <c r="D77" s="31">
        <f t="shared" si="7"/>
        <v>-1251.359163687996</v>
      </c>
      <c r="E77" s="31">
        <f t="shared" si="7"/>
        <v>-1251.359163687996</v>
      </c>
      <c r="F77" s="31">
        <f t="shared" si="7"/>
        <v>-1251.359163687996</v>
      </c>
      <c r="G77" s="31">
        <f t="shared" si="7"/>
        <v>-1251.359163687996</v>
      </c>
    </row>
    <row r="78" spans="1:2" ht="12.75">
      <c r="A78" s="3" t="s">
        <v>107</v>
      </c>
      <c r="B78" s="62">
        <f>IRR(B77:G77)</f>
        <v>0.15000000000000013</v>
      </c>
    </row>
    <row r="79" ht="12.75">
      <c r="B79" s="62"/>
    </row>
    <row r="80" spans="1:2" ht="12.75">
      <c r="A80" s="7" t="s">
        <v>123</v>
      </c>
      <c r="B80" s="62"/>
    </row>
    <row r="81" spans="1:8" ht="13.5" thickBot="1">
      <c r="A81" s="17"/>
      <c r="B81" s="18">
        <v>0</v>
      </c>
      <c r="C81" s="18">
        <v>1</v>
      </c>
      <c r="D81" s="18">
        <v>2</v>
      </c>
      <c r="E81" s="18">
        <v>3</v>
      </c>
      <c r="F81" s="18">
        <v>4</v>
      </c>
      <c r="G81" s="18">
        <v>5</v>
      </c>
      <c r="H81" s="18">
        <v>6</v>
      </c>
    </row>
    <row r="82" spans="1:7" ht="13.5" thickTop="1">
      <c r="A82" s="3" t="s">
        <v>26</v>
      </c>
      <c r="B82" s="1"/>
      <c r="C82" s="1">
        <f>B85</f>
        <v>8389.5</v>
      </c>
      <c r="D82" s="1">
        <f>C85</f>
        <v>7550.55</v>
      </c>
      <c r="E82" s="1">
        <f>D85</f>
        <v>6711.6</v>
      </c>
      <c r="F82" s="1">
        <f>E85</f>
        <v>5872.650000000001</v>
      </c>
      <c r="G82" s="1">
        <f>F85</f>
        <v>5033.700000000001</v>
      </c>
    </row>
    <row r="83" spans="1:7" ht="12.75">
      <c r="A83" s="3" t="s">
        <v>27</v>
      </c>
      <c r="B83" s="1"/>
      <c r="C83" s="1">
        <f>$C$82/$B$12</f>
        <v>838.95</v>
      </c>
      <c r="D83" s="1">
        <f>$C$82/$B$12</f>
        <v>838.95</v>
      </c>
      <c r="E83" s="1">
        <f>$C$82/$B$12</f>
        <v>838.95</v>
      </c>
      <c r="F83" s="1">
        <f>$C$82/$B$12</f>
        <v>838.95</v>
      </c>
      <c r="G83" s="1">
        <f>$C$82/$B$12</f>
        <v>838.95</v>
      </c>
    </row>
    <row r="84" spans="1:7" ht="12.75">
      <c r="A84" s="3" t="s">
        <v>16</v>
      </c>
      <c r="B84" s="1"/>
      <c r="C84" s="1">
        <f>C83</f>
        <v>838.95</v>
      </c>
      <c r="D84" s="1">
        <f>C84+D83</f>
        <v>1677.9</v>
      </c>
      <c r="E84" s="1">
        <f>D84+E83</f>
        <v>2516.8500000000004</v>
      </c>
      <c r="F84" s="1">
        <f>E84+F83</f>
        <v>3355.8</v>
      </c>
      <c r="G84" s="1">
        <f>F84+G83</f>
        <v>4194.75</v>
      </c>
    </row>
    <row r="85" spans="1:8" ht="12.75">
      <c r="A85" s="21" t="s">
        <v>28</v>
      </c>
      <c r="B85" s="30">
        <f>B57</f>
        <v>8389.5</v>
      </c>
      <c r="C85" s="30">
        <f>C82-C83</f>
        <v>7550.55</v>
      </c>
      <c r="D85" s="30">
        <f>D82-D83</f>
        <v>6711.6</v>
      </c>
      <c r="E85" s="30">
        <f>E82-E83</f>
        <v>5872.650000000001</v>
      </c>
      <c r="F85" s="30">
        <f>F82-F83</f>
        <v>5033.700000000001</v>
      </c>
      <c r="G85" s="30">
        <f>G82-G83</f>
        <v>4194.750000000001</v>
      </c>
      <c r="H85" s="21"/>
    </row>
    <row r="86" ht="12.75">
      <c r="B86" s="1"/>
    </row>
    <row r="87" ht="12.75">
      <c r="B87" s="1"/>
    </row>
    <row r="88" spans="1:3" ht="12.75">
      <c r="A88" s="3" t="s">
        <v>87</v>
      </c>
      <c r="B88" s="8">
        <f>(B9-B10)*B24*B25</f>
        <v>480</v>
      </c>
      <c r="C88" s="3" t="s">
        <v>45</v>
      </c>
    </row>
    <row r="89" ht="12.75">
      <c r="B89" s="1"/>
    </row>
    <row r="90" spans="1:2" ht="12.75">
      <c r="A90" s="7" t="s">
        <v>0</v>
      </c>
      <c r="B90" s="22" t="s">
        <v>35</v>
      </c>
    </row>
    <row r="91" spans="1:8" ht="13.5" thickBot="1">
      <c r="A91" s="17"/>
      <c r="B91" s="18">
        <v>0</v>
      </c>
      <c r="C91" s="18">
        <v>1</v>
      </c>
      <c r="D91" s="18">
        <v>2</v>
      </c>
      <c r="E91" s="18">
        <v>3</v>
      </c>
      <c r="F91" s="18">
        <v>4</v>
      </c>
      <c r="G91" s="18">
        <v>5</v>
      </c>
      <c r="H91" s="18">
        <v>6</v>
      </c>
    </row>
    <row r="92" spans="1:8" ht="13.5" thickTop="1">
      <c r="A92" s="3" t="s">
        <v>85</v>
      </c>
      <c r="B92" s="1">
        <f>B29</f>
        <v>5000</v>
      </c>
      <c r="C92" s="1">
        <f>B92*(1+$B$30)</f>
        <v>5500</v>
      </c>
      <c r="D92" s="1">
        <f>C92*(1+$B$30)</f>
        <v>6050.000000000001</v>
      </c>
      <c r="E92" s="1">
        <f>D92*(1+$B$30)</f>
        <v>6655.000000000002</v>
      </c>
      <c r="F92" s="1">
        <f>E92*(1+$B$30)</f>
        <v>7320.500000000003</v>
      </c>
      <c r="G92" s="1">
        <f>F92*(1+$B$30)</f>
        <v>8052.550000000004</v>
      </c>
      <c r="H92" s="1"/>
    </row>
    <row r="93" spans="1:8" ht="12.75">
      <c r="A93" s="3" t="s">
        <v>92</v>
      </c>
      <c r="B93" s="1"/>
      <c r="C93" s="1">
        <f>C92*$B$31</f>
        <v>2750</v>
      </c>
      <c r="D93" s="1">
        <f>D92*$B$31</f>
        <v>3025.0000000000005</v>
      </c>
      <c r="E93" s="1">
        <f>E92*$B$31</f>
        <v>3327.500000000001</v>
      </c>
      <c r="F93" s="1">
        <f>F92*$B$31</f>
        <v>3660.2500000000014</v>
      </c>
      <c r="G93" s="1">
        <f>G92*$B$31</f>
        <v>4026.275000000002</v>
      </c>
      <c r="H93" s="1"/>
    </row>
    <row r="94" spans="1:8" ht="12.75">
      <c r="A94" s="3" t="s">
        <v>89</v>
      </c>
      <c r="B94" s="1"/>
      <c r="C94" s="1">
        <f>$B$28*(1+$B$27)^(C91-1)</f>
        <v>60</v>
      </c>
      <c r="D94" s="1">
        <f>$B$28*(1+$B$27)^(D91-1)</f>
        <v>64.2</v>
      </c>
      <c r="E94" s="1">
        <f>$B$28*(1+$B$27)^(E91-1)</f>
        <v>68.694</v>
      </c>
      <c r="F94" s="1">
        <f>$B$28*(1+$B$27)^(F91-1)</f>
        <v>73.50258000000001</v>
      </c>
      <c r="G94" s="1">
        <f>$B$28*(1+$B$27)^(G91-1)</f>
        <v>78.6477606</v>
      </c>
      <c r="H94" s="1"/>
    </row>
    <row r="95" spans="1:8" ht="12.75">
      <c r="A95" s="3" t="s">
        <v>90</v>
      </c>
      <c r="B95" s="1"/>
      <c r="C95" s="1">
        <f>C92*C94*$B$25*($B$9-$B$10)*$B$26/10^6</f>
        <v>3801.6</v>
      </c>
      <c r="D95" s="1">
        <f>D92*D94*$B$25*($B$9-$B$10)*$B$26/10^6</f>
        <v>4474.483200000001</v>
      </c>
      <c r="E95" s="1">
        <f>E92*E94*$B$25*($B$9-$B$10)*$B$26/10^6</f>
        <v>5266.466726400002</v>
      </c>
      <c r="F95" s="1">
        <f>F92*F94*$B$25*($B$9-$B$10)*$B$26/10^6</f>
        <v>6198.631336972804</v>
      </c>
      <c r="G95" s="1">
        <f>G92*G94*$B$25*($B$9-$B$10)*$B$26/10^6</f>
        <v>7295.789083616989</v>
      </c>
      <c r="H95" s="1"/>
    </row>
    <row r="96" spans="1:8" ht="12.75">
      <c r="A96" s="3" t="s">
        <v>91</v>
      </c>
      <c r="B96" s="1"/>
      <c r="C96" s="1">
        <f>C93*C94*$B$25*($B$9-$B$10)*$B$26/10^6</f>
        <v>1900.8</v>
      </c>
      <c r="D96" s="1">
        <f>D93*D94*$B$25*($B$9-$B$10)*$B$26/10^6</f>
        <v>2237.2416000000003</v>
      </c>
      <c r="E96" s="1">
        <f>E93*E94*$B$25*($B$9-$B$10)*$B$26/10^6</f>
        <v>2633.233363200001</v>
      </c>
      <c r="F96" s="1">
        <f>F93*F94*$B$25*($B$9-$B$10)*$B$26/10^6</f>
        <v>3099.315668486402</v>
      </c>
      <c r="G96" s="1">
        <f>G93*G94*$B$25*($B$9-$B$10)*$B$26/10^6</f>
        <v>3647.8945418084945</v>
      </c>
      <c r="H96" s="1"/>
    </row>
    <row r="97" spans="1:8" ht="12.75">
      <c r="A97" s="56" t="s">
        <v>0</v>
      </c>
      <c r="B97" s="25"/>
      <c r="C97" s="58">
        <f>(C92+C93)*C94*$B$25*($B$9-$B$10)*$B$26/10^6</f>
        <v>5702.4</v>
      </c>
      <c r="D97" s="58">
        <f>(D92+D93)*D94*$B$25*($B$9-$B$10)*$B$26/10^6</f>
        <v>6711.724800000001</v>
      </c>
      <c r="E97" s="58">
        <f>(E92+E93)*E94*$B$25*($B$9-$B$10)*$B$26/10^6</f>
        <v>7899.7000896000045</v>
      </c>
      <c r="F97" s="58">
        <f>(F92+F93)*F94*$B$25*($B$9-$B$10)*$B$26/10^6</f>
        <v>9297.947005459206</v>
      </c>
      <c r="G97" s="58">
        <f>(G92+G93)*G94*$B$25*($B$9-$B$10)*$B$26/10^6</f>
        <v>10943.683625425483</v>
      </c>
      <c r="H97" s="25"/>
    </row>
    <row r="98" spans="1:4" ht="12.75">
      <c r="A98" s="19"/>
      <c r="B98" s="19"/>
      <c r="C98" s="19"/>
      <c r="D98" s="23"/>
    </row>
    <row r="99" spans="1:2" ht="12.75">
      <c r="A99" s="7" t="s">
        <v>11</v>
      </c>
      <c r="B99" s="22" t="s">
        <v>35</v>
      </c>
    </row>
    <row r="100" spans="1:8" ht="13.5" thickBot="1">
      <c r="A100" s="17"/>
      <c r="B100" s="18">
        <v>0</v>
      </c>
      <c r="C100" s="18">
        <v>1</v>
      </c>
      <c r="D100" s="18">
        <v>2</v>
      </c>
      <c r="E100" s="18">
        <v>3</v>
      </c>
      <c r="F100" s="18">
        <v>4</v>
      </c>
      <c r="G100" s="18">
        <v>5</v>
      </c>
      <c r="H100" s="18">
        <v>6</v>
      </c>
    </row>
    <row r="101" spans="1:11" ht="13.5" thickTop="1">
      <c r="A101" s="3" t="s">
        <v>22</v>
      </c>
      <c r="B101" s="1"/>
      <c r="C101" s="1">
        <f>$B$33*$B$34*$B$88*$B$26*C53/10^6</f>
        <v>1307.7504</v>
      </c>
      <c r="D101" s="1">
        <f>$B$33*$B$34*$B$88*$B$26*D53/10^6</f>
        <v>1438.5254400000003</v>
      </c>
      <c r="E101" s="1">
        <f>$B$33*$B$34*$B$88*$B$26*E53/10^6</f>
        <v>1582.3779840000004</v>
      </c>
      <c r="F101" s="1">
        <f>$B$33*$B$34*$B$88*$B$26*F53/10^6</f>
        <v>1740.6157824000006</v>
      </c>
      <c r="G101" s="1">
        <f>$B$33*$B$34*$B$88*$B$26*G53/10^6</f>
        <v>1914.6773606400006</v>
      </c>
      <c r="H101" s="26"/>
      <c r="I101" s="70"/>
      <c r="J101" s="70"/>
      <c r="K101" s="70"/>
    </row>
    <row r="102" spans="1:8" ht="12.75">
      <c r="A102" s="3" t="s">
        <v>69</v>
      </c>
      <c r="B102" s="1"/>
      <c r="C102" s="1">
        <f>($B$35+$B$36)*12*($B$9-$B$10)*C53/10^6</f>
        <v>686.4</v>
      </c>
      <c r="D102" s="1">
        <f>($B$35+$B$36)*12*($B$9-$B$10)*D53/10^6</f>
        <v>755.0400000000001</v>
      </c>
      <c r="E102" s="1">
        <f>($B$35+$B$36)*12*($B$9-$B$10)*E53/10^6</f>
        <v>830.5440000000002</v>
      </c>
      <c r="F102" s="1">
        <f>($B$35+$B$36)*12*($B$9-$B$10)*F53/10^6</f>
        <v>913.5984000000002</v>
      </c>
      <c r="G102" s="1">
        <f>($B$35+$B$36)*12*($B$9-$B$10)*G53/10^6</f>
        <v>1004.9582400000004</v>
      </c>
      <c r="H102" s="26"/>
    </row>
    <row r="103" spans="1:11" ht="12.75">
      <c r="A103" s="3" t="s">
        <v>12</v>
      </c>
      <c r="B103" s="1"/>
      <c r="C103" s="1">
        <f>$B$37*$B$9*12*C53/10^6</f>
        <v>792.0000000000001</v>
      </c>
      <c r="D103" s="1">
        <f>$B$37*$B$9*12*D53/10^6</f>
        <v>871.2000000000002</v>
      </c>
      <c r="E103" s="1">
        <f>$B$37*$B$9*12*E53/10^6</f>
        <v>958.3200000000003</v>
      </c>
      <c r="F103" s="1">
        <f>$B$37*$B$9*12*F53/10^6</f>
        <v>1054.1520000000003</v>
      </c>
      <c r="G103" s="1">
        <f>$B$37*$B$9*12*G53/10^6</f>
        <v>1159.5672000000004</v>
      </c>
      <c r="I103" s="70"/>
      <c r="J103" s="70"/>
      <c r="K103" s="70"/>
    </row>
    <row r="104" spans="1:11" ht="12.75">
      <c r="A104" s="3" t="s">
        <v>13</v>
      </c>
      <c r="B104" s="1"/>
      <c r="C104" s="1">
        <f>$B$38*$B$57</f>
        <v>155.20575</v>
      </c>
      <c r="D104" s="1">
        <f>$B$38*$B$57</f>
        <v>155.20575</v>
      </c>
      <c r="E104" s="1">
        <f>$B$38*$B$57</f>
        <v>155.20575</v>
      </c>
      <c r="F104" s="1">
        <f>$B$39*$B$57</f>
        <v>160.23945</v>
      </c>
      <c r="G104" s="1">
        <f>$B$39*$B$57</f>
        <v>160.23945</v>
      </c>
      <c r="J104" s="70"/>
      <c r="K104" s="70"/>
    </row>
    <row r="105" spans="1:7" ht="12.75">
      <c r="A105" s="3" t="s">
        <v>37</v>
      </c>
      <c r="B105" s="1"/>
      <c r="C105" s="1">
        <f>$B$40*C53</f>
        <v>1028.5</v>
      </c>
      <c r="D105" s="1">
        <f>$B$40*D53</f>
        <v>1131.3500000000001</v>
      </c>
      <c r="E105" s="1">
        <f>$B$40*E53</f>
        <v>1244.4850000000004</v>
      </c>
      <c r="F105" s="1">
        <f>$B$40*F53</f>
        <v>1368.9335000000003</v>
      </c>
      <c r="G105" s="1">
        <f>$B$40*G53</f>
        <v>1505.8268500000006</v>
      </c>
    </row>
    <row r="106" spans="1:10" s="7" customFormat="1" ht="12.75">
      <c r="A106" s="27" t="s">
        <v>124</v>
      </c>
      <c r="B106" s="28"/>
      <c r="C106" s="28">
        <f>SUM(C101:C105)</f>
        <v>3969.85615</v>
      </c>
      <c r="D106" s="28">
        <f>SUM(D101:D105)</f>
        <v>4351.321190000001</v>
      </c>
      <c r="E106" s="33">
        <f>SUM(E101:E105)</f>
        <v>4770.932734000001</v>
      </c>
      <c r="F106" s="33">
        <f>SUM(F101:F105)</f>
        <v>5237.539132400001</v>
      </c>
      <c r="G106" s="33">
        <f>SUM(G101:G105)</f>
        <v>5745.269100640002</v>
      </c>
      <c r="J106" s="3"/>
    </row>
    <row r="107" spans="1:4" ht="12.75">
      <c r="A107" s="29"/>
      <c r="B107" s="29"/>
      <c r="C107" s="29"/>
      <c r="D107" s="29"/>
    </row>
    <row r="108" spans="1:8" ht="12.75">
      <c r="A108" s="7" t="s">
        <v>101</v>
      </c>
      <c r="B108" s="22" t="s">
        <v>35</v>
      </c>
      <c r="H108" s="22"/>
    </row>
    <row r="109" spans="1:8" ht="13.5" thickBot="1">
      <c r="A109" s="17"/>
      <c r="B109" s="18">
        <v>0</v>
      </c>
      <c r="C109" s="18">
        <v>1</v>
      </c>
      <c r="D109" s="18">
        <v>2</v>
      </c>
      <c r="E109" s="18">
        <v>3</v>
      </c>
      <c r="F109" s="18">
        <v>4</v>
      </c>
      <c r="G109" s="18">
        <v>5</v>
      </c>
      <c r="H109" s="18">
        <v>6</v>
      </c>
    </row>
    <row r="110" spans="1:7" ht="13.5" thickTop="1">
      <c r="A110" s="3" t="s">
        <v>0</v>
      </c>
      <c r="B110" s="1"/>
      <c r="C110" s="1">
        <f>C97</f>
        <v>5702.4</v>
      </c>
      <c r="D110" s="1">
        <f>D97</f>
        <v>6711.724800000001</v>
      </c>
      <c r="E110" s="1">
        <f>E97</f>
        <v>7899.7000896000045</v>
      </c>
      <c r="F110" s="1">
        <f>F97</f>
        <v>9297.947005459206</v>
      </c>
      <c r="G110" s="1">
        <f>G97</f>
        <v>10943.683625425483</v>
      </c>
    </row>
    <row r="111" spans="1:7" ht="12.75">
      <c r="A111" s="3" t="s">
        <v>11</v>
      </c>
      <c r="B111" s="1"/>
      <c r="C111" s="1">
        <f>C106</f>
        <v>3969.85615</v>
      </c>
      <c r="D111" s="1">
        <f>D106</f>
        <v>4351.321190000001</v>
      </c>
      <c r="E111" s="1">
        <f>E106</f>
        <v>4770.932734000001</v>
      </c>
      <c r="F111" s="1">
        <f>F106</f>
        <v>5237.539132400001</v>
      </c>
      <c r="G111" s="1">
        <f>G106</f>
        <v>5745.269100640002</v>
      </c>
    </row>
    <row r="112" spans="1:7" ht="12.75">
      <c r="A112" s="3" t="s">
        <v>123</v>
      </c>
      <c r="B112" s="1"/>
      <c r="C112" s="1">
        <f>C83</f>
        <v>838.95</v>
      </c>
      <c r="D112" s="1">
        <f>D83</f>
        <v>838.95</v>
      </c>
      <c r="E112" s="1">
        <f>E83</f>
        <v>838.95</v>
      </c>
      <c r="F112" s="1">
        <f>F83</f>
        <v>838.95</v>
      </c>
      <c r="G112" s="1">
        <f>G83</f>
        <v>838.95</v>
      </c>
    </row>
    <row r="113" spans="1:7" ht="12.75">
      <c r="A113" s="3" t="s">
        <v>1</v>
      </c>
      <c r="B113" s="1"/>
      <c r="C113" s="1">
        <f>C110-C111-C112</f>
        <v>893.5938499999995</v>
      </c>
      <c r="D113" s="1">
        <f>D110-D111-D112</f>
        <v>1521.4536100000003</v>
      </c>
      <c r="E113" s="1">
        <f>E110-E111-E112</f>
        <v>2289.817355600004</v>
      </c>
      <c r="F113" s="1">
        <f>F110-F111-F112</f>
        <v>3221.4578730592048</v>
      </c>
      <c r="G113" s="1">
        <f>G110-G111-G112</f>
        <v>4359.464524785481</v>
      </c>
    </row>
    <row r="114" spans="1:7" ht="12.75">
      <c r="A114" s="3" t="s">
        <v>17</v>
      </c>
      <c r="B114" s="1"/>
      <c r="C114" s="1">
        <f>IF($B$21=1,C63,C73)</f>
        <v>629.2124999999996</v>
      </c>
      <c r="D114" s="1">
        <f>IF($B$21=1,D63,D73)</f>
        <v>503.3699999999997</v>
      </c>
      <c r="E114" s="1">
        <f>IF($B$21=1,E63,E73)</f>
        <v>377.5274999999998</v>
      </c>
      <c r="F114" s="1">
        <f>IF($B$21=1,F63,F73)</f>
        <v>251.6849999999999</v>
      </c>
      <c r="G114" s="1">
        <f>IF($B$21=1,G63,G73)</f>
        <v>125.84249999999997</v>
      </c>
    </row>
    <row r="115" spans="1:7" ht="12.75">
      <c r="A115" s="3" t="s">
        <v>18</v>
      </c>
      <c r="B115" s="1"/>
      <c r="C115" s="1">
        <f>C113-C114</f>
        <v>264.3813499999999</v>
      </c>
      <c r="D115" s="1">
        <f>D113-D114</f>
        <v>1018.0836100000006</v>
      </c>
      <c r="E115" s="1">
        <f>E113-E114</f>
        <v>1912.289855600004</v>
      </c>
      <c r="F115" s="1">
        <f>F113-F114</f>
        <v>2969.772873059205</v>
      </c>
      <c r="G115" s="1">
        <f>G113-G114</f>
        <v>4233.622024785482</v>
      </c>
    </row>
    <row r="116" spans="1:7" ht="12.75">
      <c r="A116" s="7" t="s">
        <v>133</v>
      </c>
      <c r="B116" s="28"/>
      <c r="C116" s="28">
        <f>IF(C115&lt;0,0,C115*$B$47)</f>
        <v>58.16389699999998</v>
      </c>
      <c r="D116" s="28">
        <f>IF(D115&lt;0,0,D115*$B$47)</f>
        <v>223.97839420000014</v>
      </c>
      <c r="E116" s="28">
        <f>IF(E115&lt;0,0,E115*$B$47)</f>
        <v>420.7037682320009</v>
      </c>
      <c r="F116" s="28">
        <f>IF(F115&lt;0,0,F115*$B$47)</f>
        <v>653.3500320730251</v>
      </c>
      <c r="G116" s="28">
        <f>IF(G115&lt;0,0,G115*$B$47)</f>
        <v>931.396845452806</v>
      </c>
    </row>
    <row r="117" spans="1:8" s="7" customFormat="1" ht="12.75">
      <c r="A117" s="21" t="s">
        <v>59</v>
      </c>
      <c r="B117" s="33"/>
      <c r="C117" s="30">
        <f>C115-C116</f>
        <v>206.21745299999992</v>
      </c>
      <c r="D117" s="30">
        <f>D115-D116</f>
        <v>794.1052158000005</v>
      </c>
      <c r="E117" s="30">
        <f>E115-E116</f>
        <v>1491.586087368003</v>
      </c>
      <c r="F117" s="30">
        <f>F115-F116</f>
        <v>2316.42284098618</v>
      </c>
      <c r="G117" s="30">
        <f>G115-G116</f>
        <v>3302.225179332676</v>
      </c>
      <c r="H117" s="56"/>
    </row>
    <row r="119" spans="1:2" ht="12.75">
      <c r="A119" s="7" t="s">
        <v>4</v>
      </c>
      <c r="B119" s="22" t="s">
        <v>35</v>
      </c>
    </row>
    <row r="120" spans="1:8" ht="13.5" thickBot="1">
      <c r="A120" s="17"/>
      <c r="B120" s="18">
        <v>0</v>
      </c>
      <c r="C120" s="18">
        <v>1</v>
      </c>
      <c r="D120" s="18">
        <v>2</v>
      </c>
      <c r="E120" s="18">
        <v>3</v>
      </c>
      <c r="F120" s="18">
        <v>4</v>
      </c>
      <c r="G120" s="18">
        <v>5</v>
      </c>
      <c r="H120" s="18">
        <v>6</v>
      </c>
    </row>
    <row r="121" spans="1:8" ht="13.5" thickTop="1">
      <c r="A121" s="3" t="s">
        <v>134</v>
      </c>
      <c r="B121" s="26"/>
      <c r="C121" s="1">
        <f aca="true" t="shared" si="8" ref="C121:H121">C97*$B$42</f>
        <v>285.12</v>
      </c>
      <c r="D121" s="1">
        <f t="shared" si="8"/>
        <v>335.5862400000001</v>
      </c>
      <c r="E121" s="1">
        <f t="shared" si="8"/>
        <v>394.98500448000027</v>
      </c>
      <c r="F121" s="1">
        <f t="shared" si="8"/>
        <v>464.8973502729603</v>
      </c>
      <c r="G121" s="1">
        <f t="shared" si="8"/>
        <v>547.1841812712742</v>
      </c>
      <c r="H121" s="1">
        <f t="shared" si="8"/>
        <v>0</v>
      </c>
    </row>
    <row r="122" spans="1:8" ht="12.75">
      <c r="A122" s="3" t="s">
        <v>5</v>
      </c>
      <c r="B122" s="1"/>
      <c r="C122" s="1">
        <f aca="true" t="shared" si="9" ref="C122:H122">C96*$B$43</f>
        <v>475.2</v>
      </c>
      <c r="D122" s="1">
        <f t="shared" si="9"/>
        <v>559.3104000000001</v>
      </c>
      <c r="E122" s="1">
        <f t="shared" si="9"/>
        <v>658.3083408000002</v>
      </c>
      <c r="F122" s="1">
        <f t="shared" si="9"/>
        <v>774.8289171216005</v>
      </c>
      <c r="G122" s="1">
        <f t="shared" si="9"/>
        <v>911.9736354521236</v>
      </c>
      <c r="H122" s="1">
        <f t="shared" si="9"/>
        <v>0</v>
      </c>
    </row>
    <row r="123" spans="1:8" ht="12.75">
      <c r="A123" s="21" t="s">
        <v>6</v>
      </c>
      <c r="B123" s="30"/>
      <c r="C123" s="30">
        <f aca="true" t="shared" si="10" ref="C123:H123">(C103+C101)*$B$45</f>
        <v>1049.8752</v>
      </c>
      <c r="D123" s="30">
        <f t="shared" si="10"/>
        <v>1154.8627200000003</v>
      </c>
      <c r="E123" s="30">
        <f t="shared" si="10"/>
        <v>1270.3489920000004</v>
      </c>
      <c r="F123" s="30">
        <f t="shared" si="10"/>
        <v>1397.3838912000006</v>
      </c>
      <c r="G123" s="30">
        <f t="shared" si="10"/>
        <v>1537.1222803200005</v>
      </c>
      <c r="H123" s="30">
        <f t="shared" si="10"/>
        <v>0</v>
      </c>
    </row>
    <row r="124" spans="2:5" ht="12.75">
      <c r="B124" s="1"/>
      <c r="C124" s="31"/>
      <c r="D124" s="31"/>
      <c r="E124" s="31"/>
    </row>
    <row r="125" spans="1:2" ht="12.75">
      <c r="A125" s="7" t="s">
        <v>100</v>
      </c>
      <c r="B125" s="22" t="s">
        <v>35</v>
      </c>
    </row>
    <row r="126" spans="1:8" ht="13.5" thickBot="1">
      <c r="A126" s="17"/>
      <c r="B126" s="18">
        <v>0</v>
      </c>
      <c r="C126" s="18">
        <v>1</v>
      </c>
      <c r="D126" s="18">
        <v>2</v>
      </c>
      <c r="E126" s="18">
        <v>3</v>
      </c>
      <c r="F126" s="18">
        <v>4</v>
      </c>
      <c r="G126" s="18">
        <v>5</v>
      </c>
      <c r="H126" s="18">
        <v>6</v>
      </c>
    </row>
    <row r="127" spans="1:8" ht="13.5" thickTop="1">
      <c r="A127" s="3" t="s">
        <v>122</v>
      </c>
      <c r="B127" s="1"/>
      <c r="C127" s="31">
        <f aca="true" t="shared" si="11" ref="C127:H129">C121-B121</f>
        <v>285.12</v>
      </c>
      <c r="D127" s="31">
        <f t="shared" si="11"/>
        <v>50.466240000000084</v>
      </c>
      <c r="E127" s="31">
        <f t="shared" si="11"/>
        <v>59.39876448000018</v>
      </c>
      <c r="F127" s="31">
        <f t="shared" si="11"/>
        <v>69.91234579296002</v>
      </c>
      <c r="G127" s="31">
        <f t="shared" si="11"/>
        <v>82.28683099831386</v>
      </c>
      <c r="H127" s="71">
        <f t="shared" si="11"/>
        <v>-547.1841812712742</v>
      </c>
    </row>
    <row r="128" spans="1:8" ht="12.75">
      <c r="A128" s="3" t="s">
        <v>36</v>
      </c>
      <c r="B128" s="1"/>
      <c r="C128" s="31">
        <f t="shared" si="11"/>
        <v>475.2</v>
      </c>
      <c r="D128" s="31">
        <f t="shared" si="11"/>
        <v>84.11040000000008</v>
      </c>
      <c r="E128" s="31">
        <f t="shared" si="11"/>
        <v>98.99794080000015</v>
      </c>
      <c r="F128" s="31">
        <f t="shared" si="11"/>
        <v>116.52057632160029</v>
      </c>
      <c r="G128" s="31">
        <f t="shared" si="11"/>
        <v>137.14471833052312</v>
      </c>
      <c r="H128" s="71">
        <f t="shared" si="11"/>
        <v>-911.9736354521236</v>
      </c>
    </row>
    <row r="129" spans="1:8" ht="12.75">
      <c r="A129" s="3" t="s">
        <v>78</v>
      </c>
      <c r="B129" s="31"/>
      <c r="C129" s="31">
        <f t="shared" si="11"/>
        <v>1049.8752</v>
      </c>
      <c r="D129" s="31">
        <f t="shared" si="11"/>
        <v>104.98752000000036</v>
      </c>
      <c r="E129" s="31">
        <f t="shared" si="11"/>
        <v>115.4862720000001</v>
      </c>
      <c r="F129" s="31">
        <f t="shared" si="11"/>
        <v>127.03489920000015</v>
      </c>
      <c r="G129" s="31">
        <f t="shared" si="11"/>
        <v>139.73838911999997</v>
      </c>
      <c r="H129" s="71">
        <f t="shared" si="11"/>
        <v>-1537.1222803200005</v>
      </c>
    </row>
    <row r="130" spans="2:4" ht="12.75">
      <c r="B130" s="31"/>
      <c r="C130" s="31"/>
      <c r="D130" s="31"/>
    </row>
    <row r="131" ht="12.75">
      <c r="A131" s="7" t="s">
        <v>112</v>
      </c>
    </row>
    <row r="132" spans="1:12" ht="12.75">
      <c r="A132" s="34"/>
      <c r="B132" s="35">
        <v>0</v>
      </c>
      <c r="C132" s="35">
        <v>1</v>
      </c>
      <c r="D132" s="35">
        <v>2</v>
      </c>
      <c r="E132" s="35">
        <v>3</v>
      </c>
      <c r="F132" s="35">
        <v>4</v>
      </c>
      <c r="G132" s="35">
        <v>5</v>
      </c>
      <c r="H132" s="35">
        <v>6</v>
      </c>
      <c r="J132" s="73" t="s">
        <v>136</v>
      </c>
      <c r="L132" s="96"/>
    </row>
    <row r="133" spans="1:12" ht="12.75">
      <c r="A133" s="3" t="s">
        <v>102</v>
      </c>
      <c r="B133" s="1"/>
      <c r="C133" s="1"/>
      <c r="D133" s="1"/>
      <c r="J133" s="74"/>
      <c r="L133" s="97"/>
    </row>
    <row r="134" spans="1:12" ht="12.75">
      <c r="A134" s="3" t="s">
        <v>0</v>
      </c>
      <c r="B134" s="1">
        <f aca="true" t="shared" si="12" ref="B134:H134">B110</f>
        <v>0</v>
      </c>
      <c r="C134" s="1">
        <f t="shared" si="12"/>
        <v>5702.4</v>
      </c>
      <c r="D134" s="1">
        <f t="shared" si="12"/>
        <v>6711.724800000001</v>
      </c>
      <c r="E134" s="1">
        <f t="shared" si="12"/>
        <v>7899.7000896000045</v>
      </c>
      <c r="F134" s="1">
        <f t="shared" si="12"/>
        <v>9297.947005459206</v>
      </c>
      <c r="G134" s="1">
        <f t="shared" si="12"/>
        <v>10943.683625425483</v>
      </c>
      <c r="H134" s="1">
        <f t="shared" si="12"/>
        <v>0</v>
      </c>
      <c r="J134" s="75">
        <f>NPV($B$148,C134:H134)+B134</f>
        <v>24348.278706762314</v>
      </c>
      <c r="L134" s="98"/>
    </row>
    <row r="135" spans="1:12" ht="12.75">
      <c r="A135" s="3" t="s">
        <v>78</v>
      </c>
      <c r="B135" s="1">
        <f aca="true" t="shared" si="13" ref="B135:H135">B129</f>
        <v>0</v>
      </c>
      <c r="C135" s="1">
        <f t="shared" si="13"/>
        <v>1049.8752</v>
      </c>
      <c r="D135" s="1">
        <f t="shared" si="13"/>
        <v>104.98752000000036</v>
      </c>
      <c r="E135" s="1">
        <f t="shared" si="13"/>
        <v>115.4862720000001</v>
      </c>
      <c r="F135" s="1">
        <f t="shared" si="13"/>
        <v>127.03489920000015</v>
      </c>
      <c r="G135" s="1">
        <f t="shared" si="13"/>
        <v>139.73838911999997</v>
      </c>
      <c r="H135" s="1">
        <f t="shared" si="13"/>
        <v>-1537.1222803200005</v>
      </c>
      <c r="I135" s="8"/>
      <c r="J135" s="75">
        <f>NPV($B$148,C135:H135)+B135</f>
        <v>585.6892245719063</v>
      </c>
      <c r="L135" s="98"/>
    </row>
    <row r="136" spans="1:12" ht="12.75">
      <c r="A136" s="3" t="s">
        <v>42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38">
        <f>G85*H53</f>
        <v>7431.2555047500055</v>
      </c>
      <c r="I136" s="8"/>
      <c r="J136" s="76">
        <f>NPV($B$148,C136:H136)+B136</f>
        <v>2823.806893027329</v>
      </c>
      <c r="L136" s="98"/>
    </row>
    <row r="137" spans="1:12" ht="12.75">
      <c r="A137" s="39" t="s">
        <v>29</v>
      </c>
      <c r="B137" s="40">
        <f aca="true" t="shared" si="14" ref="B137:H137">SUM(B134:B136)</f>
        <v>0</v>
      </c>
      <c r="C137" s="40">
        <f t="shared" si="14"/>
        <v>6752.2752</v>
      </c>
      <c r="D137" s="40">
        <f t="shared" si="14"/>
        <v>6816.7123200000015</v>
      </c>
      <c r="E137" s="40">
        <f t="shared" si="14"/>
        <v>8015.186361600005</v>
      </c>
      <c r="F137" s="40">
        <f t="shared" si="14"/>
        <v>9424.981904659206</v>
      </c>
      <c r="G137" s="40">
        <f t="shared" si="14"/>
        <v>11083.422014545484</v>
      </c>
      <c r="H137" s="41">
        <f t="shared" si="14"/>
        <v>5894.133224430005</v>
      </c>
      <c r="I137" s="8"/>
      <c r="J137" s="77">
        <f>NPV($B$148,C137:H137)+B137</f>
        <v>27757.774824361546</v>
      </c>
      <c r="L137" s="98"/>
    </row>
    <row r="138" spans="1:12" ht="12.75">
      <c r="A138" s="3" t="s">
        <v>103</v>
      </c>
      <c r="B138" s="1"/>
      <c r="C138" s="1"/>
      <c r="D138" s="1"/>
      <c r="H138" s="8"/>
      <c r="I138" s="8"/>
      <c r="J138" s="74"/>
      <c r="L138" s="98"/>
    </row>
    <row r="139" spans="1:12" ht="12.75">
      <c r="A139" s="3" t="s">
        <v>47</v>
      </c>
      <c r="B139" s="1">
        <f aca="true" t="shared" si="15" ref="B139:H139">B57</f>
        <v>8389.5</v>
      </c>
      <c r="C139" s="1">
        <f t="shared" si="15"/>
        <v>0</v>
      </c>
      <c r="D139" s="1">
        <f t="shared" si="15"/>
        <v>0</v>
      </c>
      <c r="E139" s="1">
        <f t="shared" si="15"/>
        <v>0</v>
      </c>
      <c r="F139" s="1">
        <f t="shared" si="15"/>
        <v>0</v>
      </c>
      <c r="G139" s="1">
        <f t="shared" si="15"/>
        <v>0</v>
      </c>
      <c r="H139" s="1">
        <f t="shared" si="15"/>
        <v>0</v>
      </c>
      <c r="I139" s="8"/>
      <c r="J139" s="75">
        <f aca="true" t="shared" si="16" ref="J139:J145">NPV($B$148,C139:H139)+B139</f>
        <v>8389.5</v>
      </c>
      <c r="L139" s="98"/>
    </row>
    <row r="140" spans="1:12" ht="12.75">
      <c r="A140" s="3" t="s">
        <v>11</v>
      </c>
      <c r="B140" s="1">
        <f aca="true" t="shared" si="17" ref="B140:H140">B106</f>
        <v>0</v>
      </c>
      <c r="C140" s="1">
        <f t="shared" si="17"/>
        <v>3969.85615</v>
      </c>
      <c r="D140" s="1">
        <f t="shared" si="17"/>
        <v>4351.321190000001</v>
      </c>
      <c r="E140" s="1">
        <f t="shared" si="17"/>
        <v>4770.932734000001</v>
      </c>
      <c r="F140" s="1">
        <f t="shared" si="17"/>
        <v>5237.539132400001</v>
      </c>
      <c r="G140" s="1">
        <f t="shared" si="17"/>
        <v>5745.269100640002</v>
      </c>
      <c r="H140" s="36">
        <f t="shared" si="17"/>
        <v>0</v>
      </c>
      <c r="I140" s="8"/>
      <c r="J140" s="75">
        <f t="shared" si="16"/>
        <v>14784.20878588566</v>
      </c>
      <c r="L140" s="98"/>
    </row>
    <row r="141" spans="1:12" ht="12.75">
      <c r="A141" s="3" t="s">
        <v>36</v>
      </c>
      <c r="B141" s="1">
        <f aca="true" t="shared" si="18" ref="B141:H141">B128</f>
        <v>0</v>
      </c>
      <c r="C141" s="1">
        <f t="shared" si="18"/>
        <v>475.2</v>
      </c>
      <c r="D141" s="1">
        <f t="shared" si="18"/>
        <v>84.11040000000008</v>
      </c>
      <c r="E141" s="1">
        <f t="shared" si="18"/>
        <v>98.99794080000015</v>
      </c>
      <c r="F141" s="1">
        <f t="shared" si="18"/>
        <v>116.52057632160029</v>
      </c>
      <c r="G141" s="1">
        <f t="shared" si="18"/>
        <v>137.14471833052312</v>
      </c>
      <c r="H141" s="1">
        <f t="shared" si="18"/>
        <v>-911.9736354521236</v>
      </c>
      <c r="I141" s="8"/>
      <c r="J141" s="75">
        <f t="shared" si="16"/>
        <v>302.19494848818454</v>
      </c>
      <c r="L141" s="98"/>
    </row>
    <row r="142" spans="1:12" ht="12.75">
      <c r="A142" s="3" t="s">
        <v>122</v>
      </c>
      <c r="B142" s="1">
        <f aca="true" t="shared" si="19" ref="B142:H142">B127</f>
        <v>0</v>
      </c>
      <c r="C142" s="1">
        <f t="shared" si="19"/>
        <v>285.12</v>
      </c>
      <c r="D142" s="1">
        <f t="shared" si="19"/>
        <v>50.466240000000084</v>
      </c>
      <c r="E142" s="1">
        <f t="shared" si="19"/>
        <v>59.39876448000018</v>
      </c>
      <c r="F142" s="1">
        <f t="shared" si="19"/>
        <v>69.91234579296002</v>
      </c>
      <c r="G142" s="1">
        <f t="shared" si="19"/>
        <v>82.28683099831386</v>
      </c>
      <c r="H142" s="1">
        <f t="shared" si="19"/>
        <v>-547.1841812712742</v>
      </c>
      <c r="I142" s="8"/>
      <c r="J142" s="75">
        <f t="shared" si="16"/>
        <v>181.3169690929107</v>
      </c>
      <c r="L142" s="98"/>
    </row>
    <row r="143" spans="1:12" ht="12.75">
      <c r="A143" s="3" t="s">
        <v>55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36">
        <f>H136*B15</f>
        <v>3344.0649771375024</v>
      </c>
      <c r="I143" s="8"/>
      <c r="J143" s="75">
        <f t="shared" si="16"/>
        <v>1270.713101862298</v>
      </c>
      <c r="L143" s="98"/>
    </row>
    <row r="144" spans="1:12" ht="12.75">
      <c r="A144" s="3" t="s">
        <v>20</v>
      </c>
      <c r="B144" s="1">
        <f aca="true" t="shared" si="20" ref="B144:H144">B116</f>
        <v>0</v>
      </c>
      <c r="C144" s="1">
        <f t="shared" si="20"/>
        <v>58.16389699999998</v>
      </c>
      <c r="D144" s="1">
        <f t="shared" si="20"/>
        <v>223.97839420000014</v>
      </c>
      <c r="E144" s="1">
        <f t="shared" si="20"/>
        <v>420.7037682320009</v>
      </c>
      <c r="F144" s="1">
        <f t="shared" si="20"/>
        <v>653.3500320730251</v>
      </c>
      <c r="G144" s="1">
        <f t="shared" si="20"/>
        <v>931.396845452806</v>
      </c>
      <c r="H144" s="1">
        <f t="shared" si="20"/>
        <v>0</v>
      </c>
      <c r="I144" s="8"/>
      <c r="J144" s="75">
        <f t="shared" si="16"/>
        <v>1229.688655954381</v>
      </c>
      <c r="L144" s="98"/>
    </row>
    <row r="145" spans="1:12" ht="12.75">
      <c r="A145" s="39" t="s">
        <v>19</v>
      </c>
      <c r="B145" s="40">
        <f aca="true" t="shared" si="21" ref="B145:H145">SUM(B139:B144)</f>
        <v>8389.5</v>
      </c>
      <c r="C145" s="40">
        <f t="shared" si="21"/>
        <v>4788.340047000001</v>
      </c>
      <c r="D145" s="40">
        <f t="shared" si="21"/>
        <v>4709.876224200001</v>
      </c>
      <c r="E145" s="40">
        <f t="shared" si="21"/>
        <v>5350.033207512001</v>
      </c>
      <c r="F145" s="40">
        <f t="shared" si="21"/>
        <v>6077.322086587586</v>
      </c>
      <c r="G145" s="40">
        <f t="shared" si="21"/>
        <v>6896.097495421644</v>
      </c>
      <c r="H145" s="40">
        <f t="shared" si="21"/>
        <v>1884.9071604141045</v>
      </c>
      <c r="I145" s="8"/>
      <c r="J145" s="77">
        <f t="shared" si="16"/>
        <v>26157.622461283434</v>
      </c>
      <c r="L145" s="98"/>
    </row>
    <row r="146" spans="1:12" ht="12.75">
      <c r="A146" s="27"/>
      <c r="B146" s="63"/>
      <c r="C146" s="63"/>
      <c r="D146" s="63"/>
      <c r="E146" s="63"/>
      <c r="F146" s="63"/>
      <c r="G146" s="63"/>
      <c r="H146" s="63"/>
      <c r="I146" s="8"/>
      <c r="L146" s="64"/>
    </row>
    <row r="147" spans="1:9" ht="12.75">
      <c r="A147" s="7" t="s">
        <v>119</v>
      </c>
      <c r="C147" s="63"/>
      <c r="D147" s="63"/>
      <c r="E147" s="63"/>
      <c r="F147" s="63"/>
      <c r="G147" s="63"/>
      <c r="H147" s="63"/>
      <c r="I147" s="8"/>
    </row>
    <row r="148" spans="1:9" ht="12.75">
      <c r="A148" s="3" t="s">
        <v>94</v>
      </c>
      <c r="B148" s="15">
        <f>(1-B17)*B48+B17*B19</f>
        <v>0.17499999999999993</v>
      </c>
      <c r="C148" s="63"/>
      <c r="D148" s="63"/>
      <c r="E148" s="63"/>
      <c r="F148" s="63"/>
      <c r="G148" s="63"/>
      <c r="H148" s="63"/>
      <c r="I148" s="8"/>
    </row>
    <row r="149" spans="1:9" ht="12.75">
      <c r="A149" s="3" t="s">
        <v>95</v>
      </c>
      <c r="B149" s="16">
        <f>(B148-B4)/(1+B4)</f>
        <v>0.06818181818181811</v>
      </c>
      <c r="C149" s="63"/>
      <c r="D149" s="63"/>
      <c r="E149" s="63"/>
      <c r="F149" s="63"/>
      <c r="G149" s="63"/>
      <c r="H149" s="63"/>
      <c r="I149" s="8"/>
    </row>
    <row r="150" spans="1:9" ht="12.75">
      <c r="A150" s="27"/>
      <c r="B150" s="63"/>
      <c r="C150" s="63"/>
      <c r="D150" s="63"/>
      <c r="E150" s="63"/>
      <c r="F150" s="63"/>
      <c r="G150" s="63"/>
      <c r="H150" s="63"/>
      <c r="I150" s="8"/>
    </row>
    <row r="151" spans="1:9" s="19" customFormat="1" ht="12.75">
      <c r="A151" s="56" t="s">
        <v>114</v>
      </c>
      <c r="B151" s="33"/>
      <c r="C151" s="33"/>
      <c r="D151" s="33"/>
      <c r="E151" s="33"/>
      <c r="F151" s="33"/>
      <c r="G151" s="33"/>
      <c r="H151" s="33"/>
      <c r="I151" s="64"/>
    </row>
    <row r="152" spans="1:12" s="7" customFormat="1" ht="12.75">
      <c r="A152" s="56" t="s">
        <v>105</v>
      </c>
      <c r="B152" s="33">
        <f aca="true" t="shared" si="22" ref="B152:H152">B137-B145</f>
        <v>-8389.5</v>
      </c>
      <c r="C152" s="33">
        <f t="shared" si="22"/>
        <v>1963.9351529999994</v>
      </c>
      <c r="D152" s="33">
        <f t="shared" si="22"/>
        <v>2106.8360958000003</v>
      </c>
      <c r="E152" s="33">
        <f t="shared" si="22"/>
        <v>2665.1531540880032</v>
      </c>
      <c r="F152" s="33">
        <f t="shared" si="22"/>
        <v>3347.659818071619</v>
      </c>
      <c r="G152" s="33">
        <f t="shared" si="22"/>
        <v>4187.324519123839</v>
      </c>
      <c r="H152" s="33">
        <f t="shared" si="22"/>
        <v>4009.2260640159</v>
      </c>
      <c r="L152" s="27"/>
    </row>
    <row r="153" spans="1:12" ht="12.75">
      <c r="A153" s="9" t="s">
        <v>94</v>
      </c>
      <c r="B153" s="42">
        <f>B148</f>
        <v>0.17499999999999993</v>
      </c>
      <c r="L153" s="19"/>
    </row>
    <row r="154" spans="1:12" s="7" customFormat="1" ht="12.75">
      <c r="A154" s="7" t="s">
        <v>60</v>
      </c>
      <c r="B154" s="43">
        <f>NPV(B153,C152:H152)+B152</f>
        <v>1600.1523630781157</v>
      </c>
      <c r="L154" s="79"/>
    </row>
    <row r="155" spans="1:12" s="7" customFormat="1" ht="12.75">
      <c r="A155" s="7" t="s">
        <v>31</v>
      </c>
      <c r="B155" s="47">
        <f>IRR(B152:H152)</f>
        <v>0.2360195771277518</v>
      </c>
      <c r="L155" s="27"/>
    </row>
    <row r="156" ht="12.75">
      <c r="L156" s="19"/>
    </row>
    <row r="157" spans="1:8" ht="12.75">
      <c r="A157" s="56" t="s">
        <v>115</v>
      </c>
      <c r="B157" s="33"/>
      <c r="C157" s="33"/>
      <c r="D157" s="33"/>
      <c r="E157" s="33"/>
      <c r="F157" s="33"/>
      <c r="G157" s="33"/>
      <c r="H157" s="33"/>
    </row>
    <row r="158" spans="1:8" ht="12.75">
      <c r="A158" s="56" t="s">
        <v>116</v>
      </c>
      <c r="B158" s="33">
        <f aca="true" t="shared" si="23" ref="B158:H158">B152+IF($B$21=1,B66,B77)</f>
        <v>-4194.75</v>
      </c>
      <c r="C158" s="33">
        <f t="shared" si="23"/>
        <v>495.77265299999976</v>
      </c>
      <c r="D158" s="33">
        <f t="shared" si="23"/>
        <v>764.5160958000006</v>
      </c>
      <c r="E158" s="33">
        <f t="shared" si="23"/>
        <v>1448.6756540880033</v>
      </c>
      <c r="F158" s="33">
        <f t="shared" si="23"/>
        <v>2257.024818071619</v>
      </c>
      <c r="G158" s="33">
        <f t="shared" si="23"/>
        <v>3222.5320191238393</v>
      </c>
      <c r="H158" s="33">
        <f t="shared" si="23"/>
        <v>4009.2260640159</v>
      </c>
    </row>
    <row r="159" spans="1:2" ht="15.75">
      <c r="A159" s="60" t="s">
        <v>77</v>
      </c>
      <c r="B159" s="61">
        <f>B48</f>
        <v>0.19999999999999996</v>
      </c>
    </row>
    <row r="160" spans="1:2" ht="12.75">
      <c r="A160" s="59" t="s">
        <v>60</v>
      </c>
      <c r="B160" s="43">
        <f>NPV(B159,C158:H158)+B158</f>
        <v>1313.8640245277775</v>
      </c>
    </row>
    <row r="161" spans="1:2" ht="12.75">
      <c r="A161" s="59" t="s">
        <v>31</v>
      </c>
      <c r="B161" s="47">
        <f>IRR(B158:H158)</f>
        <v>0.2830669754901456</v>
      </c>
    </row>
    <row r="163" ht="12.75">
      <c r="A163" s="7" t="s">
        <v>113</v>
      </c>
    </row>
    <row r="164" spans="1:8" ht="12.75">
      <c r="A164" s="34"/>
      <c r="B164" s="35">
        <v>0</v>
      </c>
      <c r="C164" s="35">
        <v>1</v>
      </c>
      <c r="D164" s="35">
        <v>2</v>
      </c>
      <c r="E164" s="35">
        <v>3</v>
      </c>
      <c r="F164" s="35">
        <v>4</v>
      </c>
      <c r="G164" s="35">
        <v>5</v>
      </c>
      <c r="H164" s="35">
        <v>6</v>
      </c>
    </row>
    <row r="165" spans="1:10" ht="12.75">
      <c r="A165" s="3" t="s">
        <v>102</v>
      </c>
      <c r="B165" s="36"/>
      <c r="C165" s="36"/>
      <c r="D165" s="36"/>
      <c r="E165" s="8"/>
      <c r="F165" s="8"/>
      <c r="G165" s="8"/>
      <c r="H165" s="8"/>
      <c r="I165" s="8"/>
      <c r="J165" s="8"/>
    </row>
    <row r="166" spans="1:10" ht="12.75">
      <c r="A166" s="8" t="s">
        <v>0</v>
      </c>
      <c r="B166" s="36"/>
      <c r="C166" s="36">
        <f aca="true" t="shared" si="24" ref="C166:H166">C134/C53</f>
        <v>5183.999999999999</v>
      </c>
      <c r="D166" s="36">
        <f t="shared" si="24"/>
        <v>5546.88</v>
      </c>
      <c r="E166" s="36">
        <f t="shared" si="24"/>
        <v>5935.161600000001</v>
      </c>
      <c r="F166" s="36">
        <f t="shared" si="24"/>
        <v>6350.6229120000025</v>
      </c>
      <c r="G166" s="36">
        <f t="shared" si="24"/>
        <v>6795.166515840001</v>
      </c>
      <c r="H166" s="36">
        <f t="shared" si="24"/>
        <v>0</v>
      </c>
      <c r="I166" s="8"/>
      <c r="J166" s="8"/>
    </row>
    <row r="167" spans="1:10" ht="12.75">
      <c r="A167" s="8" t="s">
        <v>78</v>
      </c>
      <c r="B167" s="36"/>
      <c r="C167" s="36">
        <f aca="true" t="shared" si="25" ref="C167:H167">C135/C53</f>
        <v>954.4319999999999</v>
      </c>
      <c r="D167" s="36">
        <f t="shared" si="25"/>
        <v>86.76654545454574</v>
      </c>
      <c r="E167" s="36">
        <f t="shared" si="25"/>
        <v>86.76654545454551</v>
      </c>
      <c r="F167" s="36">
        <f t="shared" si="25"/>
        <v>86.76654545454554</v>
      </c>
      <c r="G167" s="36">
        <f t="shared" si="25"/>
        <v>86.76654545454541</v>
      </c>
      <c r="H167" s="36">
        <f t="shared" si="25"/>
        <v>-867.6654545454544</v>
      </c>
      <c r="I167" s="8"/>
      <c r="J167" s="8"/>
    </row>
    <row r="168" spans="1:10" ht="12.75">
      <c r="A168" s="8" t="s">
        <v>42</v>
      </c>
      <c r="B168" s="36"/>
      <c r="C168" s="36"/>
      <c r="D168" s="36"/>
      <c r="E168" s="36"/>
      <c r="F168" s="36"/>
      <c r="G168" s="36"/>
      <c r="H168" s="36">
        <f>H136/H53</f>
        <v>4194.750000000001</v>
      </c>
      <c r="I168" s="8"/>
      <c r="J168" s="8"/>
    </row>
    <row r="169" spans="1:10" ht="12.75">
      <c r="A169" s="57" t="s">
        <v>29</v>
      </c>
      <c r="B169" s="41">
        <f aca="true" t="shared" si="26" ref="B169:H169">SUM(B166:B168)</f>
        <v>0</v>
      </c>
      <c r="C169" s="41">
        <f t="shared" si="26"/>
        <v>6138.431999999999</v>
      </c>
      <c r="D169" s="41">
        <f t="shared" si="26"/>
        <v>5633.646545454546</v>
      </c>
      <c r="E169" s="41">
        <f t="shared" si="26"/>
        <v>6021.928145454547</v>
      </c>
      <c r="F169" s="41">
        <f t="shared" si="26"/>
        <v>6437.389457454548</v>
      </c>
      <c r="G169" s="41">
        <f t="shared" si="26"/>
        <v>6881.933061294547</v>
      </c>
      <c r="H169" s="41">
        <f t="shared" si="26"/>
        <v>3327.0845454545465</v>
      </c>
      <c r="I169" s="8"/>
      <c r="J169" s="8"/>
    </row>
    <row r="170" spans="1:10" ht="12.75">
      <c r="A170" s="3" t="s">
        <v>103</v>
      </c>
      <c r="B170" s="36"/>
      <c r="C170" s="36"/>
      <c r="D170" s="36"/>
      <c r="E170" s="8"/>
      <c r="F170" s="8"/>
      <c r="G170" s="8"/>
      <c r="H170" s="8"/>
      <c r="I170" s="8"/>
      <c r="J170" s="8"/>
    </row>
    <row r="171" spans="1:10" ht="12.75">
      <c r="A171" s="8" t="s">
        <v>47</v>
      </c>
      <c r="B171" s="36">
        <f>B139/B53</f>
        <v>8389.5</v>
      </c>
      <c r="C171" s="36"/>
      <c r="D171" s="36"/>
      <c r="E171" s="36"/>
      <c r="F171" s="36"/>
      <c r="G171" s="36"/>
      <c r="H171" s="36"/>
      <c r="I171" s="8"/>
      <c r="J171" s="8"/>
    </row>
    <row r="172" spans="1:10" ht="12.75">
      <c r="A172" s="8" t="s">
        <v>11</v>
      </c>
      <c r="B172" s="36"/>
      <c r="C172" s="36">
        <f aca="true" t="shared" si="27" ref="C172:H172">C140/C53</f>
        <v>3608.960136363636</v>
      </c>
      <c r="D172" s="36">
        <f t="shared" si="27"/>
        <v>3596.133214876033</v>
      </c>
      <c r="E172" s="36">
        <f t="shared" si="27"/>
        <v>3584.4723771600297</v>
      </c>
      <c r="F172" s="36">
        <f t="shared" si="27"/>
        <v>3577.309700430298</v>
      </c>
      <c r="G172" s="36">
        <f t="shared" si="27"/>
        <v>3567.360091300271</v>
      </c>
      <c r="H172" s="36">
        <f t="shared" si="27"/>
        <v>0</v>
      </c>
      <c r="I172" s="8"/>
      <c r="J172" s="8"/>
    </row>
    <row r="173" spans="1:10" ht="12.75">
      <c r="A173" s="8" t="s">
        <v>36</v>
      </c>
      <c r="B173" s="36"/>
      <c r="C173" s="36">
        <f aca="true" t="shared" si="28" ref="C173:H173">C141/C53</f>
        <v>431.99999999999994</v>
      </c>
      <c r="D173" s="36">
        <f t="shared" si="28"/>
        <v>69.51272727272733</v>
      </c>
      <c r="E173" s="36">
        <f t="shared" si="28"/>
        <v>74.37861818181827</v>
      </c>
      <c r="F173" s="36">
        <f t="shared" si="28"/>
        <v>79.58512145454563</v>
      </c>
      <c r="G173" s="36">
        <f t="shared" si="28"/>
        <v>85.15607995636356</v>
      </c>
      <c r="H173" s="36">
        <f t="shared" si="28"/>
        <v>-514.785342109091</v>
      </c>
      <c r="I173" s="8"/>
      <c r="J173" s="8"/>
    </row>
    <row r="174" spans="1:10" ht="12.75">
      <c r="A174" s="3" t="s">
        <v>122</v>
      </c>
      <c r="B174" s="36"/>
      <c r="C174" s="36">
        <f aca="true" t="shared" si="29" ref="C174:H174">C142/C53</f>
        <v>259.2</v>
      </c>
      <c r="D174" s="36">
        <f t="shared" si="29"/>
        <v>41.707636363636425</v>
      </c>
      <c r="E174" s="36">
        <f t="shared" si="29"/>
        <v>44.627170909091035</v>
      </c>
      <c r="F174" s="36">
        <f t="shared" si="29"/>
        <v>47.75107287272728</v>
      </c>
      <c r="G174" s="36">
        <f t="shared" si="29"/>
        <v>51.09364797381813</v>
      </c>
      <c r="H174" s="36">
        <f t="shared" si="29"/>
        <v>-308.87120526545453</v>
      </c>
      <c r="I174" s="8"/>
      <c r="J174" s="8"/>
    </row>
    <row r="175" spans="9:10" ht="12.75">
      <c r="I175" s="8"/>
      <c r="J175" s="8"/>
    </row>
    <row r="176" spans="1:10" ht="12.75">
      <c r="A176" s="8" t="s">
        <v>52</v>
      </c>
      <c r="B176" s="36"/>
      <c r="C176" s="36"/>
      <c r="D176" s="36"/>
      <c r="E176" s="36"/>
      <c r="F176" s="36"/>
      <c r="G176" s="36"/>
      <c r="H176" s="36">
        <f>H143/H53</f>
        <v>1887.6375000000005</v>
      </c>
      <c r="I176" s="8"/>
      <c r="J176" s="8"/>
    </row>
    <row r="177" spans="1:10" ht="12.75">
      <c r="A177" s="8" t="s">
        <v>20</v>
      </c>
      <c r="B177" s="36">
        <f aca="true" t="shared" si="30" ref="B177:H177">B144/B53</f>
        <v>0</v>
      </c>
      <c r="C177" s="36">
        <f t="shared" si="30"/>
        <v>52.87626999999998</v>
      </c>
      <c r="D177" s="36">
        <f t="shared" si="30"/>
        <v>185.106110909091</v>
      </c>
      <c r="E177" s="36">
        <f t="shared" si="30"/>
        <v>316.0809678677692</v>
      </c>
      <c r="F177" s="36">
        <f t="shared" si="30"/>
        <v>446.2468629690765</v>
      </c>
      <c r="G177" s="36">
        <f t="shared" si="30"/>
        <v>578.3241615716796</v>
      </c>
      <c r="H177" s="36">
        <f t="shared" si="30"/>
        <v>0</v>
      </c>
      <c r="I177" s="8"/>
      <c r="J177" s="8"/>
    </row>
    <row r="178" spans="1:10" ht="12.75">
      <c r="A178" s="57" t="s">
        <v>19</v>
      </c>
      <c r="B178" s="41">
        <f>SUM(B171:B177)</f>
        <v>8389.5</v>
      </c>
      <c r="C178" s="41">
        <f aca="true" t="shared" si="31" ref="C178:H178">SUM(C171:C177)</f>
        <v>4353.036406363636</v>
      </c>
      <c r="D178" s="41">
        <f t="shared" si="31"/>
        <v>3892.459689421488</v>
      </c>
      <c r="E178" s="41">
        <f t="shared" si="31"/>
        <v>4019.5591341187082</v>
      </c>
      <c r="F178" s="41">
        <f t="shared" si="31"/>
        <v>4150.892757726648</v>
      </c>
      <c r="G178" s="41">
        <f t="shared" si="31"/>
        <v>4281.933980802132</v>
      </c>
      <c r="H178" s="41">
        <f t="shared" si="31"/>
        <v>1063.980952625455</v>
      </c>
      <c r="I178" s="8"/>
      <c r="J178" s="8"/>
    </row>
    <row r="179" spans="1:10" ht="12.75">
      <c r="A179" s="65"/>
      <c r="B179" s="66"/>
      <c r="C179" s="66"/>
      <c r="D179" s="66"/>
      <c r="E179" s="66"/>
      <c r="F179" s="66"/>
      <c r="G179" s="66"/>
      <c r="H179" s="66"/>
      <c r="I179" s="8"/>
      <c r="J179" s="8"/>
    </row>
    <row r="180" spans="1:10" ht="12.75">
      <c r="A180" s="56" t="s">
        <v>114</v>
      </c>
      <c r="B180" s="33"/>
      <c r="C180" s="33"/>
      <c r="D180" s="33"/>
      <c r="E180" s="33"/>
      <c r="F180" s="33"/>
      <c r="G180" s="33"/>
      <c r="H180" s="33"/>
      <c r="I180" s="8"/>
      <c r="J180" s="8"/>
    </row>
    <row r="181" spans="1:10" ht="12.75">
      <c r="A181" s="56" t="s">
        <v>104</v>
      </c>
      <c r="B181" s="33">
        <f>B169-B178</f>
        <v>-8389.5</v>
      </c>
      <c r="C181" s="33">
        <f aca="true" t="shared" si="32" ref="C181:H181">C169-C178</f>
        <v>1785.3955936363627</v>
      </c>
      <c r="D181" s="33">
        <f t="shared" si="32"/>
        <v>1741.1868560330581</v>
      </c>
      <c r="E181" s="33">
        <f t="shared" si="32"/>
        <v>2002.3690113358389</v>
      </c>
      <c r="F181" s="33">
        <f t="shared" si="32"/>
        <v>2286.4966997279007</v>
      </c>
      <c r="G181" s="33">
        <f t="shared" si="32"/>
        <v>2599.9990804924146</v>
      </c>
      <c r="H181" s="33">
        <f t="shared" si="32"/>
        <v>2263.103592829091</v>
      </c>
      <c r="I181" s="8"/>
      <c r="J181" s="8"/>
    </row>
    <row r="182" spans="1:10" ht="12.75">
      <c r="A182" s="9" t="s">
        <v>95</v>
      </c>
      <c r="B182" s="42">
        <f>B149</f>
        <v>0.06818181818181811</v>
      </c>
      <c r="I182" s="8"/>
      <c r="J182" s="8"/>
    </row>
    <row r="183" spans="1:10" ht="12.75">
      <c r="A183" s="7" t="s">
        <v>60</v>
      </c>
      <c r="B183" s="43">
        <f>NPV(B182,C181:H181)+B181</f>
        <v>1600.1523630781103</v>
      </c>
      <c r="C183" s="7"/>
      <c r="D183" s="7"/>
      <c r="E183" s="7"/>
      <c r="F183" s="7"/>
      <c r="G183" s="7"/>
      <c r="H183" s="7"/>
      <c r="I183" s="8"/>
      <c r="J183" s="8"/>
    </row>
    <row r="184" spans="1:10" ht="12.75">
      <c r="A184" s="7" t="s">
        <v>21</v>
      </c>
      <c r="B184" s="47">
        <f>IRR(B181:H181)</f>
        <v>0.12365416102357285</v>
      </c>
      <c r="C184" s="7"/>
      <c r="D184" s="7"/>
      <c r="E184" s="7"/>
      <c r="F184" s="7"/>
      <c r="G184" s="7"/>
      <c r="H184" s="7"/>
      <c r="I184" s="8"/>
      <c r="J184" s="8"/>
    </row>
    <row r="185" spans="9:10" ht="12.75">
      <c r="I185" s="8"/>
      <c r="J185" s="8"/>
    </row>
    <row r="186" spans="1:10" ht="12.75">
      <c r="A186" s="56" t="s">
        <v>115</v>
      </c>
      <c r="B186" s="33"/>
      <c r="C186" s="33"/>
      <c r="D186" s="33"/>
      <c r="E186" s="33"/>
      <c r="F186" s="33"/>
      <c r="G186" s="33"/>
      <c r="H186" s="33"/>
      <c r="I186" s="8"/>
      <c r="J186" s="8"/>
    </row>
    <row r="187" spans="1:10" ht="12.75">
      <c r="A187" s="56" t="s">
        <v>117</v>
      </c>
      <c r="B187" s="33">
        <f aca="true" t="shared" si="33" ref="B187:H187">B181+IF($B$21=1,B66/B53,B77/B53)</f>
        <v>-4194.75</v>
      </c>
      <c r="C187" s="33">
        <f t="shared" si="33"/>
        <v>450.7024118181812</v>
      </c>
      <c r="D187" s="33">
        <f t="shared" si="33"/>
        <v>631.8314841322322</v>
      </c>
      <c r="E187" s="33">
        <f t="shared" si="33"/>
        <v>1088.41146062209</v>
      </c>
      <c r="F187" s="33">
        <f t="shared" si="33"/>
        <v>1541.5783198358172</v>
      </c>
      <c r="G187" s="33">
        <f t="shared" si="33"/>
        <v>2000.9388449148648</v>
      </c>
      <c r="H187" s="33">
        <f t="shared" si="33"/>
        <v>2263.103592829091</v>
      </c>
      <c r="I187" s="8"/>
      <c r="J187" s="8"/>
    </row>
    <row r="188" spans="1:10" ht="15.75">
      <c r="A188" s="60" t="s">
        <v>118</v>
      </c>
      <c r="B188" s="61">
        <f>(1+B48)/(1+B4)-1</f>
        <v>0.09090909090909083</v>
      </c>
      <c r="I188" s="8"/>
      <c r="J188" s="8"/>
    </row>
    <row r="189" spans="1:10" ht="12.75">
      <c r="A189" s="59" t="s">
        <v>60</v>
      </c>
      <c r="B189" s="43">
        <f>NPV(B188,C187:H187)+B187</f>
        <v>1313.8640245277775</v>
      </c>
      <c r="I189" s="8"/>
      <c r="J189" s="8"/>
    </row>
    <row r="190" spans="1:10" ht="12.75">
      <c r="A190" s="59" t="s">
        <v>21</v>
      </c>
      <c r="B190" s="47">
        <f>IRR(B187:H187)</f>
        <v>0.16642452317319645</v>
      </c>
      <c r="I190" s="8"/>
      <c r="J190" s="8"/>
    </row>
    <row r="191" spans="1:10" ht="12.75">
      <c r="A191" s="65"/>
      <c r="B191" s="66"/>
      <c r="C191" s="66"/>
      <c r="D191" s="66"/>
      <c r="E191" s="66"/>
      <c r="F191" s="66"/>
      <c r="G191" s="66"/>
      <c r="H191" s="66"/>
      <c r="I191" s="8"/>
      <c r="J191" s="8"/>
    </row>
    <row r="192" spans="1:10" ht="12.7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2.7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2.7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2.7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2.7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2.7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2.7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2.7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2.7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2.7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2.7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2.7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2.7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2.7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2.7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2.7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2.7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2.7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2.7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2.7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2.7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2.7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2.7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2.7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2.7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2.7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2.7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2.7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2.7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2.7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2.7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2.7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2.7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2.7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2.7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2.7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2.7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2.7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2.7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2.7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2.7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2.7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2.7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2.7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2.7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2.7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2.7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2.7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2.7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2.7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2.7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2.7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2.7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2.7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2.7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2.7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2.7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2.7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2.7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2.7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2.7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2.7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2.7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2.7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2.7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2.7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2.7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2.7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2.7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2.7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2.7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2.7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2.7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2.7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2.75">
      <c r="A266" s="8"/>
      <c r="B266" s="8"/>
      <c r="C266" s="8"/>
      <c r="D266" s="8"/>
      <c r="E266" s="8"/>
      <c r="F266" s="8"/>
      <c r="G266" s="8"/>
      <c r="H266" s="8"/>
      <c r="I266" s="8"/>
      <c r="J266" s="8"/>
    </row>
  </sheetData>
  <sheetProtection/>
  <printOptions gridLines="1" headings="1"/>
  <pageMargins left="1.5" right="1.25" top="1.25" bottom="1.25" header="0.5" footer="0.5"/>
  <pageSetup blackAndWhite="1" fitToHeight="1" fitToWidth="1" horizontalDpi="600" verticalDpi="600" orientation="landscape" paperSize="9" scale="12" r:id="rId3"/>
  <ignoredErrors>
    <ignoredError sqref="C116:G116 C135" 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66"/>
  <sheetViews>
    <sheetView zoomScale="90" zoomScaleNormal="90" zoomScalePageLayoutView="0" workbookViewId="0" topLeftCell="A1">
      <pane xSplit="1" ySplit="2" topLeftCell="B6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23" sqref="H123"/>
    </sheetView>
  </sheetViews>
  <sheetFormatPr defaultColWidth="9.140625" defaultRowHeight="12.75"/>
  <cols>
    <col min="1" max="1" width="43.7109375" style="3" customWidth="1"/>
    <col min="2" max="8" width="11.28125" style="3" customWidth="1"/>
    <col min="9" max="16384" width="9.140625" style="3" customWidth="1"/>
  </cols>
  <sheetData>
    <row r="1" ht="12.75">
      <c r="A1" s="7" t="s">
        <v>83</v>
      </c>
    </row>
    <row r="2" spans="1:8" ht="13.5" thickBot="1">
      <c r="A2" s="2" t="s">
        <v>56</v>
      </c>
      <c r="B2" s="67">
        <v>2013</v>
      </c>
      <c r="C2" s="67">
        <v>2014</v>
      </c>
      <c r="D2" s="67">
        <v>2015</v>
      </c>
      <c r="E2" s="67">
        <v>2016</v>
      </c>
      <c r="F2" s="67">
        <v>2017</v>
      </c>
      <c r="G2" s="67">
        <v>2018</v>
      </c>
      <c r="H2" s="67">
        <v>2019</v>
      </c>
    </row>
    <row r="3" ht="13.5" thickTop="1">
      <c r="A3" s="2" t="s">
        <v>57</v>
      </c>
    </row>
    <row r="4" spans="1:3" ht="12.75">
      <c r="A4" s="3" t="s">
        <v>10</v>
      </c>
      <c r="B4" s="4">
        <v>0.1</v>
      </c>
      <c r="C4" s="5"/>
    </row>
    <row r="5" spans="1:3" ht="12.75">
      <c r="A5" s="3" t="s">
        <v>34</v>
      </c>
      <c r="B5" s="46">
        <v>21000</v>
      </c>
      <c r="C5" s="3" t="s">
        <v>79</v>
      </c>
    </row>
    <row r="6" spans="1:3" ht="12.75">
      <c r="A6" s="7" t="s">
        <v>99</v>
      </c>
      <c r="B6" s="8"/>
      <c r="C6" s="9"/>
    </row>
    <row r="7" spans="1:3" ht="12.75">
      <c r="A7" s="3" t="s">
        <v>38</v>
      </c>
      <c r="B7" s="46">
        <v>47000</v>
      </c>
      <c r="C7" s="3" t="s">
        <v>23</v>
      </c>
    </row>
    <row r="8" spans="1:3" ht="12.75">
      <c r="A8" s="3" t="s">
        <v>33</v>
      </c>
      <c r="B8" s="10">
        <v>0.7</v>
      </c>
      <c r="C8" s="9"/>
    </row>
    <row r="9" spans="1:3" ht="12.75">
      <c r="A9" s="3" t="s">
        <v>82</v>
      </c>
      <c r="B9" s="8">
        <v>5</v>
      </c>
      <c r="C9" s="3" t="s">
        <v>2</v>
      </c>
    </row>
    <row r="10" spans="1:3" ht="12.75">
      <c r="A10" s="3" t="s">
        <v>86</v>
      </c>
      <c r="B10" s="8">
        <v>1</v>
      </c>
      <c r="C10" s="3" t="s">
        <v>2</v>
      </c>
    </row>
    <row r="11" ht="12.75">
      <c r="A11" s="7" t="s">
        <v>49</v>
      </c>
    </row>
    <row r="12" spans="1:3" ht="12.75">
      <c r="A12" s="3" t="s">
        <v>48</v>
      </c>
      <c r="B12" s="3">
        <v>10</v>
      </c>
      <c r="C12" s="3" t="s">
        <v>9</v>
      </c>
    </row>
    <row r="13" spans="1:3" ht="12.75">
      <c r="A13" s="3" t="s">
        <v>49</v>
      </c>
      <c r="B13" s="3">
        <v>3</v>
      </c>
      <c r="C13" s="3" t="s">
        <v>9</v>
      </c>
    </row>
    <row r="14" spans="1:3" ht="12.75">
      <c r="A14" s="3" t="s">
        <v>51</v>
      </c>
      <c r="B14" s="3">
        <v>1</v>
      </c>
      <c r="C14" s="3" t="s">
        <v>9</v>
      </c>
    </row>
    <row r="15" spans="1:3" ht="12.75">
      <c r="A15" s="3" t="s">
        <v>52</v>
      </c>
      <c r="B15" s="6">
        <v>0.45</v>
      </c>
      <c r="C15" s="3" t="s">
        <v>53</v>
      </c>
    </row>
    <row r="16" ht="12.75">
      <c r="A16" s="7" t="s">
        <v>7</v>
      </c>
    </row>
    <row r="17" spans="1:3" ht="12.75">
      <c r="A17" s="3" t="s">
        <v>39</v>
      </c>
      <c r="B17" s="12">
        <v>0.5</v>
      </c>
      <c r="C17" s="3" t="s">
        <v>46</v>
      </c>
    </row>
    <row r="18" spans="1:2" ht="12.75">
      <c r="A18" s="3" t="s">
        <v>111</v>
      </c>
      <c r="B18" s="12">
        <f>(1+15%)/(1+10%)-1</f>
        <v>0.04545454545454519</v>
      </c>
    </row>
    <row r="19" spans="1:2" ht="12.75">
      <c r="A19" s="3" t="s">
        <v>110</v>
      </c>
      <c r="B19" s="6">
        <f>(1+B18)*(1+B4)-1</f>
        <v>0.1499999999999999</v>
      </c>
    </row>
    <row r="20" spans="1:3" ht="12.75">
      <c r="A20" s="3" t="s">
        <v>8</v>
      </c>
      <c r="B20" s="13">
        <v>5</v>
      </c>
      <c r="C20" s="14" t="s">
        <v>9</v>
      </c>
    </row>
    <row r="21" spans="1:3" ht="12.75">
      <c r="A21" s="3" t="s">
        <v>126</v>
      </c>
      <c r="B21" s="13">
        <v>1</v>
      </c>
      <c r="C21" s="14"/>
    </row>
    <row r="22" spans="1:3" ht="12.75">
      <c r="A22" s="3" t="s">
        <v>125</v>
      </c>
      <c r="B22" s="13"/>
      <c r="C22" s="14"/>
    </row>
    <row r="23" ht="12.75">
      <c r="A23" s="7" t="s">
        <v>0</v>
      </c>
    </row>
    <row r="24" spans="1:3" ht="12.75">
      <c r="A24" s="3" t="s">
        <v>61</v>
      </c>
      <c r="B24" s="3">
        <v>15</v>
      </c>
      <c r="C24" s="3" t="s">
        <v>45</v>
      </c>
    </row>
    <row r="25" spans="1:3" ht="12.75">
      <c r="A25" s="3" t="s">
        <v>62</v>
      </c>
      <c r="B25" s="3">
        <v>8</v>
      </c>
      <c r="C25" s="3" t="s">
        <v>88</v>
      </c>
    </row>
    <row r="26" spans="1:5" ht="12.75">
      <c r="A26" s="3" t="s">
        <v>3</v>
      </c>
      <c r="B26" s="3">
        <v>360</v>
      </c>
      <c r="C26" s="3" t="s">
        <v>44</v>
      </c>
      <c r="E26" s="45"/>
    </row>
    <row r="27" spans="1:2" ht="12.75">
      <c r="A27" s="3" t="s">
        <v>80</v>
      </c>
      <c r="B27" s="6">
        <v>0.07</v>
      </c>
    </row>
    <row r="28" spans="1:3" ht="12.75">
      <c r="A28" s="3" t="s">
        <v>81</v>
      </c>
      <c r="B28" s="3">
        <v>60</v>
      </c>
      <c r="C28" s="3" t="s">
        <v>63</v>
      </c>
    </row>
    <row r="29" spans="1:3" ht="12.75">
      <c r="A29" s="3" t="s">
        <v>64</v>
      </c>
      <c r="B29" s="46">
        <v>5000</v>
      </c>
      <c r="C29" s="3" t="s">
        <v>66</v>
      </c>
    </row>
    <row r="30" spans="1:2" ht="12.75">
      <c r="A30" s="3" t="s">
        <v>84</v>
      </c>
      <c r="B30" s="48">
        <v>0.1</v>
      </c>
    </row>
    <row r="31" spans="1:2" ht="12.75">
      <c r="A31" s="3" t="s">
        <v>65</v>
      </c>
      <c r="B31" s="6">
        <v>0.5</v>
      </c>
    </row>
    <row r="32" ht="12.75">
      <c r="A32" s="7" t="s">
        <v>11</v>
      </c>
    </row>
    <row r="33" spans="1:3" ht="12.75">
      <c r="A33" s="3" t="s">
        <v>70</v>
      </c>
      <c r="B33" s="3">
        <v>0.32</v>
      </c>
      <c r="C33" s="3" t="s">
        <v>73</v>
      </c>
    </row>
    <row r="34" spans="1:3" ht="12.75">
      <c r="A34" s="3" t="s">
        <v>71</v>
      </c>
      <c r="B34" s="46">
        <v>21500</v>
      </c>
      <c r="C34" s="3" t="s">
        <v>72</v>
      </c>
    </row>
    <row r="35" spans="1:3" ht="12.75">
      <c r="A35" s="3" t="s">
        <v>67</v>
      </c>
      <c r="B35" s="46">
        <v>8000000</v>
      </c>
      <c r="C35" s="3" t="s">
        <v>66</v>
      </c>
    </row>
    <row r="36" spans="1:3" ht="12.75">
      <c r="A36" s="3" t="s">
        <v>68</v>
      </c>
      <c r="B36" s="46">
        <v>5000000</v>
      </c>
      <c r="C36" s="3" t="s">
        <v>66</v>
      </c>
    </row>
    <row r="37" spans="1:3" ht="12.75">
      <c r="A37" s="3" t="s">
        <v>12</v>
      </c>
      <c r="B37" s="46">
        <v>12000000</v>
      </c>
      <c r="C37" s="3" t="s">
        <v>74</v>
      </c>
    </row>
    <row r="38" spans="1:2" ht="12.75">
      <c r="A38" s="3" t="s">
        <v>75</v>
      </c>
      <c r="B38" s="11">
        <v>0.0185</v>
      </c>
    </row>
    <row r="39" spans="1:2" ht="12.75">
      <c r="A39" s="3" t="s">
        <v>76</v>
      </c>
      <c r="B39" s="11">
        <v>0.0191</v>
      </c>
    </row>
    <row r="40" spans="1:3" ht="12.75">
      <c r="A40" s="3" t="s">
        <v>24</v>
      </c>
      <c r="B40" s="46">
        <v>935</v>
      </c>
      <c r="C40" s="3" t="s">
        <v>41</v>
      </c>
    </row>
    <row r="41" ht="12.75">
      <c r="A41" s="7" t="s">
        <v>4</v>
      </c>
    </row>
    <row r="42" spans="1:3" ht="12.75">
      <c r="A42" s="3" t="s">
        <v>25</v>
      </c>
      <c r="B42" s="6">
        <v>0.05</v>
      </c>
      <c r="C42" s="3" t="s">
        <v>32</v>
      </c>
    </row>
    <row r="43" spans="1:3" ht="12.75">
      <c r="A43" s="3" t="s">
        <v>5</v>
      </c>
      <c r="B43" s="6">
        <v>0.25</v>
      </c>
      <c r="C43" s="3" t="s">
        <v>93</v>
      </c>
    </row>
    <row r="44" spans="1:3" ht="12.75">
      <c r="A44" s="3" t="s">
        <v>43</v>
      </c>
      <c r="B44" s="6">
        <v>0</v>
      </c>
      <c r="C44" s="3" t="s">
        <v>32</v>
      </c>
    </row>
    <row r="45" spans="1:3" ht="12.75">
      <c r="A45" s="3" t="s">
        <v>6</v>
      </c>
      <c r="B45" s="6">
        <v>0.5</v>
      </c>
      <c r="C45" s="3" t="s">
        <v>54</v>
      </c>
    </row>
    <row r="46" ht="12.75">
      <c r="A46" s="7" t="s">
        <v>58</v>
      </c>
    </row>
    <row r="47" spans="1:2" ht="12.75">
      <c r="A47" s="3" t="s">
        <v>132</v>
      </c>
      <c r="B47" s="6">
        <v>0.22</v>
      </c>
    </row>
    <row r="48" spans="1:2" ht="12.75">
      <c r="A48" s="3" t="s">
        <v>131</v>
      </c>
      <c r="B48" s="6">
        <v>0.2</v>
      </c>
    </row>
    <row r="51" spans="1:8" ht="12.75">
      <c r="A51" s="7" t="s">
        <v>120</v>
      </c>
      <c r="B51" s="7"/>
      <c r="C51" s="7"/>
      <c r="D51" s="7"/>
      <c r="E51" s="7"/>
      <c r="F51" s="7"/>
      <c r="G51" s="7"/>
      <c r="H51" s="7"/>
    </row>
    <row r="52" spans="1:8" ht="13.5" thickBot="1">
      <c r="A52" s="17"/>
      <c r="B52" s="18">
        <v>0</v>
      </c>
      <c r="C52" s="18">
        <v>1</v>
      </c>
      <c r="D52" s="18">
        <v>2</v>
      </c>
      <c r="E52" s="18">
        <v>3</v>
      </c>
      <c r="F52" s="18">
        <v>4</v>
      </c>
      <c r="G52" s="18">
        <v>5</v>
      </c>
      <c r="H52" s="18">
        <v>6</v>
      </c>
    </row>
    <row r="53" spans="1:8" ht="13.5" thickTop="1">
      <c r="A53" s="19" t="s">
        <v>121</v>
      </c>
      <c r="B53" s="20"/>
      <c r="C53" s="20"/>
      <c r="D53" s="20"/>
      <c r="E53" s="20"/>
      <c r="F53" s="20"/>
      <c r="G53" s="20"/>
      <c r="H53" s="20"/>
    </row>
    <row r="54" spans="1:8" ht="12.75">
      <c r="A54" s="19"/>
      <c r="B54" s="20"/>
      <c r="C54" s="20"/>
      <c r="D54" s="20"/>
      <c r="E54" s="20"/>
      <c r="F54" s="20"/>
      <c r="G54" s="20"/>
      <c r="H54" s="20"/>
    </row>
    <row r="55" spans="1:4" ht="12.75">
      <c r="A55" s="19"/>
      <c r="B55" s="22" t="s">
        <v>35</v>
      </c>
      <c r="C55" s="23"/>
      <c r="D55" s="23"/>
    </row>
    <row r="56" spans="1:2" ht="13.5" thickBot="1">
      <c r="A56" s="7" t="s">
        <v>30</v>
      </c>
      <c r="B56" s="24">
        <v>0</v>
      </c>
    </row>
    <row r="57" ht="13.5" thickTop="1">
      <c r="B57" s="1"/>
    </row>
    <row r="58" ht="12.75">
      <c r="B58" s="1"/>
    </row>
    <row r="59" spans="1:3" ht="12.75">
      <c r="A59" s="27" t="s">
        <v>127</v>
      </c>
      <c r="B59" s="22" t="s">
        <v>35</v>
      </c>
      <c r="C59" s="19"/>
    </row>
    <row r="60" spans="1:8" ht="13.5" thickBot="1">
      <c r="A60" s="17"/>
      <c r="B60" s="18">
        <v>0</v>
      </c>
      <c r="C60" s="18">
        <v>1</v>
      </c>
      <c r="D60" s="18">
        <v>2</v>
      </c>
      <c r="E60" s="18">
        <v>3</v>
      </c>
      <c r="F60" s="18">
        <v>4</v>
      </c>
      <c r="G60" s="18">
        <v>5</v>
      </c>
      <c r="H60" s="18">
        <v>6</v>
      </c>
    </row>
    <row r="61" spans="1:7" ht="13.5" thickTop="1">
      <c r="A61" s="3" t="s">
        <v>14</v>
      </c>
      <c r="B61" s="1"/>
      <c r="C61" s="1"/>
      <c r="D61" s="1"/>
      <c r="E61" s="1"/>
      <c r="F61" s="1"/>
      <c r="G61" s="1"/>
    </row>
    <row r="62" spans="1:7" ht="12.75">
      <c r="A62" s="3" t="s">
        <v>108</v>
      </c>
      <c r="B62" s="1"/>
      <c r="C62" s="1"/>
      <c r="D62" s="1"/>
      <c r="E62" s="1"/>
      <c r="F62" s="1"/>
      <c r="G62" s="1"/>
    </row>
    <row r="63" spans="1:7" ht="12.75">
      <c r="A63" s="3" t="s">
        <v>109</v>
      </c>
      <c r="B63" s="1"/>
      <c r="C63" s="1"/>
      <c r="D63" s="1"/>
      <c r="E63" s="1"/>
      <c r="F63" s="1"/>
      <c r="G63" s="1"/>
    </row>
    <row r="64" spans="1:7" ht="12.75">
      <c r="A64" s="3" t="s">
        <v>129</v>
      </c>
      <c r="B64" s="1"/>
      <c r="C64" s="1"/>
      <c r="D64" s="1"/>
      <c r="E64" s="1"/>
      <c r="F64" s="1"/>
      <c r="G64" s="1"/>
    </row>
    <row r="65" spans="1:8" ht="12.75">
      <c r="A65" s="21" t="s">
        <v>15</v>
      </c>
      <c r="B65" s="30"/>
      <c r="C65" s="30"/>
      <c r="D65" s="30"/>
      <c r="E65" s="30"/>
      <c r="F65" s="30"/>
      <c r="G65" s="30"/>
      <c r="H65" s="21"/>
    </row>
    <row r="66" spans="1:7" ht="12.75">
      <c r="A66" s="19" t="s">
        <v>106</v>
      </c>
      <c r="B66" s="31"/>
      <c r="C66" s="31"/>
      <c r="D66" s="31"/>
      <c r="E66" s="31"/>
      <c r="F66" s="31"/>
      <c r="G66" s="31"/>
    </row>
    <row r="67" spans="1:2" ht="12.75">
      <c r="A67" s="3" t="s">
        <v>107</v>
      </c>
      <c r="B67" s="62"/>
    </row>
    <row r="68" ht="12.75">
      <c r="B68" s="62"/>
    </row>
    <row r="69" spans="1:3" ht="12.75">
      <c r="A69" s="27" t="s">
        <v>128</v>
      </c>
      <c r="B69" s="22" t="s">
        <v>35</v>
      </c>
      <c r="C69" s="19"/>
    </row>
    <row r="70" spans="1:8" ht="13.5" thickBot="1">
      <c r="A70" s="17"/>
      <c r="B70" s="18">
        <v>0</v>
      </c>
      <c r="C70" s="18">
        <v>1</v>
      </c>
      <c r="D70" s="18">
        <v>2</v>
      </c>
      <c r="E70" s="18">
        <v>3</v>
      </c>
      <c r="F70" s="18">
        <v>4</v>
      </c>
      <c r="G70" s="18">
        <v>5</v>
      </c>
      <c r="H70" s="18">
        <v>6</v>
      </c>
    </row>
    <row r="71" spans="1:7" ht="13.5" thickTop="1">
      <c r="A71" s="3" t="s">
        <v>14</v>
      </c>
      <c r="B71" s="1"/>
      <c r="C71" s="1"/>
      <c r="D71" s="1"/>
      <c r="E71" s="1"/>
      <c r="F71" s="1"/>
      <c r="G71" s="1"/>
    </row>
    <row r="72" spans="1:7" ht="12.75">
      <c r="A72" s="3" t="s">
        <v>108</v>
      </c>
      <c r="B72" s="44"/>
      <c r="C72" s="1"/>
      <c r="D72" s="1"/>
      <c r="E72" s="1"/>
      <c r="F72" s="1"/>
      <c r="G72" s="1"/>
    </row>
    <row r="73" spans="1:7" ht="12.75">
      <c r="A73" s="3" t="s">
        <v>109</v>
      </c>
      <c r="B73" s="1"/>
      <c r="C73" s="1"/>
      <c r="D73" s="1"/>
      <c r="E73" s="1"/>
      <c r="F73" s="1"/>
      <c r="G73" s="1"/>
    </row>
    <row r="74" spans="1:7" ht="12.75">
      <c r="A74" s="3" t="s">
        <v>40</v>
      </c>
      <c r="B74" s="1"/>
      <c r="C74" s="1"/>
      <c r="D74" s="1"/>
      <c r="E74" s="1"/>
      <c r="F74" s="1"/>
      <c r="G74" s="1"/>
    </row>
    <row r="75" spans="1:7" ht="12.75">
      <c r="A75" s="3" t="s">
        <v>130</v>
      </c>
      <c r="B75" s="1"/>
      <c r="C75" s="1"/>
      <c r="D75" s="1"/>
      <c r="E75" s="1"/>
      <c r="F75" s="1"/>
      <c r="G75" s="1"/>
    </row>
    <row r="76" spans="1:8" ht="12.75">
      <c r="A76" s="21" t="s">
        <v>15</v>
      </c>
      <c r="B76" s="30"/>
      <c r="C76" s="30"/>
      <c r="D76" s="30"/>
      <c r="E76" s="30"/>
      <c r="F76" s="30"/>
      <c r="G76" s="30"/>
      <c r="H76" s="21"/>
    </row>
    <row r="77" spans="1:7" ht="12.75">
      <c r="A77" s="19" t="s">
        <v>106</v>
      </c>
      <c r="B77" s="31"/>
      <c r="C77" s="31"/>
      <c r="D77" s="31"/>
      <c r="E77" s="31"/>
      <c r="F77" s="31"/>
      <c r="G77" s="31"/>
    </row>
    <row r="78" spans="1:2" ht="12.75">
      <c r="A78" s="3" t="s">
        <v>107</v>
      </c>
      <c r="B78" s="62"/>
    </row>
    <row r="79" ht="12.75">
      <c r="B79" s="62"/>
    </row>
    <row r="80" spans="1:2" ht="12.75">
      <c r="A80" s="7" t="s">
        <v>123</v>
      </c>
      <c r="B80" s="62"/>
    </row>
    <row r="81" spans="1:8" ht="13.5" thickBot="1">
      <c r="A81" s="17"/>
      <c r="B81" s="18">
        <v>0</v>
      </c>
      <c r="C81" s="18">
        <v>1</v>
      </c>
      <c r="D81" s="18">
        <v>2</v>
      </c>
      <c r="E81" s="18">
        <v>3</v>
      </c>
      <c r="F81" s="18">
        <v>4</v>
      </c>
      <c r="G81" s="18">
        <v>5</v>
      </c>
      <c r="H81" s="18">
        <v>6</v>
      </c>
    </row>
    <row r="82" spans="1:7" ht="13.5" thickTop="1">
      <c r="A82" s="3" t="s">
        <v>26</v>
      </c>
      <c r="B82" s="1"/>
      <c r="C82" s="1"/>
      <c r="D82" s="1"/>
      <c r="E82" s="1"/>
      <c r="F82" s="1"/>
      <c r="G82" s="1"/>
    </row>
    <row r="83" spans="1:7" ht="12.75">
      <c r="A83" s="3" t="s">
        <v>27</v>
      </c>
      <c r="B83" s="1"/>
      <c r="C83" s="1"/>
      <c r="D83" s="1"/>
      <c r="E83" s="1"/>
      <c r="F83" s="1"/>
      <c r="G83" s="1"/>
    </row>
    <row r="84" spans="1:7" ht="12.75">
      <c r="A84" s="3" t="s">
        <v>16</v>
      </c>
      <c r="B84" s="1"/>
      <c r="C84" s="1"/>
      <c r="D84" s="1"/>
      <c r="E84" s="1"/>
      <c r="F84" s="1"/>
      <c r="G84" s="1"/>
    </row>
    <row r="85" spans="1:8" ht="12.75">
      <c r="A85" s="21" t="s">
        <v>28</v>
      </c>
      <c r="B85" s="30"/>
      <c r="C85" s="30"/>
      <c r="D85" s="30"/>
      <c r="E85" s="30"/>
      <c r="F85" s="30"/>
      <c r="G85" s="30"/>
      <c r="H85" s="21"/>
    </row>
    <row r="86" ht="12.75">
      <c r="B86" s="1"/>
    </row>
    <row r="87" ht="12.75">
      <c r="B87" s="1"/>
    </row>
    <row r="88" spans="1:3" ht="12.75">
      <c r="A88" s="3" t="s">
        <v>87</v>
      </c>
      <c r="B88" s="8"/>
      <c r="C88" s="3" t="s">
        <v>45</v>
      </c>
    </row>
    <row r="89" ht="12.75">
      <c r="B89" s="1"/>
    </row>
    <row r="90" spans="1:2" ht="12.75">
      <c r="A90" s="7" t="s">
        <v>0</v>
      </c>
      <c r="B90" s="22" t="s">
        <v>35</v>
      </c>
    </row>
    <row r="91" spans="1:8" ht="13.5" thickBot="1">
      <c r="A91" s="17"/>
      <c r="B91" s="18">
        <v>0</v>
      </c>
      <c r="C91" s="18">
        <v>1</v>
      </c>
      <c r="D91" s="18">
        <v>2</v>
      </c>
      <c r="E91" s="18">
        <v>3</v>
      </c>
      <c r="F91" s="18">
        <v>4</v>
      </c>
      <c r="G91" s="18">
        <v>5</v>
      </c>
      <c r="H91" s="18">
        <v>6</v>
      </c>
    </row>
    <row r="92" spans="1:8" ht="13.5" thickTop="1">
      <c r="A92" s="3" t="s">
        <v>85</v>
      </c>
      <c r="B92" s="1"/>
      <c r="C92" s="1"/>
      <c r="D92" s="1"/>
      <c r="E92" s="1"/>
      <c r="F92" s="1"/>
      <c r="G92" s="1"/>
      <c r="H92" s="1"/>
    </row>
    <row r="93" spans="1:8" ht="12.75">
      <c r="A93" s="3" t="s">
        <v>92</v>
      </c>
      <c r="B93" s="1"/>
      <c r="C93" s="1"/>
      <c r="D93" s="1"/>
      <c r="E93" s="1"/>
      <c r="F93" s="1"/>
      <c r="G93" s="1"/>
      <c r="H93" s="1"/>
    </row>
    <row r="94" spans="1:8" ht="12.75">
      <c r="A94" s="3" t="s">
        <v>89</v>
      </c>
      <c r="B94" s="1"/>
      <c r="C94" s="1"/>
      <c r="D94" s="1"/>
      <c r="E94" s="1"/>
      <c r="F94" s="1"/>
      <c r="G94" s="1"/>
      <c r="H94" s="1"/>
    </row>
    <row r="95" spans="1:8" ht="12.75">
      <c r="A95" s="3" t="s">
        <v>90</v>
      </c>
      <c r="B95" s="1"/>
      <c r="C95" s="1"/>
      <c r="D95" s="1"/>
      <c r="E95" s="1"/>
      <c r="F95" s="1"/>
      <c r="G95" s="1"/>
      <c r="H95" s="1"/>
    </row>
    <row r="96" spans="1:8" ht="12.75">
      <c r="A96" s="3" t="s">
        <v>91</v>
      </c>
      <c r="B96" s="1"/>
      <c r="C96" s="1"/>
      <c r="D96" s="1"/>
      <c r="E96" s="1"/>
      <c r="F96" s="1"/>
      <c r="G96" s="1"/>
      <c r="H96" s="1"/>
    </row>
    <row r="97" spans="1:8" ht="12.75">
      <c r="A97" s="56" t="s">
        <v>0</v>
      </c>
      <c r="B97" s="25"/>
      <c r="C97" s="58"/>
      <c r="D97" s="58"/>
      <c r="E97" s="58"/>
      <c r="F97" s="58"/>
      <c r="G97" s="58"/>
      <c r="H97" s="25"/>
    </row>
    <row r="98" spans="1:4" ht="12.75">
      <c r="A98" s="19"/>
      <c r="B98" s="19"/>
      <c r="C98" s="19"/>
      <c r="D98" s="23"/>
    </row>
    <row r="99" spans="1:2" ht="12.75">
      <c r="A99" s="7" t="s">
        <v>11</v>
      </c>
      <c r="B99" s="22" t="s">
        <v>35</v>
      </c>
    </row>
    <row r="100" spans="1:8" ht="13.5" thickBot="1">
      <c r="A100" s="17"/>
      <c r="B100" s="18">
        <v>0</v>
      </c>
      <c r="C100" s="18">
        <v>1</v>
      </c>
      <c r="D100" s="18">
        <v>2</v>
      </c>
      <c r="E100" s="18">
        <v>3</v>
      </c>
      <c r="F100" s="18">
        <v>4</v>
      </c>
      <c r="G100" s="18">
        <v>5</v>
      </c>
      <c r="H100" s="18">
        <v>6</v>
      </c>
    </row>
    <row r="101" spans="1:8" ht="13.5" thickTop="1">
      <c r="A101" s="3" t="s">
        <v>22</v>
      </c>
      <c r="B101" s="1"/>
      <c r="C101" s="1"/>
      <c r="D101" s="1"/>
      <c r="E101" s="1"/>
      <c r="F101" s="1"/>
      <c r="G101" s="1"/>
      <c r="H101" s="26"/>
    </row>
    <row r="102" spans="1:8" ht="12.75">
      <c r="A102" s="3" t="s">
        <v>69</v>
      </c>
      <c r="B102" s="1"/>
      <c r="C102" s="1"/>
      <c r="D102" s="1"/>
      <c r="E102" s="1"/>
      <c r="F102" s="1"/>
      <c r="G102" s="1"/>
      <c r="H102" s="26"/>
    </row>
    <row r="103" spans="1:7" ht="12.75">
      <c r="A103" s="3" t="s">
        <v>12</v>
      </c>
      <c r="B103" s="1"/>
      <c r="C103" s="1"/>
      <c r="D103" s="1"/>
      <c r="E103" s="1"/>
      <c r="F103" s="1"/>
      <c r="G103" s="1"/>
    </row>
    <row r="104" spans="1:7" ht="12.75">
      <c r="A104" s="3" t="s">
        <v>13</v>
      </c>
      <c r="B104" s="1"/>
      <c r="C104" s="1"/>
      <c r="D104" s="1"/>
      <c r="E104" s="1"/>
      <c r="F104" s="1"/>
      <c r="G104" s="1"/>
    </row>
    <row r="105" spans="1:7" ht="12.75">
      <c r="A105" s="3" t="s">
        <v>37</v>
      </c>
      <c r="B105" s="1"/>
      <c r="C105" s="1"/>
      <c r="D105" s="1"/>
      <c r="E105" s="1"/>
      <c r="F105" s="1"/>
      <c r="G105" s="1"/>
    </row>
    <row r="106" spans="1:8" s="7" customFormat="1" ht="12.75">
      <c r="A106" s="27" t="s">
        <v>124</v>
      </c>
      <c r="B106" s="28"/>
      <c r="C106" s="28"/>
      <c r="D106" s="28"/>
      <c r="E106" s="33"/>
      <c r="F106" s="33"/>
      <c r="G106" s="33"/>
      <c r="H106" s="56"/>
    </row>
    <row r="107" spans="1:4" ht="12.75">
      <c r="A107" s="29"/>
      <c r="B107" s="29"/>
      <c r="C107" s="29"/>
      <c r="D107" s="29"/>
    </row>
    <row r="108" spans="1:8" ht="12.75">
      <c r="A108" s="7" t="s">
        <v>101</v>
      </c>
      <c r="B108" s="22" t="s">
        <v>35</v>
      </c>
      <c r="H108" s="22"/>
    </row>
    <row r="109" spans="1:8" ht="13.5" thickBot="1">
      <c r="A109" s="17"/>
      <c r="B109" s="18">
        <v>0</v>
      </c>
      <c r="C109" s="18">
        <v>1</v>
      </c>
      <c r="D109" s="18">
        <v>2</v>
      </c>
      <c r="E109" s="18">
        <v>3</v>
      </c>
      <c r="F109" s="18">
        <v>4</v>
      </c>
      <c r="G109" s="18">
        <v>5</v>
      </c>
      <c r="H109" s="18">
        <v>6</v>
      </c>
    </row>
    <row r="110" spans="1:7" ht="13.5" thickTop="1">
      <c r="A110" s="3" t="s">
        <v>0</v>
      </c>
      <c r="B110" s="1"/>
      <c r="C110" s="1"/>
      <c r="D110" s="1"/>
      <c r="E110" s="1"/>
      <c r="F110" s="1"/>
      <c r="G110" s="1"/>
    </row>
    <row r="111" spans="1:7" ht="12.75">
      <c r="A111" s="3" t="s">
        <v>11</v>
      </c>
      <c r="B111" s="1"/>
      <c r="C111" s="1"/>
      <c r="D111" s="1"/>
      <c r="E111" s="1"/>
      <c r="F111" s="1"/>
      <c r="G111" s="1"/>
    </row>
    <row r="112" spans="1:7" ht="12.75">
      <c r="A112" s="3" t="s">
        <v>123</v>
      </c>
      <c r="B112" s="1"/>
      <c r="C112" s="1"/>
      <c r="D112" s="1"/>
      <c r="E112" s="1"/>
      <c r="F112" s="1"/>
      <c r="G112" s="1"/>
    </row>
    <row r="113" spans="1:7" ht="12.75">
      <c r="A113" s="3" t="s">
        <v>1</v>
      </c>
      <c r="B113" s="1"/>
      <c r="C113" s="1"/>
      <c r="D113" s="1"/>
      <c r="E113" s="1"/>
      <c r="F113" s="1"/>
      <c r="G113" s="1"/>
    </row>
    <row r="114" spans="1:7" ht="12.75">
      <c r="A114" s="3" t="s">
        <v>17</v>
      </c>
      <c r="B114" s="1"/>
      <c r="C114" s="1"/>
      <c r="D114" s="1"/>
      <c r="E114" s="1"/>
      <c r="F114" s="1"/>
      <c r="G114" s="1"/>
    </row>
    <row r="115" spans="1:7" ht="12.75">
      <c r="A115" s="3" t="s">
        <v>18</v>
      </c>
      <c r="B115" s="1"/>
      <c r="C115" s="1"/>
      <c r="D115" s="1"/>
      <c r="E115" s="1"/>
      <c r="F115" s="1"/>
      <c r="G115" s="1"/>
    </row>
    <row r="116" spans="1:7" ht="12.75">
      <c r="A116" s="7" t="s">
        <v>20</v>
      </c>
      <c r="B116" s="28"/>
      <c r="C116" s="28"/>
      <c r="D116" s="28"/>
      <c r="E116" s="28"/>
      <c r="F116" s="28"/>
      <c r="G116" s="28"/>
    </row>
    <row r="117" spans="1:8" s="7" customFormat="1" ht="12.75">
      <c r="A117" s="21" t="s">
        <v>59</v>
      </c>
      <c r="B117" s="33"/>
      <c r="C117" s="30"/>
      <c r="D117" s="30"/>
      <c r="E117" s="30"/>
      <c r="F117" s="30"/>
      <c r="G117" s="30"/>
      <c r="H117" s="56"/>
    </row>
    <row r="119" spans="1:2" ht="12.75">
      <c r="A119" s="7" t="s">
        <v>4</v>
      </c>
      <c r="B119" s="22" t="s">
        <v>35</v>
      </c>
    </row>
    <row r="120" spans="1:8" ht="13.5" thickBot="1">
      <c r="A120" s="17"/>
      <c r="B120" s="18">
        <v>0</v>
      </c>
      <c r="C120" s="18">
        <v>1</v>
      </c>
      <c r="D120" s="18">
        <v>2</v>
      </c>
      <c r="E120" s="18">
        <v>3</v>
      </c>
      <c r="F120" s="18">
        <v>4</v>
      </c>
      <c r="G120" s="18">
        <v>5</v>
      </c>
      <c r="H120" s="18">
        <v>6</v>
      </c>
    </row>
    <row r="121" spans="1:7" ht="13.5" thickTop="1">
      <c r="A121" s="3" t="s">
        <v>50</v>
      </c>
      <c r="B121" s="26"/>
      <c r="C121" s="1"/>
      <c r="D121" s="1"/>
      <c r="E121" s="1"/>
      <c r="F121" s="1"/>
      <c r="G121" s="1"/>
    </row>
    <row r="122" spans="1:7" ht="12.75">
      <c r="A122" s="3" t="s">
        <v>5</v>
      </c>
      <c r="B122" s="1"/>
      <c r="C122" s="44"/>
      <c r="D122" s="44"/>
      <c r="E122" s="44"/>
      <c r="F122" s="44"/>
      <c r="G122" s="44"/>
    </row>
    <row r="123" spans="1:8" ht="12.75">
      <c r="A123" s="21" t="s">
        <v>6</v>
      </c>
      <c r="B123" s="30"/>
      <c r="C123" s="30"/>
      <c r="D123" s="30"/>
      <c r="E123" s="30"/>
      <c r="F123" s="30"/>
      <c r="G123" s="30"/>
      <c r="H123" s="21"/>
    </row>
    <row r="124" spans="2:5" ht="12.75">
      <c r="B124" s="1"/>
      <c r="C124" s="31"/>
      <c r="D124" s="31"/>
      <c r="E124" s="31"/>
    </row>
    <row r="125" spans="1:2" ht="12.75">
      <c r="A125" s="7" t="s">
        <v>100</v>
      </c>
      <c r="B125" s="22" t="s">
        <v>35</v>
      </c>
    </row>
    <row r="126" spans="1:8" ht="13.5" thickBot="1">
      <c r="A126" s="17"/>
      <c r="B126" s="18">
        <v>0</v>
      </c>
      <c r="C126" s="18">
        <v>1</v>
      </c>
      <c r="D126" s="18">
        <v>2</v>
      </c>
      <c r="E126" s="18">
        <v>3</v>
      </c>
      <c r="F126" s="18">
        <v>4</v>
      </c>
      <c r="G126" s="18">
        <v>5</v>
      </c>
      <c r="H126" s="18">
        <v>6</v>
      </c>
    </row>
    <row r="127" spans="1:8" ht="13.5" thickTop="1">
      <c r="A127" s="3" t="s">
        <v>122</v>
      </c>
      <c r="B127" s="1"/>
      <c r="C127" s="31"/>
      <c r="D127" s="31"/>
      <c r="E127" s="31"/>
      <c r="F127" s="31"/>
      <c r="G127" s="31"/>
      <c r="H127" s="32"/>
    </row>
    <row r="128" spans="1:8" ht="12.75">
      <c r="A128" s="3" t="s">
        <v>36</v>
      </c>
      <c r="B128" s="1"/>
      <c r="C128" s="31"/>
      <c r="D128" s="31"/>
      <c r="E128" s="31"/>
      <c r="F128" s="31"/>
      <c r="G128" s="31"/>
      <c r="H128" s="32"/>
    </row>
    <row r="129" spans="1:8" ht="12.75">
      <c r="A129" s="3" t="s">
        <v>78</v>
      </c>
      <c r="B129" s="31"/>
      <c r="C129" s="31"/>
      <c r="D129" s="31"/>
      <c r="E129" s="31"/>
      <c r="F129" s="31"/>
      <c r="G129" s="31"/>
      <c r="H129" s="32"/>
    </row>
    <row r="130" spans="2:4" ht="12.75">
      <c r="B130" s="31"/>
      <c r="C130" s="31"/>
      <c r="D130" s="31"/>
    </row>
    <row r="131" ht="12.75">
      <c r="A131" s="7" t="s">
        <v>112</v>
      </c>
    </row>
    <row r="132" spans="1:8" ht="12.75">
      <c r="A132" s="34"/>
      <c r="B132" s="35">
        <v>0</v>
      </c>
      <c r="C132" s="35">
        <v>1</v>
      </c>
      <c r="D132" s="35">
        <v>2</v>
      </c>
      <c r="E132" s="35">
        <v>3</v>
      </c>
      <c r="F132" s="35">
        <v>4</v>
      </c>
      <c r="G132" s="35">
        <v>5</v>
      </c>
      <c r="H132" s="35">
        <v>6</v>
      </c>
    </row>
    <row r="133" spans="2:4" ht="12.75">
      <c r="B133" s="1"/>
      <c r="C133" s="1"/>
      <c r="D133" s="1"/>
    </row>
    <row r="134" spans="2:8" ht="12.75">
      <c r="B134" s="1"/>
      <c r="C134" s="1"/>
      <c r="D134" s="1"/>
      <c r="E134" s="1"/>
      <c r="F134" s="1"/>
      <c r="G134" s="1"/>
      <c r="H134" s="1"/>
    </row>
    <row r="135" spans="2:9" ht="12.75">
      <c r="B135" s="1"/>
      <c r="C135" s="1"/>
      <c r="D135" s="1"/>
      <c r="E135" s="1"/>
      <c r="F135" s="1"/>
      <c r="G135" s="1"/>
      <c r="H135" s="1"/>
      <c r="I135" s="8"/>
    </row>
    <row r="136" spans="2:9" ht="12.75">
      <c r="B136" s="1"/>
      <c r="C136" s="1"/>
      <c r="D136" s="1"/>
      <c r="E136" s="37"/>
      <c r="H136" s="38"/>
      <c r="I136" s="8"/>
    </row>
    <row r="137" spans="1:9" ht="12.75">
      <c r="A137" s="39" t="s">
        <v>29</v>
      </c>
      <c r="B137" s="40"/>
      <c r="C137" s="40"/>
      <c r="D137" s="40"/>
      <c r="E137" s="40"/>
      <c r="F137" s="40"/>
      <c r="G137" s="40"/>
      <c r="H137" s="41"/>
      <c r="I137" s="8"/>
    </row>
    <row r="138" spans="1:9" ht="12.75">
      <c r="A138" s="3" t="s">
        <v>103</v>
      </c>
      <c r="B138" s="1"/>
      <c r="C138" s="1"/>
      <c r="D138" s="1"/>
      <c r="H138" s="8"/>
      <c r="I138" s="8"/>
    </row>
    <row r="139" spans="1:9" ht="12.75">
      <c r="A139" s="3" t="s">
        <v>47</v>
      </c>
      <c r="B139" s="1"/>
      <c r="C139" s="1"/>
      <c r="D139" s="1"/>
      <c r="E139" s="1"/>
      <c r="F139" s="1"/>
      <c r="G139" s="1"/>
      <c r="H139" s="36"/>
      <c r="I139" s="8"/>
    </row>
    <row r="140" spans="1:9" ht="12.75">
      <c r="A140" s="3" t="s">
        <v>11</v>
      </c>
      <c r="B140" s="1"/>
      <c r="C140" s="1"/>
      <c r="D140" s="1"/>
      <c r="E140" s="1"/>
      <c r="F140" s="1"/>
      <c r="G140" s="1"/>
      <c r="H140" s="36"/>
      <c r="I140" s="8"/>
    </row>
    <row r="141" spans="1:9" ht="12.75">
      <c r="A141" s="3" t="s">
        <v>36</v>
      </c>
      <c r="B141" s="1"/>
      <c r="C141" s="1"/>
      <c r="D141" s="1"/>
      <c r="E141" s="1"/>
      <c r="F141" s="1"/>
      <c r="G141" s="1"/>
      <c r="H141" s="1"/>
      <c r="I141" s="8"/>
    </row>
    <row r="142" spans="1:9" ht="12.75">
      <c r="A142" s="3" t="s">
        <v>122</v>
      </c>
      <c r="B142" s="1"/>
      <c r="C142" s="1"/>
      <c r="D142" s="1"/>
      <c r="E142" s="1"/>
      <c r="F142" s="1"/>
      <c r="G142" s="1"/>
      <c r="H142" s="1"/>
      <c r="I142" s="8"/>
    </row>
    <row r="143" spans="1:9" ht="12.75">
      <c r="A143" s="3" t="s">
        <v>55</v>
      </c>
      <c r="B143" s="1"/>
      <c r="C143" s="1"/>
      <c r="D143" s="1"/>
      <c r="E143" s="1"/>
      <c r="F143" s="1"/>
      <c r="G143" s="1"/>
      <c r="H143" s="36"/>
      <c r="I143" s="8"/>
    </row>
    <row r="144" spans="1:9" ht="12.75">
      <c r="A144" s="3" t="s">
        <v>20</v>
      </c>
      <c r="B144" s="1"/>
      <c r="C144" s="1"/>
      <c r="D144" s="1"/>
      <c r="E144" s="1"/>
      <c r="F144" s="1"/>
      <c r="G144" s="1"/>
      <c r="H144" s="1"/>
      <c r="I144" s="8"/>
    </row>
    <row r="145" spans="1:9" ht="12.75">
      <c r="A145" s="39" t="s">
        <v>19</v>
      </c>
      <c r="B145" s="40"/>
      <c r="C145" s="40"/>
      <c r="D145" s="40"/>
      <c r="E145" s="40"/>
      <c r="F145" s="40"/>
      <c r="G145" s="40"/>
      <c r="H145" s="40"/>
      <c r="I145" s="8"/>
    </row>
    <row r="146" spans="1:9" ht="12.75">
      <c r="A146" s="27"/>
      <c r="B146" s="63"/>
      <c r="C146" s="63"/>
      <c r="D146" s="63"/>
      <c r="E146" s="63"/>
      <c r="F146" s="63"/>
      <c r="G146" s="63"/>
      <c r="H146" s="63"/>
      <c r="I146" s="8"/>
    </row>
    <row r="147" spans="1:9" ht="12.75">
      <c r="A147" s="7" t="s">
        <v>119</v>
      </c>
      <c r="C147" s="63"/>
      <c r="D147" s="63"/>
      <c r="E147" s="63"/>
      <c r="F147" s="63"/>
      <c r="G147" s="63"/>
      <c r="H147" s="63"/>
      <c r="I147" s="8"/>
    </row>
    <row r="148" spans="1:9" ht="12.75">
      <c r="A148" s="3" t="s">
        <v>94</v>
      </c>
      <c r="B148" s="15"/>
      <c r="C148" s="63"/>
      <c r="D148" s="63"/>
      <c r="E148" s="63"/>
      <c r="F148" s="63"/>
      <c r="G148" s="63"/>
      <c r="H148" s="63"/>
      <c r="I148" s="8"/>
    </row>
    <row r="149" spans="1:9" ht="12.75">
      <c r="A149" s="3" t="s">
        <v>95</v>
      </c>
      <c r="B149" s="16"/>
      <c r="C149" s="63"/>
      <c r="D149" s="63"/>
      <c r="E149" s="63"/>
      <c r="F149" s="63"/>
      <c r="G149" s="63"/>
      <c r="H149" s="63"/>
      <c r="I149" s="8"/>
    </row>
    <row r="150" spans="1:9" ht="12.75">
      <c r="A150" s="27"/>
      <c r="B150" s="63"/>
      <c r="C150" s="63"/>
      <c r="D150" s="63"/>
      <c r="E150" s="63"/>
      <c r="F150" s="63"/>
      <c r="G150" s="63"/>
      <c r="H150" s="63"/>
      <c r="I150" s="8"/>
    </row>
    <row r="151" spans="1:9" s="19" customFormat="1" ht="12.75">
      <c r="A151" s="56" t="s">
        <v>114</v>
      </c>
      <c r="B151" s="33"/>
      <c r="C151" s="33"/>
      <c r="D151" s="33"/>
      <c r="E151" s="33"/>
      <c r="F151" s="33"/>
      <c r="G151" s="33"/>
      <c r="H151" s="33"/>
      <c r="I151" s="64"/>
    </row>
    <row r="152" spans="1:8" s="7" customFormat="1" ht="12.75">
      <c r="A152" s="56" t="s">
        <v>105</v>
      </c>
      <c r="B152" s="33"/>
      <c r="C152" s="33"/>
      <c r="D152" s="33"/>
      <c r="E152" s="33"/>
      <c r="F152" s="33"/>
      <c r="G152" s="33"/>
      <c r="H152" s="33"/>
    </row>
    <row r="153" spans="1:2" ht="12.75">
      <c r="A153" s="9" t="s">
        <v>94</v>
      </c>
      <c r="B153" s="42"/>
    </row>
    <row r="154" spans="1:2" s="7" customFormat="1" ht="12.75">
      <c r="A154" s="7" t="s">
        <v>60</v>
      </c>
      <c r="B154" s="43"/>
    </row>
    <row r="155" spans="1:2" s="7" customFormat="1" ht="12.75">
      <c r="A155" s="7" t="s">
        <v>31</v>
      </c>
      <c r="B155" s="47"/>
    </row>
    <row r="157" spans="1:8" ht="12.75">
      <c r="A157" s="56" t="s">
        <v>115</v>
      </c>
      <c r="B157" s="33"/>
      <c r="C157" s="33"/>
      <c r="D157" s="33"/>
      <c r="E157" s="33"/>
      <c r="F157" s="33"/>
      <c r="G157" s="33"/>
      <c r="H157" s="33"/>
    </row>
    <row r="158" spans="1:8" ht="12.75">
      <c r="A158" s="56" t="s">
        <v>116</v>
      </c>
      <c r="B158" s="33"/>
      <c r="C158" s="33"/>
      <c r="D158" s="33"/>
      <c r="E158" s="33"/>
      <c r="F158" s="33"/>
      <c r="G158" s="33"/>
      <c r="H158" s="33"/>
    </row>
    <row r="159" spans="1:2" ht="15.75">
      <c r="A159" s="60" t="s">
        <v>77</v>
      </c>
      <c r="B159" s="61"/>
    </row>
    <row r="160" spans="1:2" ht="12.75">
      <c r="A160" s="59" t="s">
        <v>60</v>
      </c>
      <c r="B160" s="43"/>
    </row>
    <row r="161" spans="1:2" ht="12.75">
      <c r="A161" s="59" t="s">
        <v>31</v>
      </c>
      <c r="B161" s="47"/>
    </row>
    <row r="163" ht="12.75">
      <c r="A163" s="7" t="s">
        <v>113</v>
      </c>
    </row>
    <row r="164" spans="1:8" ht="12.75">
      <c r="A164" s="34"/>
      <c r="B164" s="35">
        <v>0</v>
      </c>
      <c r="C164" s="35">
        <v>1</v>
      </c>
      <c r="D164" s="35">
        <v>2</v>
      </c>
      <c r="E164" s="35">
        <v>3</v>
      </c>
      <c r="F164" s="35">
        <v>4</v>
      </c>
      <c r="G164" s="35">
        <v>5</v>
      </c>
      <c r="H164" s="35">
        <v>6</v>
      </c>
    </row>
    <row r="165" spans="1:10" ht="12.75">
      <c r="A165" s="3" t="s">
        <v>102</v>
      </c>
      <c r="B165" s="36"/>
      <c r="C165" s="36"/>
      <c r="D165" s="36"/>
      <c r="E165" s="8"/>
      <c r="F165" s="8"/>
      <c r="G165" s="8"/>
      <c r="H165" s="8"/>
      <c r="I165" s="8"/>
      <c r="J165" s="8"/>
    </row>
    <row r="166" spans="1:10" ht="12.75">
      <c r="A166" s="8" t="s">
        <v>0</v>
      </c>
      <c r="B166" s="36"/>
      <c r="C166" s="36"/>
      <c r="D166" s="36"/>
      <c r="E166" s="36"/>
      <c r="F166" s="36"/>
      <c r="G166" s="36"/>
      <c r="H166" s="36"/>
      <c r="I166" s="8"/>
      <c r="J166" s="8"/>
    </row>
    <row r="167" spans="1:10" ht="12.75">
      <c r="A167" s="8" t="s">
        <v>78</v>
      </c>
      <c r="B167" s="36"/>
      <c r="C167" s="36"/>
      <c r="D167" s="36"/>
      <c r="E167" s="36"/>
      <c r="F167" s="36"/>
      <c r="G167" s="36"/>
      <c r="H167" s="36"/>
      <c r="I167" s="8"/>
      <c r="J167" s="8"/>
    </row>
    <row r="168" spans="1:10" ht="12.75">
      <c r="A168" s="8" t="s">
        <v>42</v>
      </c>
      <c r="B168" s="36"/>
      <c r="C168" s="36"/>
      <c r="D168" s="36"/>
      <c r="E168" s="36"/>
      <c r="F168" s="36"/>
      <c r="G168" s="36"/>
      <c r="H168" s="36"/>
      <c r="I168" s="8"/>
      <c r="J168" s="8"/>
    </row>
    <row r="169" spans="1:10" ht="12.75">
      <c r="A169" s="57" t="s">
        <v>29</v>
      </c>
      <c r="B169" s="41"/>
      <c r="C169" s="41"/>
      <c r="D169" s="41"/>
      <c r="E169" s="41"/>
      <c r="F169" s="41"/>
      <c r="G169" s="41"/>
      <c r="H169" s="41"/>
      <c r="I169" s="8"/>
      <c r="J169" s="8"/>
    </row>
    <row r="170" spans="1:10" ht="12.75">
      <c r="A170" s="3" t="s">
        <v>103</v>
      </c>
      <c r="B170" s="36"/>
      <c r="C170" s="36"/>
      <c r="D170" s="36"/>
      <c r="E170" s="8"/>
      <c r="F170" s="8"/>
      <c r="G170" s="8"/>
      <c r="H170" s="8"/>
      <c r="I170" s="8"/>
      <c r="J170" s="8"/>
    </row>
    <row r="171" spans="1:10" ht="12.75">
      <c r="A171" s="8" t="s">
        <v>47</v>
      </c>
      <c r="B171" s="36"/>
      <c r="C171" s="36"/>
      <c r="D171" s="36"/>
      <c r="E171" s="36"/>
      <c r="F171" s="36"/>
      <c r="G171" s="36"/>
      <c r="H171" s="36"/>
      <c r="I171" s="8"/>
      <c r="J171" s="8"/>
    </row>
    <row r="172" spans="1:10" ht="12.75">
      <c r="A172" s="8" t="s">
        <v>11</v>
      </c>
      <c r="B172" s="36"/>
      <c r="C172" s="36"/>
      <c r="D172" s="36"/>
      <c r="E172" s="36"/>
      <c r="F172" s="36"/>
      <c r="G172" s="36"/>
      <c r="H172" s="36"/>
      <c r="I172" s="8"/>
      <c r="J172" s="8"/>
    </row>
    <row r="173" spans="1:10" ht="12.75">
      <c r="A173" s="8" t="s">
        <v>36</v>
      </c>
      <c r="B173" s="36"/>
      <c r="C173" s="36"/>
      <c r="D173" s="36"/>
      <c r="E173" s="36"/>
      <c r="F173" s="36"/>
      <c r="G173" s="36"/>
      <c r="H173" s="36"/>
      <c r="I173" s="8"/>
      <c r="J173" s="8"/>
    </row>
    <row r="174" spans="1:10" ht="12.75">
      <c r="A174" s="3" t="s">
        <v>122</v>
      </c>
      <c r="B174" s="36"/>
      <c r="C174" s="36"/>
      <c r="D174" s="36"/>
      <c r="E174" s="36"/>
      <c r="F174" s="36"/>
      <c r="G174" s="36"/>
      <c r="H174" s="36"/>
      <c r="I174" s="8"/>
      <c r="J174" s="8"/>
    </row>
    <row r="175" spans="9:10" ht="12.75">
      <c r="I175" s="8"/>
      <c r="J175" s="8"/>
    </row>
    <row r="176" spans="1:10" ht="12.75">
      <c r="A176" s="8" t="s">
        <v>52</v>
      </c>
      <c r="B176" s="36"/>
      <c r="C176" s="36"/>
      <c r="D176" s="36"/>
      <c r="E176" s="36"/>
      <c r="F176" s="36"/>
      <c r="G176" s="36"/>
      <c r="H176" s="36"/>
      <c r="I176" s="8"/>
      <c r="J176" s="8"/>
    </row>
    <row r="177" spans="1:10" ht="12.75">
      <c r="A177" s="8" t="s">
        <v>20</v>
      </c>
      <c r="B177" s="36"/>
      <c r="C177" s="36"/>
      <c r="D177" s="36"/>
      <c r="E177" s="36"/>
      <c r="F177" s="36"/>
      <c r="G177" s="36"/>
      <c r="H177" s="36"/>
      <c r="I177" s="8"/>
      <c r="J177" s="8"/>
    </row>
    <row r="178" spans="1:10" ht="12.75">
      <c r="A178" s="57" t="s">
        <v>19</v>
      </c>
      <c r="B178" s="41"/>
      <c r="C178" s="41"/>
      <c r="D178" s="41"/>
      <c r="E178" s="41"/>
      <c r="F178" s="41"/>
      <c r="G178" s="41"/>
      <c r="H178" s="41"/>
      <c r="I178" s="8"/>
      <c r="J178" s="8"/>
    </row>
    <row r="179" spans="1:10" ht="12.75">
      <c r="A179" s="65"/>
      <c r="B179" s="66"/>
      <c r="C179" s="66"/>
      <c r="D179" s="66"/>
      <c r="E179" s="66"/>
      <c r="F179" s="66"/>
      <c r="G179" s="66"/>
      <c r="H179" s="66"/>
      <c r="I179" s="8"/>
      <c r="J179" s="8"/>
    </row>
    <row r="180" spans="1:10" ht="12.75">
      <c r="A180" s="56" t="s">
        <v>114</v>
      </c>
      <c r="B180" s="33"/>
      <c r="C180" s="33"/>
      <c r="D180" s="33"/>
      <c r="E180" s="33"/>
      <c r="F180" s="33"/>
      <c r="G180" s="33"/>
      <c r="H180" s="33"/>
      <c r="I180" s="8"/>
      <c r="J180" s="8"/>
    </row>
    <row r="181" spans="1:10" ht="12.75">
      <c r="A181" s="56" t="s">
        <v>104</v>
      </c>
      <c r="B181" s="33">
        <f>B169-B178</f>
        <v>0</v>
      </c>
      <c r="C181" s="33">
        <f aca="true" t="shared" si="0" ref="C181:H181">C169-C178</f>
        <v>0</v>
      </c>
      <c r="D181" s="33">
        <f t="shared" si="0"/>
        <v>0</v>
      </c>
      <c r="E181" s="33">
        <f t="shared" si="0"/>
        <v>0</v>
      </c>
      <c r="F181" s="33">
        <f t="shared" si="0"/>
        <v>0</v>
      </c>
      <c r="G181" s="33">
        <f t="shared" si="0"/>
        <v>0</v>
      </c>
      <c r="H181" s="33">
        <f t="shared" si="0"/>
        <v>0</v>
      </c>
      <c r="I181" s="8"/>
      <c r="J181" s="8"/>
    </row>
    <row r="182" spans="1:10" ht="12.75">
      <c r="A182" s="9" t="s">
        <v>95</v>
      </c>
      <c r="B182" s="42"/>
      <c r="I182" s="8"/>
      <c r="J182" s="8"/>
    </row>
    <row r="183" spans="1:10" ht="12.75">
      <c r="A183" s="7" t="s">
        <v>60</v>
      </c>
      <c r="B183" s="43"/>
      <c r="C183" s="7"/>
      <c r="D183" s="7"/>
      <c r="E183" s="7"/>
      <c r="F183" s="7"/>
      <c r="G183" s="7"/>
      <c r="H183" s="7"/>
      <c r="I183" s="8"/>
      <c r="J183" s="8"/>
    </row>
    <row r="184" spans="1:10" ht="12.75">
      <c r="A184" s="7" t="s">
        <v>21</v>
      </c>
      <c r="B184" s="47"/>
      <c r="C184" s="7"/>
      <c r="D184" s="7"/>
      <c r="E184" s="7"/>
      <c r="F184" s="7"/>
      <c r="G184" s="7"/>
      <c r="H184" s="7"/>
      <c r="I184" s="8"/>
      <c r="J184" s="8"/>
    </row>
    <row r="185" spans="9:10" ht="12.75">
      <c r="I185" s="8"/>
      <c r="J185" s="8"/>
    </row>
    <row r="186" spans="1:10" ht="12.75">
      <c r="A186" s="56" t="s">
        <v>115</v>
      </c>
      <c r="B186" s="33"/>
      <c r="C186" s="33"/>
      <c r="D186" s="33"/>
      <c r="E186" s="33"/>
      <c r="F186" s="33"/>
      <c r="G186" s="33"/>
      <c r="H186" s="33"/>
      <c r="I186" s="8"/>
      <c r="J186" s="8"/>
    </row>
    <row r="187" spans="1:10" ht="12.75">
      <c r="A187" s="56" t="s">
        <v>117</v>
      </c>
      <c r="B187" s="33"/>
      <c r="C187" s="33"/>
      <c r="D187" s="33"/>
      <c r="E187" s="33"/>
      <c r="F187" s="33"/>
      <c r="G187" s="33"/>
      <c r="H187" s="33"/>
      <c r="I187" s="8"/>
      <c r="J187" s="8"/>
    </row>
    <row r="188" spans="1:10" ht="15.75">
      <c r="A188" s="60" t="s">
        <v>118</v>
      </c>
      <c r="B188" s="61"/>
      <c r="I188" s="8"/>
      <c r="J188" s="8"/>
    </row>
    <row r="189" spans="1:10" ht="12.75">
      <c r="A189" s="59" t="s">
        <v>60</v>
      </c>
      <c r="B189" s="43"/>
      <c r="I189" s="8"/>
      <c r="J189" s="8"/>
    </row>
    <row r="190" spans="1:10" ht="12.75">
      <c r="A190" s="59" t="s">
        <v>21</v>
      </c>
      <c r="B190" s="47"/>
      <c r="I190" s="8"/>
      <c r="J190" s="8"/>
    </row>
    <row r="191" spans="1:10" ht="12.75">
      <c r="A191" s="65"/>
      <c r="B191" s="66"/>
      <c r="C191" s="66"/>
      <c r="D191" s="66"/>
      <c r="E191" s="66"/>
      <c r="F191" s="66"/>
      <c r="G191" s="66"/>
      <c r="H191" s="66"/>
      <c r="I191" s="8"/>
      <c r="J191" s="8"/>
    </row>
    <row r="192" spans="1:10" ht="12.7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2.7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2.7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2.7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2.7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2.7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2.7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2.7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2.7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2.7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2.7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2.7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2.7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2.7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2.7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2.7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2.7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2.7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2.7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2.7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2.7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2.7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2.7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2.7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2.7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2.7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2.7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2.7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2.7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2.7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2.7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2.7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2.7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2.7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2.7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2.7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2.7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2.7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2.7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2.7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2.7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2.7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2.7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2.7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2.7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2.7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2.7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2.7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2.7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2.7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2.7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2.7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2.7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2.7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2.7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2.7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2.7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2.7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2.7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2.7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2.7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2.7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2.7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2.7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2.7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2.7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2.7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2.7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2.7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2.7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2.7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2.7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2.7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2.7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2.75">
      <c r="A266" s="8"/>
      <c r="B266" s="8"/>
      <c r="C266" s="8"/>
      <c r="D266" s="8"/>
      <c r="E266" s="8"/>
      <c r="F266" s="8"/>
      <c r="G266" s="8"/>
      <c r="H266" s="8"/>
      <c r="I266" s="8"/>
      <c r="J266" s="8"/>
    </row>
  </sheetData>
  <sheetProtection/>
  <printOptions gridLines="1" headings="1"/>
  <pageMargins left="1.5" right="1.25" top="1.25" bottom="1.25" header="0.5" footer="0.5"/>
  <pageSetup blackAndWhite="1" fitToHeight="1" fitToWidth="1" horizontalDpi="600" verticalDpi="600" orientation="landscape" paperSize="9" scal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266"/>
  <sheetViews>
    <sheetView zoomScalePageLayoutView="0" workbookViewId="0" topLeftCell="A136">
      <selection activeCell="B148" sqref="B148"/>
    </sheetView>
  </sheetViews>
  <sheetFormatPr defaultColWidth="9.140625" defaultRowHeight="12.75"/>
  <cols>
    <col min="1" max="1" width="26.8515625" style="3" customWidth="1"/>
    <col min="2" max="8" width="11.140625" style="3" customWidth="1"/>
    <col min="9" max="9" width="2.8515625" style="3" customWidth="1"/>
    <col min="10" max="10" width="10.28125" style="3" bestFit="1" customWidth="1"/>
    <col min="11" max="11" width="1.8515625" style="3" customWidth="1"/>
    <col min="12" max="12" width="34.8515625" style="3" bestFit="1" customWidth="1"/>
    <col min="13" max="16384" width="9.140625" style="3" customWidth="1"/>
  </cols>
  <sheetData>
    <row r="1" ht="12.75">
      <c r="A1" s="7" t="s">
        <v>83</v>
      </c>
    </row>
    <row r="2" spans="1:8" ht="13.5" thickBot="1">
      <c r="A2" s="2" t="s">
        <v>56</v>
      </c>
      <c r="B2" s="67">
        <v>2013</v>
      </c>
      <c r="C2" s="67">
        <v>2014</v>
      </c>
      <c r="D2" s="67">
        <v>2015</v>
      </c>
      <c r="E2" s="67">
        <v>2016</v>
      </c>
      <c r="F2" s="67">
        <v>2017</v>
      </c>
      <c r="G2" s="67">
        <v>2018</v>
      </c>
      <c r="H2" s="67">
        <v>2019</v>
      </c>
    </row>
    <row r="3" ht="13.5" thickTop="1">
      <c r="A3" s="2" t="s">
        <v>57</v>
      </c>
    </row>
    <row r="4" spans="1:3" ht="12.75">
      <c r="A4" s="3" t="s">
        <v>10</v>
      </c>
      <c r="B4" s="83">
        <v>0.15</v>
      </c>
      <c r="C4" s="5"/>
    </row>
    <row r="5" spans="1:3" ht="12.75">
      <c r="A5" s="3" t="s">
        <v>34</v>
      </c>
      <c r="B5" s="46">
        <v>21000</v>
      </c>
      <c r="C5" s="3" t="s">
        <v>79</v>
      </c>
    </row>
    <row r="6" spans="1:3" ht="12.75">
      <c r="A6" s="7" t="s">
        <v>99</v>
      </c>
      <c r="B6" s="8"/>
      <c r="C6" s="9"/>
    </row>
    <row r="7" spans="1:3" ht="12.75">
      <c r="A7" s="3" t="s">
        <v>38</v>
      </c>
      <c r="B7" s="46">
        <v>47000</v>
      </c>
      <c r="C7" s="3" t="s">
        <v>23</v>
      </c>
    </row>
    <row r="8" spans="1:3" ht="12.75">
      <c r="A8" s="3" t="s">
        <v>33</v>
      </c>
      <c r="B8" s="10">
        <v>0.7</v>
      </c>
      <c r="C8" s="9"/>
    </row>
    <row r="9" spans="1:3" ht="12.75">
      <c r="A9" s="3" t="s">
        <v>82</v>
      </c>
      <c r="B9" s="8">
        <v>5</v>
      </c>
      <c r="C9" s="3" t="s">
        <v>2</v>
      </c>
    </row>
    <row r="10" spans="1:3" ht="12.75">
      <c r="A10" s="3" t="s">
        <v>86</v>
      </c>
      <c r="B10" s="8">
        <v>1</v>
      </c>
      <c r="C10" s="3" t="s">
        <v>2</v>
      </c>
    </row>
    <row r="11" ht="12.75">
      <c r="A11" s="7" t="s">
        <v>49</v>
      </c>
    </row>
    <row r="12" spans="1:3" ht="12.75">
      <c r="A12" s="3" t="s">
        <v>48</v>
      </c>
      <c r="B12" s="3">
        <v>10</v>
      </c>
      <c r="C12" s="3" t="s">
        <v>9</v>
      </c>
    </row>
    <row r="13" spans="1:3" ht="12.75">
      <c r="A13" s="3" t="s">
        <v>49</v>
      </c>
      <c r="B13" s="3">
        <v>3</v>
      </c>
      <c r="C13" s="3" t="s">
        <v>9</v>
      </c>
    </row>
    <row r="14" spans="1:3" ht="12.75">
      <c r="A14" s="3" t="s">
        <v>51</v>
      </c>
      <c r="B14" s="3">
        <v>1</v>
      </c>
      <c r="C14" s="3" t="s">
        <v>9</v>
      </c>
    </row>
    <row r="15" spans="1:3" ht="12.75">
      <c r="A15" s="3" t="s">
        <v>52</v>
      </c>
      <c r="B15" s="6">
        <v>0.45</v>
      </c>
      <c r="C15" s="3" t="s">
        <v>53</v>
      </c>
    </row>
    <row r="16" ht="12.75">
      <c r="A16" s="7" t="s">
        <v>7</v>
      </c>
    </row>
    <row r="17" spans="1:3" ht="12.75">
      <c r="A17" s="3" t="s">
        <v>39</v>
      </c>
      <c r="B17" s="12">
        <v>0.5</v>
      </c>
      <c r="C17" s="3" t="s">
        <v>46</v>
      </c>
    </row>
    <row r="18" spans="1:2" ht="12.75">
      <c r="A18" s="3" t="s">
        <v>111</v>
      </c>
      <c r="B18" s="12">
        <f>(1+15%)/(1+10%)-1</f>
        <v>0.04545454545454519</v>
      </c>
    </row>
    <row r="19" spans="1:2" ht="12.75">
      <c r="A19" s="3" t="s">
        <v>110</v>
      </c>
      <c r="B19" s="6">
        <f>(1+B18)*(1+B4)-1</f>
        <v>0.20227272727272694</v>
      </c>
    </row>
    <row r="20" spans="1:3" ht="12.75">
      <c r="A20" s="3" t="s">
        <v>8</v>
      </c>
      <c r="B20" s="13">
        <v>5</v>
      </c>
      <c r="C20" s="14" t="s">
        <v>9</v>
      </c>
    </row>
    <row r="21" spans="1:3" ht="12.75">
      <c r="A21" s="3" t="s">
        <v>126</v>
      </c>
      <c r="B21" s="13">
        <v>1</v>
      </c>
      <c r="C21" s="14"/>
    </row>
    <row r="22" spans="1:3" ht="12.75">
      <c r="A22" s="3" t="s">
        <v>125</v>
      </c>
      <c r="B22" s="13"/>
      <c r="C22" s="14"/>
    </row>
    <row r="23" ht="12.75">
      <c r="A23" s="7" t="s">
        <v>0</v>
      </c>
    </row>
    <row r="24" spans="1:3" ht="12.75">
      <c r="A24" s="3" t="s">
        <v>61</v>
      </c>
      <c r="B24" s="3">
        <v>15</v>
      </c>
      <c r="C24" s="3" t="s">
        <v>45</v>
      </c>
    </row>
    <row r="25" spans="1:3" ht="12.75">
      <c r="A25" s="3" t="s">
        <v>62</v>
      </c>
      <c r="B25" s="3">
        <v>8</v>
      </c>
      <c r="C25" s="3" t="s">
        <v>88</v>
      </c>
    </row>
    <row r="26" spans="1:5" ht="12.75">
      <c r="A26" s="3" t="s">
        <v>3</v>
      </c>
      <c r="B26" s="3">
        <v>360</v>
      </c>
      <c r="C26" s="3" t="s">
        <v>44</v>
      </c>
      <c r="E26" s="45"/>
    </row>
    <row r="27" spans="1:2" ht="12.75">
      <c r="A27" s="3" t="s">
        <v>80</v>
      </c>
      <c r="B27" s="6">
        <v>0.07</v>
      </c>
    </row>
    <row r="28" spans="1:3" ht="12.75">
      <c r="A28" s="3" t="s">
        <v>81</v>
      </c>
      <c r="B28" s="3">
        <v>60</v>
      </c>
      <c r="C28" s="3" t="s">
        <v>63</v>
      </c>
    </row>
    <row r="29" spans="1:3" ht="12.75">
      <c r="A29" s="3" t="s">
        <v>64</v>
      </c>
      <c r="B29" s="46">
        <v>5000</v>
      </c>
      <c r="C29" s="3" t="s">
        <v>66</v>
      </c>
    </row>
    <row r="30" spans="1:2" ht="12.75">
      <c r="A30" s="3" t="s">
        <v>84</v>
      </c>
      <c r="B30" s="84">
        <v>0.15</v>
      </c>
    </row>
    <row r="31" spans="1:2" ht="12.75">
      <c r="A31" s="3" t="s">
        <v>65</v>
      </c>
      <c r="B31" s="6">
        <v>0.5</v>
      </c>
    </row>
    <row r="32" ht="12.75">
      <c r="A32" s="7" t="s">
        <v>11</v>
      </c>
    </row>
    <row r="33" spans="1:3" ht="12.75">
      <c r="A33" s="3" t="s">
        <v>70</v>
      </c>
      <c r="B33" s="3">
        <v>0.32</v>
      </c>
      <c r="C33" s="3" t="s">
        <v>73</v>
      </c>
    </row>
    <row r="34" spans="1:3" ht="12.75">
      <c r="A34" s="3" t="s">
        <v>71</v>
      </c>
      <c r="B34" s="46">
        <v>21500</v>
      </c>
      <c r="C34" s="3" t="s">
        <v>72</v>
      </c>
    </row>
    <row r="35" spans="1:3" ht="12.75">
      <c r="A35" s="3" t="s">
        <v>67</v>
      </c>
      <c r="B35" s="46">
        <v>8000000</v>
      </c>
      <c r="C35" s="3" t="s">
        <v>66</v>
      </c>
    </row>
    <row r="36" spans="1:3" ht="12.75">
      <c r="A36" s="3" t="s">
        <v>68</v>
      </c>
      <c r="B36" s="46">
        <v>5000000</v>
      </c>
      <c r="C36" s="3" t="s">
        <v>66</v>
      </c>
    </row>
    <row r="37" spans="1:3" ht="12.75">
      <c r="A37" s="3" t="s">
        <v>12</v>
      </c>
      <c r="B37" s="46">
        <v>12000000</v>
      </c>
      <c r="C37" s="3" t="s">
        <v>74</v>
      </c>
    </row>
    <row r="38" spans="1:2" ht="12.75">
      <c r="A38" s="3" t="s">
        <v>75</v>
      </c>
      <c r="B38" s="11">
        <v>0.0185</v>
      </c>
    </row>
    <row r="39" spans="1:2" ht="12.75">
      <c r="A39" s="3" t="s">
        <v>76</v>
      </c>
      <c r="B39" s="11">
        <v>0.0191</v>
      </c>
    </row>
    <row r="40" spans="1:3" ht="12.75">
      <c r="A40" s="3" t="s">
        <v>24</v>
      </c>
      <c r="B40" s="46">
        <v>935</v>
      </c>
      <c r="C40" s="3" t="s">
        <v>41</v>
      </c>
    </row>
    <row r="41" ht="12.75">
      <c r="A41" s="7" t="s">
        <v>4</v>
      </c>
    </row>
    <row r="42" spans="1:3" ht="12.75">
      <c r="A42" s="3" t="s">
        <v>134</v>
      </c>
      <c r="B42" s="6">
        <v>0.05</v>
      </c>
      <c r="C42" s="3" t="s">
        <v>32</v>
      </c>
    </row>
    <row r="43" spans="1:3" ht="12.75">
      <c r="A43" s="3" t="s">
        <v>5</v>
      </c>
      <c r="B43" s="6">
        <v>0.25</v>
      </c>
      <c r="C43" s="3" t="s">
        <v>93</v>
      </c>
    </row>
    <row r="44" spans="1:3" ht="12.75">
      <c r="A44" s="3" t="s">
        <v>43</v>
      </c>
      <c r="B44" s="6">
        <v>0</v>
      </c>
      <c r="C44" s="3" t="s">
        <v>32</v>
      </c>
    </row>
    <row r="45" spans="1:3" ht="12.75">
      <c r="A45" s="3" t="s">
        <v>6</v>
      </c>
      <c r="B45" s="6">
        <v>0.5</v>
      </c>
      <c r="C45" s="3" t="s">
        <v>54</v>
      </c>
    </row>
    <row r="46" ht="12.75">
      <c r="A46" s="7" t="s">
        <v>58</v>
      </c>
    </row>
    <row r="47" spans="1:2" ht="12.75">
      <c r="A47" s="3" t="s">
        <v>132</v>
      </c>
      <c r="B47" s="6">
        <v>0.22</v>
      </c>
    </row>
    <row r="48" spans="1:2" ht="12.75">
      <c r="A48" s="3" t="s">
        <v>131</v>
      </c>
      <c r="B48" s="6">
        <f>1.2/1.1*(1+B4)-1</f>
        <v>0.2545454545454544</v>
      </c>
    </row>
    <row r="50" spans="2:8" ht="13.5" thickBot="1">
      <c r="B50" s="67">
        <v>2013</v>
      </c>
      <c r="C50" s="67">
        <v>2014</v>
      </c>
      <c r="D50" s="67">
        <v>2015</v>
      </c>
      <c r="E50" s="67">
        <v>2016</v>
      </c>
      <c r="F50" s="67">
        <v>2017</v>
      </c>
      <c r="G50" s="67">
        <v>2018</v>
      </c>
      <c r="H50" s="67">
        <v>2019</v>
      </c>
    </row>
    <row r="51" spans="1:8" ht="13.5" thickTop="1">
      <c r="A51" s="7" t="s">
        <v>120</v>
      </c>
      <c r="B51" s="7"/>
      <c r="C51" s="7"/>
      <c r="D51" s="7"/>
      <c r="E51" s="7"/>
      <c r="F51" s="7"/>
      <c r="G51" s="7"/>
      <c r="H51" s="7"/>
    </row>
    <row r="52" spans="1:8" ht="13.5" thickBot="1">
      <c r="A52" s="17"/>
      <c r="B52" s="18">
        <v>0</v>
      </c>
      <c r="C52" s="18">
        <v>1</v>
      </c>
      <c r="D52" s="18">
        <v>2</v>
      </c>
      <c r="E52" s="18">
        <v>3</v>
      </c>
      <c r="F52" s="18">
        <v>4</v>
      </c>
      <c r="G52" s="18">
        <v>5</v>
      </c>
      <c r="H52" s="18">
        <v>6</v>
      </c>
    </row>
    <row r="53" spans="1:8" ht="13.5" thickTop="1">
      <c r="A53" s="19" t="s">
        <v>121</v>
      </c>
      <c r="B53" s="69">
        <f aca="true" t="shared" si="0" ref="B53:H53">(1+$B$4)^B52</f>
        <v>1</v>
      </c>
      <c r="C53" s="69">
        <f t="shared" si="0"/>
        <v>1.15</v>
      </c>
      <c r="D53" s="69">
        <f t="shared" si="0"/>
        <v>1.3224999999999998</v>
      </c>
      <c r="E53" s="69">
        <f t="shared" si="0"/>
        <v>1.5208749999999995</v>
      </c>
      <c r="F53" s="69">
        <f t="shared" si="0"/>
        <v>1.7490062499999994</v>
      </c>
      <c r="G53" s="69">
        <f t="shared" si="0"/>
        <v>2.0113571874999994</v>
      </c>
      <c r="H53" s="69">
        <f t="shared" si="0"/>
        <v>2.313060765624999</v>
      </c>
    </row>
    <row r="54" spans="1:8" ht="12.75">
      <c r="A54" s="19"/>
      <c r="B54" s="68"/>
      <c r="C54" s="68"/>
      <c r="D54" s="68"/>
      <c r="E54" s="68"/>
      <c r="F54" s="68"/>
      <c r="G54" s="68"/>
      <c r="H54" s="68"/>
    </row>
    <row r="55" spans="1:4" ht="12.75">
      <c r="A55" s="19"/>
      <c r="B55" s="22" t="s">
        <v>35</v>
      </c>
      <c r="C55" s="23"/>
      <c r="D55" s="23"/>
    </row>
    <row r="56" spans="1:2" ht="13.5" thickBot="1">
      <c r="A56" s="7" t="s">
        <v>30</v>
      </c>
      <c r="B56" s="24">
        <v>0</v>
      </c>
    </row>
    <row r="57" ht="13.5" thickTop="1">
      <c r="B57" s="1">
        <f>B9*B7*(1+B8)*B5/10^6</f>
        <v>8389.5</v>
      </c>
    </row>
    <row r="58" ht="12.75">
      <c r="B58" s="1"/>
    </row>
    <row r="59" spans="1:3" ht="12.75">
      <c r="A59" s="27" t="s">
        <v>127</v>
      </c>
      <c r="B59" s="22" t="s">
        <v>35</v>
      </c>
      <c r="C59" s="19"/>
    </row>
    <row r="60" spans="1:8" ht="13.5" thickBot="1">
      <c r="A60" s="17"/>
      <c r="B60" s="18">
        <v>0</v>
      </c>
      <c r="C60" s="18">
        <v>1</v>
      </c>
      <c r="D60" s="18">
        <v>2</v>
      </c>
      <c r="E60" s="18">
        <v>3</v>
      </c>
      <c r="F60" s="18">
        <v>4</v>
      </c>
      <c r="G60" s="18">
        <v>5</v>
      </c>
      <c r="H60" s="18">
        <v>6</v>
      </c>
    </row>
    <row r="61" spans="1:7" ht="13.5" thickTop="1">
      <c r="A61" s="3" t="s">
        <v>14</v>
      </c>
      <c r="B61" s="1"/>
      <c r="C61" s="1">
        <f>B65</f>
        <v>4194.75</v>
      </c>
      <c r="D61" s="1">
        <f>C65</f>
        <v>3355.8</v>
      </c>
      <c r="E61" s="1">
        <f>D65</f>
        <v>2516.8500000000004</v>
      </c>
      <c r="F61" s="1">
        <f>E65</f>
        <v>1677.9000000000003</v>
      </c>
      <c r="G61" s="1">
        <f>F65</f>
        <v>838.9500000000003</v>
      </c>
    </row>
    <row r="62" spans="1:7" ht="12.75">
      <c r="A62" s="3" t="s">
        <v>108</v>
      </c>
      <c r="B62" s="1">
        <f>B57*B17</f>
        <v>4194.75</v>
      </c>
      <c r="C62" s="1"/>
      <c r="D62" s="1"/>
      <c r="E62" s="1"/>
      <c r="F62" s="1"/>
      <c r="G62" s="1"/>
    </row>
    <row r="63" spans="1:7" ht="12.75">
      <c r="A63" s="3" t="s">
        <v>109</v>
      </c>
      <c r="B63" s="1">
        <f aca="true" t="shared" si="1" ref="B63:G63">B61*$B$19</f>
        <v>0</v>
      </c>
      <c r="C63" s="1">
        <f t="shared" si="1"/>
        <v>848.4835227272713</v>
      </c>
      <c r="D63" s="1">
        <f t="shared" si="1"/>
        <v>678.7868181818171</v>
      </c>
      <c r="E63" s="1">
        <f t="shared" si="1"/>
        <v>509.09011363636284</v>
      </c>
      <c r="F63" s="1">
        <f t="shared" si="1"/>
        <v>339.3934090909086</v>
      </c>
      <c r="G63" s="1">
        <f t="shared" si="1"/>
        <v>169.6967045454543</v>
      </c>
    </row>
    <row r="64" spans="1:7" ht="12.75">
      <c r="A64" s="3" t="s">
        <v>129</v>
      </c>
      <c r="B64" s="1"/>
      <c r="C64" s="1">
        <f>$B$65/$B$20</f>
        <v>838.95</v>
      </c>
      <c r="D64" s="1">
        <f>$B$65/$B$20</f>
        <v>838.95</v>
      </c>
      <c r="E64" s="1">
        <f>$B$65/$B$20</f>
        <v>838.95</v>
      </c>
      <c r="F64" s="1">
        <f>$B$65/$B$20</f>
        <v>838.95</v>
      </c>
      <c r="G64" s="1">
        <f>$B$65/$B$20</f>
        <v>838.95</v>
      </c>
    </row>
    <row r="65" spans="1:8" ht="12.75">
      <c r="A65" s="21" t="s">
        <v>15</v>
      </c>
      <c r="B65" s="30">
        <f aca="true" t="shared" si="2" ref="B65:G65">B61+B62-B64</f>
        <v>4194.75</v>
      </c>
      <c r="C65" s="30">
        <f t="shared" si="2"/>
        <v>3355.8</v>
      </c>
      <c r="D65" s="30">
        <f t="shared" si="2"/>
        <v>2516.8500000000004</v>
      </c>
      <c r="E65" s="30">
        <f t="shared" si="2"/>
        <v>1677.9000000000003</v>
      </c>
      <c r="F65" s="30">
        <f t="shared" si="2"/>
        <v>838.9500000000003</v>
      </c>
      <c r="G65" s="30">
        <f t="shared" si="2"/>
        <v>0</v>
      </c>
      <c r="H65" s="21"/>
    </row>
    <row r="66" spans="1:7" ht="12.75">
      <c r="A66" s="19" t="s">
        <v>106</v>
      </c>
      <c r="B66" s="31">
        <f aca="true" t="shared" si="3" ref="B66:G66">B62-B63-B64</f>
        <v>4194.75</v>
      </c>
      <c r="C66" s="31">
        <f t="shared" si="3"/>
        <v>-1687.4335227272713</v>
      </c>
      <c r="D66" s="31">
        <f t="shared" si="3"/>
        <v>-1517.7368181818172</v>
      </c>
      <c r="E66" s="31">
        <f t="shared" si="3"/>
        <v>-1348.040113636363</v>
      </c>
      <c r="F66" s="31">
        <f t="shared" si="3"/>
        <v>-1178.3434090909086</v>
      </c>
      <c r="G66" s="31">
        <f t="shared" si="3"/>
        <v>-1008.6467045454543</v>
      </c>
    </row>
    <row r="67" spans="1:2" ht="12.75">
      <c r="A67" s="3" t="s">
        <v>107</v>
      </c>
      <c r="B67" s="62">
        <f>IRR(B66:G66)</f>
        <v>0.2022727272726721</v>
      </c>
    </row>
    <row r="68" ht="12.75">
      <c r="B68" s="62"/>
    </row>
    <row r="69" spans="1:3" ht="12.75">
      <c r="A69" s="27" t="s">
        <v>128</v>
      </c>
      <c r="B69" s="22" t="s">
        <v>35</v>
      </c>
      <c r="C69" s="19"/>
    </row>
    <row r="70" spans="1:8" ht="13.5" thickBot="1">
      <c r="A70" s="17"/>
      <c r="B70" s="18">
        <v>0</v>
      </c>
      <c r="C70" s="18">
        <v>1</v>
      </c>
      <c r="D70" s="18">
        <v>2</v>
      </c>
      <c r="E70" s="18">
        <v>3</v>
      </c>
      <c r="F70" s="18">
        <v>4</v>
      </c>
      <c r="G70" s="18">
        <v>5</v>
      </c>
      <c r="H70" s="18">
        <v>6</v>
      </c>
    </row>
    <row r="71" spans="1:7" ht="13.5" thickTop="1">
      <c r="A71" s="3" t="s">
        <v>14</v>
      </c>
      <c r="B71" s="1"/>
      <c r="C71" s="1">
        <f>B76</f>
        <v>4194.75</v>
      </c>
      <c r="D71" s="1">
        <f>C76</f>
        <v>3633.5736509087415</v>
      </c>
      <c r="E71" s="1">
        <f>D76</f>
        <v>2958.886631205842</v>
      </c>
      <c r="F71" s="1">
        <f>E76</f>
        <v>2147.7288279721292</v>
      </c>
      <c r="G71" s="1">
        <f>F76</f>
        <v>1172.4959236297793</v>
      </c>
    </row>
    <row r="72" spans="1:7" ht="12.75">
      <c r="A72" s="3" t="s">
        <v>108</v>
      </c>
      <c r="B72" s="1">
        <f>B57*B17</f>
        <v>4194.75</v>
      </c>
      <c r="C72" s="1"/>
      <c r="D72" s="1"/>
      <c r="E72" s="1"/>
      <c r="F72" s="1"/>
      <c r="G72" s="1"/>
    </row>
    <row r="73" spans="1:7" ht="12.75">
      <c r="A73" s="3" t="s">
        <v>109</v>
      </c>
      <c r="B73" s="1">
        <f aca="true" t="shared" si="4" ref="B73:G73">B71*$B$19</f>
        <v>0</v>
      </c>
      <c r="C73" s="1">
        <f t="shared" si="4"/>
        <v>848.4835227272713</v>
      </c>
      <c r="D73" s="1">
        <f t="shared" si="4"/>
        <v>734.9728521156305</v>
      </c>
      <c r="E73" s="1">
        <f t="shared" si="4"/>
        <v>598.502068584817</v>
      </c>
      <c r="F73" s="1">
        <f t="shared" si="4"/>
        <v>434.42696747618</v>
      </c>
      <c r="G73" s="1">
        <f t="shared" si="4"/>
        <v>237.16394818875042</v>
      </c>
    </row>
    <row r="74" spans="1:7" ht="12.75">
      <c r="A74" s="3" t="s">
        <v>40</v>
      </c>
      <c r="B74" s="1"/>
      <c r="C74" s="1">
        <f>PMT(B19,B20,-C71)</f>
        <v>1409.6598718185298</v>
      </c>
      <c r="D74" s="1">
        <f>C74</f>
        <v>1409.6598718185298</v>
      </c>
      <c r="E74" s="1">
        <f>D74</f>
        <v>1409.6598718185298</v>
      </c>
      <c r="F74" s="1">
        <f>E74</f>
        <v>1409.6598718185298</v>
      </c>
      <c r="G74" s="1">
        <f>F74</f>
        <v>1409.6598718185298</v>
      </c>
    </row>
    <row r="75" spans="1:7" ht="12.75">
      <c r="A75" s="3" t="s">
        <v>130</v>
      </c>
      <c r="B75" s="1">
        <f aca="true" t="shared" si="5" ref="B75:G75">B74-B73</f>
        <v>0</v>
      </c>
      <c r="C75" s="1">
        <f t="shared" si="5"/>
        <v>561.1763490912585</v>
      </c>
      <c r="D75" s="1">
        <f t="shared" si="5"/>
        <v>674.6870197028993</v>
      </c>
      <c r="E75" s="1">
        <f t="shared" si="5"/>
        <v>811.1578032337128</v>
      </c>
      <c r="F75" s="1">
        <f t="shared" si="5"/>
        <v>975.2329043423499</v>
      </c>
      <c r="G75" s="1">
        <f t="shared" si="5"/>
        <v>1172.4959236297793</v>
      </c>
    </row>
    <row r="76" spans="1:8" ht="12.75">
      <c r="A76" s="21" t="s">
        <v>15</v>
      </c>
      <c r="B76" s="30">
        <f aca="true" t="shared" si="6" ref="B76:G76">B71+B72-B75</f>
        <v>4194.75</v>
      </c>
      <c r="C76" s="30">
        <f t="shared" si="6"/>
        <v>3633.5736509087415</v>
      </c>
      <c r="D76" s="30">
        <f t="shared" si="6"/>
        <v>2958.886631205842</v>
      </c>
      <c r="E76" s="30">
        <f t="shared" si="6"/>
        <v>2147.7288279721292</v>
      </c>
      <c r="F76" s="30">
        <f t="shared" si="6"/>
        <v>1172.4959236297793</v>
      </c>
      <c r="G76" s="30">
        <f t="shared" si="6"/>
        <v>0</v>
      </c>
      <c r="H76" s="21"/>
    </row>
    <row r="77" spans="1:7" ht="12.75">
      <c r="A77" s="19" t="s">
        <v>106</v>
      </c>
      <c r="B77" s="31">
        <f aca="true" t="shared" si="7" ref="B77:G77">B72-B73-B75</f>
        <v>4194.75</v>
      </c>
      <c r="C77" s="31">
        <f t="shared" si="7"/>
        <v>-1409.6598718185298</v>
      </c>
      <c r="D77" s="31">
        <f t="shared" si="7"/>
        <v>-1409.6598718185298</v>
      </c>
      <c r="E77" s="31">
        <f t="shared" si="7"/>
        <v>-1409.6598718185298</v>
      </c>
      <c r="F77" s="31">
        <f t="shared" si="7"/>
        <v>-1409.6598718185298</v>
      </c>
      <c r="G77" s="31">
        <f t="shared" si="7"/>
        <v>-1409.6598718185298</v>
      </c>
    </row>
    <row r="78" spans="1:2" ht="12.75">
      <c r="A78" s="3" t="s">
        <v>107</v>
      </c>
      <c r="B78" s="62">
        <f>IRR(B77:G77)</f>
        <v>0.20227272727255596</v>
      </c>
    </row>
    <row r="79" ht="12.75">
      <c r="B79" s="62"/>
    </row>
    <row r="80" spans="1:2" ht="12.75">
      <c r="A80" s="7" t="s">
        <v>123</v>
      </c>
      <c r="B80" s="62"/>
    </row>
    <row r="81" spans="1:8" ht="13.5" thickBot="1">
      <c r="A81" s="17"/>
      <c r="B81" s="18">
        <v>0</v>
      </c>
      <c r="C81" s="18">
        <v>1</v>
      </c>
      <c r="D81" s="18">
        <v>2</v>
      </c>
      <c r="E81" s="18">
        <v>3</v>
      </c>
      <c r="F81" s="18">
        <v>4</v>
      </c>
      <c r="G81" s="18">
        <v>5</v>
      </c>
      <c r="H81" s="18">
        <v>6</v>
      </c>
    </row>
    <row r="82" spans="1:7" ht="13.5" thickTop="1">
      <c r="A82" s="3" t="s">
        <v>26</v>
      </c>
      <c r="B82" s="1"/>
      <c r="C82" s="1">
        <f>B85</f>
        <v>8389.5</v>
      </c>
      <c r="D82" s="1">
        <f>C85</f>
        <v>7550.55</v>
      </c>
      <c r="E82" s="1">
        <f>D85</f>
        <v>6711.6</v>
      </c>
      <c r="F82" s="1">
        <f>E85</f>
        <v>5872.650000000001</v>
      </c>
      <c r="G82" s="1">
        <f>F85</f>
        <v>5033.700000000001</v>
      </c>
    </row>
    <row r="83" spans="1:7" ht="12.75">
      <c r="A83" s="3" t="s">
        <v>27</v>
      </c>
      <c r="B83" s="1"/>
      <c r="C83" s="1">
        <f>$C$82/$B$12</f>
        <v>838.95</v>
      </c>
      <c r="D83" s="1">
        <f>$C$82/$B$12</f>
        <v>838.95</v>
      </c>
      <c r="E83" s="1">
        <f>$C$82/$B$12</f>
        <v>838.95</v>
      </c>
      <c r="F83" s="1">
        <f>$C$82/$B$12</f>
        <v>838.95</v>
      </c>
      <c r="G83" s="1">
        <f>$C$82/$B$12</f>
        <v>838.95</v>
      </c>
    </row>
    <row r="84" spans="1:7" ht="12.75">
      <c r="A84" s="3" t="s">
        <v>16</v>
      </c>
      <c r="B84" s="1"/>
      <c r="C84" s="1">
        <f>C83</f>
        <v>838.95</v>
      </c>
      <c r="D84" s="1">
        <f>C84+D83</f>
        <v>1677.9</v>
      </c>
      <c r="E84" s="1">
        <f>D84+E83</f>
        <v>2516.8500000000004</v>
      </c>
      <c r="F84" s="1">
        <f>E84+F83</f>
        <v>3355.8</v>
      </c>
      <c r="G84" s="1">
        <f>F84+G83</f>
        <v>4194.75</v>
      </c>
    </row>
    <row r="85" spans="1:8" ht="12.75">
      <c r="A85" s="21" t="s">
        <v>28</v>
      </c>
      <c r="B85" s="30">
        <f>B57</f>
        <v>8389.5</v>
      </c>
      <c r="C85" s="30">
        <f>C82-C83</f>
        <v>7550.55</v>
      </c>
      <c r="D85" s="30">
        <f>D82-D83</f>
        <v>6711.6</v>
      </c>
      <c r="E85" s="30">
        <f>E82-E83</f>
        <v>5872.650000000001</v>
      </c>
      <c r="F85" s="30">
        <f>F82-F83</f>
        <v>5033.700000000001</v>
      </c>
      <c r="G85" s="30">
        <f>G82-G83</f>
        <v>4194.750000000001</v>
      </c>
      <c r="H85" s="21"/>
    </row>
    <row r="86" ht="12.75">
      <c r="B86" s="1"/>
    </row>
    <row r="87" ht="12.75">
      <c r="B87" s="1"/>
    </row>
    <row r="88" spans="1:3" ht="12.75">
      <c r="A88" s="3" t="s">
        <v>87</v>
      </c>
      <c r="B88" s="8">
        <f>(B9-B10)*B24*B25</f>
        <v>480</v>
      </c>
      <c r="C88" s="3" t="s">
        <v>45</v>
      </c>
    </row>
    <row r="89" ht="12.75">
      <c r="B89" s="1"/>
    </row>
    <row r="90" spans="1:2" ht="12.75">
      <c r="A90" s="7" t="s">
        <v>0</v>
      </c>
      <c r="B90" s="22" t="s">
        <v>35</v>
      </c>
    </row>
    <row r="91" spans="1:8" ht="13.5" thickBot="1">
      <c r="A91" s="17"/>
      <c r="B91" s="18">
        <v>0</v>
      </c>
      <c r="C91" s="18">
        <v>1</v>
      </c>
      <c r="D91" s="18">
        <v>2</v>
      </c>
      <c r="E91" s="18">
        <v>3</v>
      </c>
      <c r="F91" s="18">
        <v>4</v>
      </c>
      <c r="G91" s="18">
        <v>5</v>
      </c>
      <c r="H91" s="18">
        <v>6</v>
      </c>
    </row>
    <row r="92" spans="1:8" ht="13.5" thickTop="1">
      <c r="A92" s="3" t="s">
        <v>85</v>
      </c>
      <c r="B92" s="1">
        <f>B29</f>
        <v>5000</v>
      </c>
      <c r="C92" s="1">
        <f>B92*(1+$B$30)</f>
        <v>5750</v>
      </c>
      <c r="D92" s="1">
        <f>C92*(1+$B$30)</f>
        <v>6612.499999999999</v>
      </c>
      <c r="E92" s="1">
        <f>D92*(1+$B$30)</f>
        <v>7604.374999999998</v>
      </c>
      <c r="F92" s="1">
        <f>E92*(1+$B$30)</f>
        <v>8745.031249999996</v>
      </c>
      <c r="G92" s="1">
        <f>F92*(1+$B$30)</f>
        <v>10056.785937499995</v>
      </c>
      <c r="H92" s="1"/>
    </row>
    <row r="93" spans="1:8" ht="12.75">
      <c r="A93" s="3" t="s">
        <v>92</v>
      </c>
      <c r="B93" s="1"/>
      <c r="C93" s="1">
        <f>C92*$B$31</f>
        <v>2875</v>
      </c>
      <c r="D93" s="1">
        <f>D92*$B$31</f>
        <v>3306.2499999999995</v>
      </c>
      <c r="E93" s="1">
        <f>E92*$B$31</f>
        <v>3802.187499999999</v>
      </c>
      <c r="F93" s="1">
        <f>F92*$B$31</f>
        <v>4372.515624999998</v>
      </c>
      <c r="G93" s="1">
        <f>G92*$B$31</f>
        <v>5028.392968749998</v>
      </c>
      <c r="H93" s="1"/>
    </row>
    <row r="94" spans="1:8" ht="12.75">
      <c r="A94" s="3" t="s">
        <v>89</v>
      </c>
      <c r="B94" s="1"/>
      <c r="C94" s="1">
        <f>$B$28*(1+$B$27)^(C91-1)</f>
        <v>60</v>
      </c>
      <c r="D94" s="1">
        <f>$B$28*(1+$B$27)^(D91-1)</f>
        <v>64.2</v>
      </c>
      <c r="E94" s="1">
        <f>$B$28*(1+$B$27)^(E91-1)</f>
        <v>68.694</v>
      </c>
      <c r="F94" s="1">
        <f>$B$28*(1+$B$27)^(F91-1)</f>
        <v>73.50258000000001</v>
      </c>
      <c r="G94" s="1">
        <f>$B$28*(1+$B$27)^(G91-1)</f>
        <v>78.6477606</v>
      </c>
      <c r="H94" s="1"/>
    </row>
    <row r="95" spans="1:8" ht="12.75">
      <c r="A95" s="3" t="s">
        <v>90</v>
      </c>
      <c r="B95" s="1"/>
      <c r="C95" s="1">
        <f>C92*C94*$B$25*($B$9-$B$10)*$B$26/10^6</f>
        <v>3974.4</v>
      </c>
      <c r="D95" s="1">
        <f>D92*D94*$B$25*($B$9-$B$10)*$B$26/10^6</f>
        <v>4890.499199999999</v>
      </c>
      <c r="E95" s="1">
        <f>E92*E94*$B$25*($B$9-$B$10)*$B$26/10^6</f>
        <v>6017.7592656</v>
      </c>
      <c r="F95" s="1">
        <f>F92*F94*$B$25*($B$9-$B$10)*$B$26/10^6</f>
        <v>7404.852776320798</v>
      </c>
      <c r="G95" s="1">
        <f>G92*G94*$B$25*($B$9-$B$10)*$B$26/10^6</f>
        <v>9111.671341262741</v>
      </c>
      <c r="H95" s="1"/>
    </row>
    <row r="96" spans="1:8" ht="12.75">
      <c r="A96" s="3" t="s">
        <v>91</v>
      </c>
      <c r="B96" s="1"/>
      <c r="C96" s="1">
        <f>C93*C94*$B$25*($B$9-$B$10)*$B$26/10^6</f>
        <v>1987.2</v>
      </c>
      <c r="D96" s="1">
        <f>D93*D94*$B$25*($B$9-$B$10)*$B$26/10^6</f>
        <v>2445.2495999999996</v>
      </c>
      <c r="E96" s="1">
        <f>E93*E94*$B$25*($B$9-$B$10)*$B$26/10^6</f>
        <v>3008.8796328</v>
      </c>
      <c r="F96" s="1">
        <f>F93*F94*$B$25*($B$9-$B$10)*$B$26/10^6</f>
        <v>3702.426388160399</v>
      </c>
      <c r="G96" s="1">
        <f>G93*G94*$B$25*($B$9-$B$10)*$B$26/10^6</f>
        <v>4555.835670631371</v>
      </c>
      <c r="H96" s="1"/>
    </row>
    <row r="97" spans="1:8" ht="12.75">
      <c r="A97" s="56" t="s">
        <v>0</v>
      </c>
      <c r="B97" s="25"/>
      <c r="C97" s="58">
        <f>(C92+C93)*C94*$B$25*($B$9-$B$10)*$B$26/10^6</f>
        <v>5961.6</v>
      </c>
      <c r="D97" s="58">
        <f>(D92+D93)*D94*$B$25*($B$9-$B$10)*$B$26/10^6</f>
        <v>7335.748799999999</v>
      </c>
      <c r="E97" s="58">
        <f>(E92+E93)*E94*$B$25*($B$9-$B$10)*$B$26/10^6</f>
        <v>9026.638898399997</v>
      </c>
      <c r="F97" s="58">
        <f>(F92+F93)*F94*$B$25*($B$9-$B$10)*$B$26/10^6</f>
        <v>11107.279164481197</v>
      </c>
      <c r="G97" s="58">
        <f>(G92+G93)*G94*$B$25*($B$9-$B$10)*$B$26/10^6</f>
        <v>13667.50701189411</v>
      </c>
      <c r="H97" s="25"/>
    </row>
    <row r="98" spans="1:4" ht="12.75">
      <c r="A98" s="19"/>
      <c r="B98" s="19"/>
      <c r="C98" s="19"/>
      <c r="D98" s="23"/>
    </row>
    <row r="99" spans="1:2" ht="12.75">
      <c r="A99" s="7" t="s">
        <v>11</v>
      </c>
      <c r="B99" s="22" t="s">
        <v>35</v>
      </c>
    </row>
    <row r="100" spans="1:8" ht="13.5" thickBot="1">
      <c r="A100" s="17"/>
      <c r="B100" s="18">
        <v>0</v>
      </c>
      <c r="C100" s="18">
        <v>1</v>
      </c>
      <c r="D100" s="18">
        <v>2</v>
      </c>
      <c r="E100" s="18">
        <v>3</v>
      </c>
      <c r="F100" s="18">
        <v>4</v>
      </c>
      <c r="G100" s="18">
        <v>5</v>
      </c>
      <c r="H100" s="18">
        <v>6</v>
      </c>
    </row>
    <row r="101" spans="1:11" ht="13.5" thickTop="1">
      <c r="A101" s="3" t="s">
        <v>22</v>
      </c>
      <c r="B101" s="1"/>
      <c r="C101" s="1">
        <f>$B$33*$B$34*$B$88*$B$26*C53/10^6</f>
        <v>1367.1936</v>
      </c>
      <c r="D101" s="1">
        <f>$B$33*$B$34*$B$88*$B$26*D53/10^6</f>
        <v>1572.2726399999997</v>
      </c>
      <c r="E101" s="1">
        <f>$B$33*$B$34*$B$88*$B$26*E53/10^6</f>
        <v>1808.1135359999996</v>
      </c>
      <c r="F101" s="1">
        <f>$B$33*$B$34*$B$88*$B$26*F53/10^6</f>
        <v>2079.3305663999995</v>
      </c>
      <c r="G101" s="1">
        <f>$B$33*$B$34*$B$88*$B$26*G53/10^6</f>
        <v>2391.230151359999</v>
      </c>
      <c r="H101" s="26"/>
      <c r="I101" s="70"/>
      <c r="J101" s="70"/>
      <c r="K101" s="70"/>
    </row>
    <row r="102" spans="1:8" ht="12.75">
      <c r="A102" s="3" t="s">
        <v>69</v>
      </c>
      <c r="B102" s="1"/>
      <c r="C102" s="1">
        <f>($B$35+$B$36)*12*($B$9-$B$10)*C53/10^6</f>
        <v>717.6</v>
      </c>
      <c r="D102" s="1">
        <f>($B$35+$B$36)*12*($B$9-$B$10)*D53/10^6</f>
        <v>825.2399999999999</v>
      </c>
      <c r="E102" s="1">
        <f>($B$35+$B$36)*12*($B$9-$B$10)*E53/10^6</f>
        <v>949.0259999999997</v>
      </c>
      <c r="F102" s="1">
        <f>($B$35+$B$36)*12*($B$9-$B$10)*F53/10^6</f>
        <v>1091.3798999999997</v>
      </c>
      <c r="G102" s="1">
        <f>($B$35+$B$36)*12*($B$9-$B$10)*G53/10^6</f>
        <v>1255.0868849999995</v>
      </c>
      <c r="H102" s="26"/>
    </row>
    <row r="103" spans="1:11" ht="12.75">
      <c r="A103" s="3" t="s">
        <v>12</v>
      </c>
      <c r="B103" s="1"/>
      <c r="C103" s="1">
        <f>$B$37*$B$9*12*C53/10^6</f>
        <v>827.9999999999999</v>
      </c>
      <c r="D103" s="1">
        <f>$B$37*$B$9*12*D53/10^6</f>
        <v>952.1999999999999</v>
      </c>
      <c r="E103" s="1">
        <f>$B$37*$B$9*12*E53/10^6</f>
        <v>1095.0299999999997</v>
      </c>
      <c r="F103" s="1">
        <f>$B$37*$B$9*12*F53/10^6</f>
        <v>1259.2844999999995</v>
      </c>
      <c r="G103" s="1">
        <f>$B$37*$B$9*12*G53/10^6</f>
        <v>1448.1771749999996</v>
      </c>
      <c r="I103" s="70"/>
      <c r="J103" s="70"/>
      <c r="K103" s="70"/>
    </row>
    <row r="104" spans="1:11" ht="12.75">
      <c r="A104" s="3" t="s">
        <v>13</v>
      </c>
      <c r="B104" s="1"/>
      <c r="C104" s="1">
        <f>$B$38*$B$57</f>
        <v>155.20575</v>
      </c>
      <c r="D104" s="1">
        <f>$B$38*$B$57</f>
        <v>155.20575</v>
      </c>
      <c r="E104" s="1">
        <f>$B$38*$B$57</f>
        <v>155.20575</v>
      </c>
      <c r="F104" s="1">
        <f>$B$39*$B$57</f>
        <v>160.23945</v>
      </c>
      <c r="G104" s="1">
        <f>$B$39*$B$57</f>
        <v>160.23945</v>
      </c>
      <c r="J104" s="70"/>
      <c r="K104" s="70"/>
    </row>
    <row r="105" spans="1:7" ht="12.75">
      <c r="A105" s="3" t="s">
        <v>37</v>
      </c>
      <c r="B105" s="1"/>
      <c r="C105" s="1">
        <f>$B$40*C53</f>
        <v>1075.25</v>
      </c>
      <c r="D105" s="1">
        <f>$B$40*D53</f>
        <v>1236.5375</v>
      </c>
      <c r="E105" s="1">
        <f>$B$40*E53</f>
        <v>1422.0181249999996</v>
      </c>
      <c r="F105" s="1">
        <f>$B$40*F53</f>
        <v>1635.3208437499995</v>
      </c>
      <c r="G105" s="1">
        <f>$B$40*G53</f>
        <v>1880.6189703124994</v>
      </c>
    </row>
    <row r="106" spans="1:10" s="7" customFormat="1" ht="12.75">
      <c r="A106" s="27" t="s">
        <v>124</v>
      </c>
      <c r="B106" s="28"/>
      <c r="C106" s="28">
        <f>SUM(C101:C105)</f>
        <v>4143.24935</v>
      </c>
      <c r="D106" s="28">
        <f>SUM(D101:D105)</f>
        <v>4741.455889999999</v>
      </c>
      <c r="E106" s="33">
        <f>SUM(E101:E105)</f>
        <v>5429.393410999999</v>
      </c>
      <c r="F106" s="33">
        <f>SUM(F101:F105)</f>
        <v>6225.5552601499985</v>
      </c>
      <c r="G106" s="33">
        <f>SUM(G101:G105)</f>
        <v>7135.352631672497</v>
      </c>
      <c r="H106" s="56"/>
      <c r="J106" s="3"/>
    </row>
    <row r="107" spans="1:4" ht="12.75">
      <c r="A107" s="29"/>
      <c r="B107" s="29"/>
      <c r="C107" s="29"/>
      <c r="D107" s="29"/>
    </row>
    <row r="108" spans="1:8" ht="12.75">
      <c r="A108" s="7" t="s">
        <v>101</v>
      </c>
      <c r="B108" s="22" t="s">
        <v>35</v>
      </c>
      <c r="H108" s="22"/>
    </row>
    <row r="109" spans="1:8" ht="13.5" thickBot="1">
      <c r="A109" s="17"/>
      <c r="B109" s="18">
        <v>0</v>
      </c>
      <c r="C109" s="18">
        <v>1</v>
      </c>
      <c r="D109" s="18">
        <v>2</v>
      </c>
      <c r="E109" s="18">
        <v>3</v>
      </c>
      <c r="F109" s="18">
        <v>4</v>
      </c>
      <c r="G109" s="18">
        <v>5</v>
      </c>
      <c r="H109" s="18">
        <v>6</v>
      </c>
    </row>
    <row r="110" spans="1:7" ht="13.5" thickTop="1">
      <c r="A110" s="3" t="s">
        <v>0</v>
      </c>
      <c r="B110" s="1"/>
      <c r="C110" s="1">
        <f>C97</f>
        <v>5961.6</v>
      </c>
      <c r="D110" s="1">
        <f>D97</f>
        <v>7335.748799999999</v>
      </c>
      <c r="E110" s="1">
        <f>E97</f>
        <v>9026.638898399997</v>
      </c>
      <c r="F110" s="1">
        <f>F97</f>
        <v>11107.279164481197</v>
      </c>
      <c r="G110" s="1">
        <f>G97</f>
        <v>13667.50701189411</v>
      </c>
    </row>
    <row r="111" spans="1:7" ht="12.75">
      <c r="A111" s="3" t="s">
        <v>11</v>
      </c>
      <c r="B111" s="1"/>
      <c r="C111" s="1">
        <f>C106</f>
        <v>4143.24935</v>
      </c>
      <c r="D111" s="1">
        <f>D106</f>
        <v>4741.455889999999</v>
      </c>
      <c r="E111" s="1">
        <f>E106</f>
        <v>5429.393410999999</v>
      </c>
      <c r="F111" s="1">
        <f>F106</f>
        <v>6225.5552601499985</v>
      </c>
      <c r="G111" s="1">
        <f>G106</f>
        <v>7135.352631672497</v>
      </c>
    </row>
    <row r="112" spans="1:7" ht="12.75">
      <c r="A112" s="3" t="s">
        <v>123</v>
      </c>
      <c r="B112" s="1"/>
      <c r="C112" s="1">
        <f>C83</f>
        <v>838.95</v>
      </c>
      <c r="D112" s="1">
        <f>D83</f>
        <v>838.95</v>
      </c>
      <c r="E112" s="1">
        <f>E83</f>
        <v>838.95</v>
      </c>
      <c r="F112" s="1">
        <f>F83</f>
        <v>838.95</v>
      </c>
      <c r="G112" s="1">
        <f>G83</f>
        <v>838.95</v>
      </c>
    </row>
    <row r="113" spans="1:7" ht="12.75">
      <c r="A113" s="3" t="s">
        <v>1</v>
      </c>
      <c r="B113" s="1"/>
      <c r="C113" s="1">
        <f>C110-C111-C112</f>
        <v>979.4006500000003</v>
      </c>
      <c r="D113" s="1">
        <f>D110-D111-D112</f>
        <v>1755.34291</v>
      </c>
      <c r="E113" s="1">
        <f>E110-E111-E112</f>
        <v>2758.295487399998</v>
      </c>
      <c r="F113" s="1">
        <f>F110-F111-F112</f>
        <v>4042.7739043311985</v>
      </c>
      <c r="G113" s="1">
        <f>G110-G111-G112</f>
        <v>5693.204380221612</v>
      </c>
    </row>
    <row r="114" spans="1:7" ht="12.75">
      <c r="A114" s="3" t="s">
        <v>17</v>
      </c>
      <c r="B114" s="1"/>
      <c r="C114" s="1">
        <f>IF($B$21=1,C63,C73)</f>
        <v>848.4835227272713</v>
      </c>
      <c r="D114" s="1">
        <f>IF($B$21=1,D63,D73)</f>
        <v>678.7868181818171</v>
      </c>
      <c r="E114" s="1">
        <f>IF($B$21=1,E63,E73)</f>
        <v>509.09011363636284</v>
      </c>
      <c r="F114" s="1">
        <f>IF($B$21=1,F63,F73)</f>
        <v>339.3934090909086</v>
      </c>
      <c r="G114" s="1">
        <f>IF($B$21=1,G63,G73)</f>
        <v>169.6967045454543</v>
      </c>
    </row>
    <row r="115" spans="1:7" ht="12.75">
      <c r="A115" s="3" t="s">
        <v>18</v>
      </c>
      <c r="B115" s="1"/>
      <c r="C115" s="1">
        <f>C113-C114</f>
        <v>130.91712727272898</v>
      </c>
      <c r="D115" s="1">
        <f>D113-D114</f>
        <v>1076.556091818183</v>
      </c>
      <c r="E115" s="1">
        <f>E113-E114</f>
        <v>2249.205373763635</v>
      </c>
      <c r="F115" s="1">
        <f>F113-F114</f>
        <v>3703.3804952402897</v>
      </c>
      <c r="G115" s="1">
        <f>G113-G114</f>
        <v>5523.507675676158</v>
      </c>
    </row>
    <row r="116" spans="1:7" ht="12.75">
      <c r="A116" s="7" t="s">
        <v>133</v>
      </c>
      <c r="B116" s="28"/>
      <c r="C116" s="28">
        <f>IF(C115&lt;0,0,C115*$B$47)</f>
        <v>28.801768000000376</v>
      </c>
      <c r="D116" s="28">
        <f>IF(D115&lt;0,0,D115*$B$47)</f>
        <v>236.84234020000025</v>
      </c>
      <c r="E116" s="28">
        <f>IF(E115&lt;0,0,E115*$B$47)</f>
        <v>494.82518222799973</v>
      </c>
      <c r="F116" s="28">
        <f>IF(F115&lt;0,0,F115*$B$47)</f>
        <v>814.7437089528637</v>
      </c>
      <c r="G116" s="28">
        <f>IF(G115&lt;0,0,G115*$B$47)</f>
        <v>1215.1716886487548</v>
      </c>
    </row>
    <row r="117" spans="1:8" s="7" customFormat="1" ht="12.75">
      <c r="A117" s="21" t="s">
        <v>59</v>
      </c>
      <c r="B117" s="33"/>
      <c r="C117" s="30">
        <f>C115-C116</f>
        <v>102.1153592727286</v>
      </c>
      <c r="D117" s="30">
        <f>D115-D116</f>
        <v>839.7137516181826</v>
      </c>
      <c r="E117" s="30">
        <f>E115-E116</f>
        <v>1754.3801915356355</v>
      </c>
      <c r="F117" s="30">
        <f>F115-F116</f>
        <v>2888.636786287426</v>
      </c>
      <c r="G117" s="30">
        <f>G115-G116</f>
        <v>4308.3359870274035</v>
      </c>
      <c r="H117" s="56"/>
    </row>
    <row r="119" spans="1:2" ht="12.75">
      <c r="A119" s="7" t="s">
        <v>4</v>
      </c>
      <c r="B119" s="22" t="s">
        <v>35</v>
      </c>
    </row>
    <row r="120" spans="1:8" ht="13.5" thickBot="1">
      <c r="A120" s="17"/>
      <c r="B120" s="18">
        <v>0</v>
      </c>
      <c r="C120" s="18">
        <v>1</v>
      </c>
      <c r="D120" s="18">
        <v>2</v>
      </c>
      <c r="E120" s="18">
        <v>3</v>
      </c>
      <c r="F120" s="18">
        <v>4</v>
      </c>
      <c r="G120" s="18">
        <v>5</v>
      </c>
      <c r="H120" s="18">
        <v>6</v>
      </c>
    </row>
    <row r="121" spans="1:8" ht="13.5" thickTop="1">
      <c r="A121" s="3" t="s">
        <v>134</v>
      </c>
      <c r="B121" s="26"/>
      <c r="C121" s="1">
        <f aca="true" t="shared" si="8" ref="C121:H121">C97*$B$42</f>
        <v>298.08000000000004</v>
      </c>
      <c r="D121" s="1">
        <f t="shared" si="8"/>
        <v>366.78744</v>
      </c>
      <c r="E121" s="1">
        <f t="shared" si="8"/>
        <v>451.33194491999984</v>
      </c>
      <c r="F121" s="1">
        <f t="shared" si="8"/>
        <v>555.3639582240598</v>
      </c>
      <c r="G121" s="1">
        <f t="shared" si="8"/>
        <v>683.3753505947055</v>
      </c>
      <c r="H121" s="1">
        <f t="shared" si="8"/>
        <v>0</v>
      </c>
    </row>
    <row r="122" spans="1:8" ht="12.75">
      <c r="A122" s="3" t="s">
        <v>5</v>
      </c>
      <c r="B122" s="1"/>
      <c r="C122" s="1">
        <f aca="true" t="shared" si="9" ref="C122:H122">C96*$B$43</f>
        <v>496.8</v>
      </c>
      <c r="D122" s="1">
        <f t="shared" si="9"/>
        <v>611.3123999999999</v>
      </c>
      <c r="E122" s="1">
        <f t="shared" si="9"/>
        <v>752.2199082</v>
      </c>
      <c r="F122" s="1">
        <f t="shared" si="9"/>
        <v>925.6065970400997</v>
      </c>
      <c r="G122" s="1">
        <f t="shared" si="9"/>
        <v>1138.9589176578427</v>
      </c>
      <c r="H122" s="1">
        <f t="shared" si="9"/>
        <v>0</v>
      </c>
    </row>
    <row r="123" spans="1:8" ht="12.75">
      <c r="A123" s="21" t="s">
        <v>6</v>
      </c>
      <c r="B123" s="30"/>
      <c r="C123" s="30">
        <f aca="true" t="shared" si="10" ref="C123:H123">(C103+C101)*$B$45</f>
        <v>1097.5968</v>
      </c>
      <c r="D123" s="30">
        <f t="shared" si="10"/>
        <v>1262.2363199999998</v>
      </c>
      <c r="E123" s="30">
        <f t="shared" si="10"/>
        <v>1451.5717679999998</v>
      </c>
      <c r="F123" s="30">
        <f t="shared" si="10"/>
        <v>1669.3075331999994</v>
      </c>
      <c r="G123" s="30">
        <f t="shared" si="10"/>
        <v>1919.7036631799992</v>
      </c>
      <c r="H123" s="30">
        <f t="shared" si="10"/>
        <v>0</v>
      </c>
    </row>
    <row r="124" spans="2:5" ht="12.75">
      <c r="B124" s="1"/>
      <c r="C124" s="31"/>
      <c r="D124" s="31"/>
      <c r="E124" s="31"/>
    </row>
    <row r="125" spans="1:2" ht="12.75">
      <c r="A125" s="7" t="s">
        <v>100</v>
      </c>
      <c r="B125" s="22" t="s">
        <v>35</v>
      </c>
    </row>
    <row r="126" spans="1:8" ht="13.5" thickBot="1">
      <c r="A126" s="17"/>
      <c r="B126" s="18">
        <v>0</v>
      </c>
      <c r="C126" s="18">
        <v>1</v>
      </c>
      <c r="D126" s="18">
        <v>2</v>
      </c>
      <c r="E126" s="18">
        <v>3</v>
      </c>
      <c r="F126" s="18">
        <v>4</v>
      </c>
      <c r="G126" s="18">
        <v>5</v>
      </c>
      <c r="H126" s="18">
        <v>6</v>
      </c>
    </row>
    <row r="127" spans="1:8" ht="13.5" thickTop="1">
      <c r="A127" s="3" t="s">
        <v>122</v>
      </c>
      <c r="B127" s="1"/>
      <c r="C127" s="31">
        <f aca="true" t="shared" si="11" ref="C127:H129">C121-B121</f>
        <v>298.08000000000004</v>
      </c>
      <c r="D127" s="31">
        <f t="shared" si="11"/>
        <v>68.70743999999996</v>
      </c>
      <c r="E127" s="31">
        <f t="shared" si="11"/>
        <v>84.54450491999984</v>
      </c>
      <c r="F127" s="31">
        <f t="shared" si="11"/>
        <v>104.03201330406</v>
      </c>
      <c r="G127" s="31">
        <f t="shared" si="11"/>
        <v>128.0113923706457</v>
      </c>
      <c r="H127" s="71">
        <f t="shared" si="11"/>
        <v>-683.3753505947055</v>
      </c>
    </row>
    <row r="128" spans="1:8" ht="12.75">
      <c r="A128" s="3" t="s">
        <v>36</v>
      </c>
      <c r="B128" s="1"/>
      <c r="C128" s="31">
        <f t="shared" si="11"/>
        <v>496.8</v>
      </c>
      <c r="D128" s="31">
        <f t="shared" si="11"/>
        <v>114.5123999999999</v>
      </c>
      <c r="E128" s="31">
        <f t="shared" si="11"/>
        <v>140.90750820000005</v>
      </c>
      <c r="F128" s="31">
        <f t="shared" si="11"/>
        <v>173.38668884009974</v>
      </c>
      <c r="G128" s="31">
        <f t="shared" si="11"/>
        <v>213.35232061774298</v>
      </c>
      <c r="H128" s="71">
        <f t="shared" si="11"/>
        <v>-1138.9589176578427</v>
      </c>
    </row>
    <row r="129" spans="1:8" ht="12.75">
      <c r="A129" s="3" t="s">
        <v>78</v>
      </c>
      <c r="B129" s="31"/>
      <c r="C129" s="31">
        <f t="shared" si="11"/>
        <v>1097.5968</v>
      </c>
      <c r="D129" s="31">
        <f t="shared" si="11"/>
        <v>164.63951999999972</v>
      </c>
      <c r="E129" s="31">
        <f t="shared" si="11"/>
        <v>189.33544800000004</v>
      </c>
      <c r="F129" s="31">
        <f t="shared" si="11"/>
        <v>217.7357651999996</v>
      </c>
      <c r="G129" s="31">
        <f t="shared" si="11"/>
        <v>250.39612997999984</v>
      </c>
      <c r="H129" s="71">
        <f t="shared" si="11"/>
        <v>-1919.7036631799992</v>
      </c>
    </row>
    <row r="130" spans="2:4" ht="12.75">
      <c r="B130" s="31"/>
      <c r="C130" s="31"/>
      <c r="D130" s="31"/>
    </row>
    <row r="131" ht="12.75">
      <c r="A131" s="7" t="s">
        <v>112</v>
      </c>
    </row>
    <row r="132" spans="1:12" ht="12.75">
      <c r="A132" s="34"/>
      <c r="B132" s="35">
        <v>0</v>
      </c>
      <c r="C132" s="35">
        <v>1</v>
      </c>
      <c r="D132" s="35">
        <v>2</v>
      </c>
      <c r="E132" s="35">
        <v>3</v>
      </c>
      <c r="F132" s="35">
        <v>4</v>
      </c>
      <c r="G132" s="35">
        <v>5</v>
      </c>
      <c r="H132" s="35">
        <v>6</v>
      </c>
      <c r="J132" s="73" t="s">
        <v>136</v>
      </c>
      <c r="L132" s="78" t="s">
        <v>137</v>
      </c>
    </row>
    <row r="133" spans="1:10" ht="12.75">
      <c r="A133" s="3" t="s">
        <v>102</v>
      </c>
      <c r="B133" s="1"/>
      <c r="C133" s="1"/>
      <c r="D133" s="1"/>
      <c r="J133" s="74"/>
    </row>
    <row r="134" spans="1:12" ht="12.75">
      <c r="A134" s="3" t="s">
        <v>0</v>
      </c>
      <c r="B134" s="1">
        <f aca="true" t="shared" si="12" ref="B134:H134">B110</f>
        <v>0</v>
      </c>
      <c r="C134" s="1">
        <f t="shared" si="12"/>
        <v>5961.6</v>
      </c>
      <c r="D134" s="1">
        <f t="shared" si="12"/>
        <v>7335.748799999999</v>
      </c>
      <c r="E134" s="1">
        <f t="shared" si="12"/>
        <v>9026.638898399997</v>
      </c>
      <c r="F134" s="1">
        <f t="shared" si="12"/>
        <v>11107.279164481197</v>
      </c>
      <c r="G134" s="1">
        <f t="shared" si="12"/>
        <v>13667.50701189411</v>
      </c>
      <c r="H134" s="1">
        <f t="shared" si="12"/>
        <v>0</v>
      </c>
      <c r="J134" s="75">
        <f>NPV($B$148,C134:H134)+B134</f>
        <v>24348.278706762314</v>
      </c>
      <c r="L134" s="70">
        <f>'Model (2) - Inflation'!J134-Model!J134</f>
        <v>0</v>
      </c>
    </row>
    <row r="135" spans="1:12" ht="12.75">
      <c r="A135" s="3" t="s">
        <v>78</v>
      </c>
      <c r="B135" s="1">
        <f aca="true" t="shared" si="13" ref="B135:H135">B129</f>
        <v>0</v>
      </c>
      <c r="C135" s="1">
        <f t="shared" si="13"/>
        <v>1097.5968</v>
      </c>
      <c r="D135" s="1">
        <f t="shared" si="13"/>
        <v>164.63951999999972</v>
      </c>
      <c r="E135" s="1">
        <f t="shared" si="13"/>
        <v>189.33544800000004</v>
      </c>
      <c r="F135" s="1">
        <f t="shared" si="13"/>
        <v>217.7357651999996</v>
      </c>
      <c r="G135" s="1">
        <f t="shared" si="13"/>
        <v>250.39612997999984</v>
      </c>
      <c r="H135" s="1">
        <f t="shared" si="13"/>
        <v>-1919.7036631799992</v>
      </c>
      <c r="I135" s="8"/>
      <c r="J135" s="75">
        <f>NPV($B$148,C135:H135)+B135</f>
        <v>731.202075397224</v>
      </c>
      <c r="L135" s="70">
        <f>'Model (2) - Inflation'!J135-Model!J135</f>
        <v>145.51285082531774</v>
      </c>
    </row>
    <row r="136" spans="1:12" ht="12.75">
      <c r="A136" s="3" t="s">
        <v>42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38">
        <f>G85*H53</f>
        <v>9702.711646605467</v>
      </c>
      <c r="I136" s="8"/>
      <c r="J136" s="76">
        <f>NPV($B$148,C136:H136)+B136</f>
        <v>2823.8068930273294</v>
      </c>
      <c r="L136" s="72">
        <f>'Model (2) - Inflation'!J136-Model!J136</f>
        <v>0</v>
      </c>
    </row>
    <row r="137" spans="1:12" ht="12.75">
      <c r="A137" s="39" t="s">
        <v>29</v>
      </c>
      <c r="B137" s="40">
        <f aca="true" t="shared" si="14" ref="B137:H137">SUM(B134:B136)</f>
        <v>0</v>
      </c>
      <c r="C137" s="40">
        <f t="shared" si="14"/>
        <v>7059.196800000001</v>
      </c>
      <c r="D137" s="40">
        <f t="shared" si="14"/>
        <v>7500.388319999999</v>
      </c>
      <c r="E137" s="40">
        <f t="shared" si="14"/>
        <v>9215.974346399997</v>
      </c>
      <c r="F137" s="40">
        <f t="shared" si="14"/>
        <v>11325.014929681196</v>
      </c>
      <c r="G137" s="40">
        <f t="shared" si="14"/>
        <v>13917.903141874109</v>
      </c>
      <c r="H137" s="41">
        <f t="shared" si="14"/>
        <v>7783.0079834254675</v>
      </c>
      <c r="I137" s="8"/>
      <c r="J137" s="77">
        <f>NPV($B$148,C137:H137)+B137</f>
        <v>27903.287675186864</v>
      </c>
      <c r="L137" s="72">
        <f>'Model (2) - Inflation'!J137-Model!J137</f>
        <v>145.5128508253183</v>
      </c>
    </row>
    <row r="138" spans="1:12" ht="12.75">
      <c r="A138" s="3" t="s">
        <v>103</v>
      </c>
      <c r="B138" s="1"/>
      <c r="C138" s="1"/>
      <c r="D138" s="1"/>
      <c r="H138" s="8"/>
      <c r="I138" s="8"/>
      <c r="J138" s="74"/>
      <c r="L138" s="70">
        <f>'Model (2) - Inflation'!J138-Model!J138</f>
        <v>0</v>
      </c>
    </row>
    <row r="139" spans="1:12" ht="12.75">
      <c r="A139" s="3" t="s">
        <v>47</v>
      </c>
      <c r="B139" s="1">
        <f aca="true" t="shared" si="15" ref="B139:H139">B57</f>
        <v>8389.5</v>
      </c>
      <c r="C139" s="1">
        <f t="shared" si="15"/>
        <v>0</v>
      </c>
      <c r="D139" s="1">
        <f t="shared" si="15"/>
        <v>0</v>
      </c>
      <c r="E139" s="1">
        <f t="shared" si="15"/>
        <v>0</v>
      </c>
      <c r="F139" s="1">
        <f t="shared" si="15"/>
        <v>0</v>
      </c>
      <c r="G139" s="1">
        <f t="shared" si="15"/>
        <v>0</v>
      </c>
      <c r="H139" s="1">
        <f t="shared" si="15"/>
        <v>0</v>
      </c>
      <c r="I139" s="8"/>
      <c r="J139" s="75">
        <f aca="true" t="shared" si="16" ref="J139:J145">NPV($B$148,C139:H139)+B139</f>
        <v>8389.5</v>
      </c>
      <c r="L139" s="70">
        <f>'Model (2) - Inflation'!J139-Model!J139</f>
        <v>0</v>
      </c>
    </row>
    <row r="140" spans="1:12" ht="12.75">
      <c r="A140" s="3" t="s">
        <v>11</v>
      </c>
      <c r="B140" s="1">
        <f aca="true" t="shared" si="17" ref="B140:H140">B106</f>
        <v>0</v>
      </c>
      <c r="C140" s="1">
        <f t="shared" si="17"/>
        <v>4143.24935</v>
      </c>
      <c r="D140" s="1">
        <f t="shared" si="17"/>
        <v>4741.455889999999</v>
      </c>
      <c r="E140" s="1">
        <f t="shared" si="17"/>
        <v>5429.393410999999</v>
      </c>
      <c r="F140" s="1">
        <f t="shared" si="17"/>
        <v>6225.5552601499985</v>
      </c>
      <c r="G140" s="1">
        <f t="shared" si="17"/>
        <v>7135.352631672497</v>
      </c>
      <c r="H140" s="36">
        <f t="shared" si="17"/>
        <v>0</v>
      </c>
      <c r="I140" s="8"/>
      <c r="J140" s="75">
        <f t="shared" si="16"/>
        <v>14729.006032856178</v>
      </c>
      <c r="L140" s="70">
        <f>'Model (2) - Inflation'!J140-Model!J140</f>
        <v>-55.202753029481755</v>
      </c>
    </row>
    <row r="141" spans="1:12" ht="12.75">
      <c r="A141" s="3" t="s">
        <v>36</v>
      </c>
      <c r="B141" s="1">
        <f aca="true" t="shared" si="18" ref="B141:H141">B128</f>
        <v>0</v>
      </c>
      <c r="C141" s="1">
        <f t="shared" si="18"/>
        <v>496.8</v>
      </c>
      <c r="D141" s="1">
        <f t="shared" si="18"/>
        <v>114.5123999999999</v>
      </c>
      <c r="E141" s="1">
        <f t="shared" si="18"/>
        <v>140.90750820000005</v>
      </c>
      <c r="F141" s="1">
        <f t="shared" si="18"/>
        <v>173.38668884009974</v>
      </c>
      <c r="G141" s="1">
        <f t="shared" si="18"/>
        <v>213.35232061774298</v>
      </c>
      <c r="H141" s="1">
        <f t="shared" si="18"/>
        <v>-1138.9589176578427</v>
      </c>
      <c r="I141" s="8"/>
      <c r="J141" s="75">
        <f t="shared" si="16"/>
        <v>377.2744387958077</v>
      </c>
      <c r="L141" s="70">
        <f>'Model (2) - Inflation'!J141-Model!J141</f>
        <v>75.07949030762319</v>
      </c>
    </row>
    <row r="142" spans="1:12" ht="12.75">
      <c r="A142" s="3" t="s">
        <v>122</v>
      </c>
      <c r="B142" s="1">
        <f aca="true" t="shared" si="19" ref="B142:H142">B127</f>
        <v>0</v>
      </c>
      <c r="C142" s="1">
        <f t="shared" si="19"/>
        <v>298.08000000000004</v>
      </c>
      <c r="D142" s="1">
        <f t="shared" si="19"/>
        <v>68.70743999999996</v>
      </c>
      <c r="E142" s="1">
        <f t="shared" si="19"/>
        <v>84.54450491999984</v>
      </c>
      <c r="F142" s="1">
        <f t="shared" si="19"/>
        <v>104.03201330406</v>
      </c>
      <c r="G142" s="1">
        <f t="shared" si="19"/>
        <v>128.0113923706457</v>
      </c>
      <c r="H142" s="1">
        <f t="shared" si="19"/>
        <v>-683.3753505947055</v>
      </c>
      <c r="I142" s="8"/>
      <c r="J142" s="75">
        <f t="shared" si="16"/>
        <v>226.3646632774846</v>
      </c>
      <c r="L142" s="70">
        <f>'Model (2) - Inflation'!J142-Model!J142</f>
        <v>45.047694184573885</v>
      </c>
    </row>
    <row r="143" spans="1:12" ht="12.75">
      <c r="A143" s="3" t="s">
        <v>55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36">
        <f>H136*B15</f>
        <v>4366.2202409724605</v>
      </c>
      <c r="I143" s="8"/>
      <c r="J143" s="75">
        <f t="shared" si="16"/>
        <v>1270.7131018622983</v>
      </c>
      <c r="L143" s="70">
        <f>'Model (2) - Inflation'!J143-Model!J143</f>
        <v>0</v>
      </c>
    </row>
    <row r="144" spans="1:12" ht="12.75">
      <c r="A144" s="3" t="s">
        <v>20</v>
      </c>
      <c r="B144" s="1">
        <f aca="true" t="shared" si="20" ref="B144:H144">B116</f>
        <v>0</v>
      </c>
      <c r="C144" s="1">
        <f t="shared" si="20"/>
        <v>28.801768000000376</v>
      </c>
      <c r="D144" s="1">
        <f t="shared" si="20"/>
        <v>236.84234020000025</v>
      </c>
      <c r="E144" s="1">
        <f t="shared" si="20"/>
        <v>494.82518222799973</v>
      </c>
      <c r="F144" s="1">
        <f t="shared" si="20"/>
        <v>814.7437089528637</v>
      </c>
      <c r="G144" s="1">
        <f t="shared" si="20"/>
        <v>1215.1716886487548</v>
      </c>
      <c r="H144" s="1">
        <f t="shared" si="20"/>
        <v>0</v>
      </c>
      <c r="I144" s="8"/>
      <c r="J144" s="75">
        <f t="shared" si="16"/>
        <v>1239.5861083894633</v>
      </c>
      <c r="L144" s="72">
        <f>'Model (2) - Inflation'!J144-Model!J144</f>
        <v>9.897452435082414</v>
      </c>
    </row>
    <row r="145" spans="1:12" ht="12.75">
      <c r="A145" s="39" t="s">
        <v>19</v>
      </c>
      <c r="B145" s="40">
        <f aca="true" t="shared" si="21" ref="B145:H145">SUM(B139:B144)</f>
        <v>8389.5</v>
      </c>
      <c r="C145" s="40">
        <f t="shared" si="21"/>
        <v>4966.931118</v>
      </c>
      <c r="D145" s="40">
        <f t="shared" si="21"/>
        <v>5161.518070199999</v>
      </c>
      <c r="E145" s="40">
        <f t="shared" si="21"/>
        <v>6149.670606347999</v>
      </c>
      <c r="F145" s="40">
        <f t="shared" si="21"/>
        <v>7317.717671247022</v>
      </c>
      <c r="G145" s="40">
        <f t="shared" si="21"/>
        <v>8691.888033309642</v>
      </c>
      <c r="H145" s="40">
        <f t="shared" si="21"/>
        <v>2543.8859727199124</v>
      </c>
      <c r="I145" s="8"/>
      <c r="J145" s="77">
        <f t="shared" si="16"/>
        <v>26232.44434518123</v>
      </c>
      <c r="L145" s="72">
        <f>'Model (2) - Inflation'!J145-Model!J145</f>
        <v>74.82188389779549</v>
      </c>
    </row>
    <row r="146" spans="1:9" ht="12.75">
      <c r="A146" s="27"/>
      <c r="B146" s="63"/>
      <c r="C146" s="63"/>
      <c r="D146" s="63"/>
      <c r="E146" s="63"/>
      <c r="F146" s="63"/>
      <c r="G146" s="63"/>
      <c r="H146" s="63"/>
      <c r="I146" s="8"/>
    </row>
    <row r="147" spans="1:9" ht="12.75">
      <c r="A147" s="7" t="s">
        <v>119</v>
      </c>
      <c r="C147" s="63"/>
      <c r="D147" s="63"/>
      <c r="E147" s="63"/>
      <c r="F147" s="63"/>
      <c r="G147" s="63"/>
      <c r="H147" s="63"/>
      <c r="I147" s="8"/>
    </row>
    <row r="148" spans="1:9" ht="12.75">
      <c r="A148" s="3" t="s">
        <v>94</v>
      </c>
      <c r="B148" s="15">
        <f>(1-B17)*B48+B17*B19</f>
        <v>0.22840909090909067</v>
      </c>
      <c r="C148" s="63"/>
      <c r="D148" s="63"/>
      <c r="E148" s="63"/>
      <c r="F148" s="63"/>
      <c r="G148" s="63"/>
      <c r="H148" s="63"/>
      <c r="I148" s="8"/>
    </row>
    <row r="149" spans="1:9" ht="12.75">
      <c r="A149" s="3" t="s">
        <v>95</v>
      </c>
      <c r="B149" s="16">
        <f>(B148-B4)/(1+B4)</f>
        <v>0.06818181818181798</v>
      </c>
      <c r="C149" s="63"/>
      <c r="D149" s="63"/>
      <c r="E149" s="63"/>
      <c r="F149" s="63"/>
      <c r="G149" s="63"/>
      <c r="H149" s="63"/>
      <c r="I149" s="8"/>
    </row>
    <row r="150" spans="1:9" ht="12.75">
      <c r="A150" s="27"/>
      <c r="B150" s="63"/>
      <c r="C150" s="63"/>
      <c r="D150" s="63"/>
      <c r="E150" s="63"/>
      <c r="F150" s="63"/>
      <c r="G150" s="63"/>
      <c r="H150" s="63"/>
      <c r="I150" s="8"/>
    </row>
    <row r="151" spans="1:9" s="19" customFormat="1" ht="12.75">
      <c r="A151" s="56" t="s">
        <v>114</v>
      </c>
      <c r="B151" s="33"/>
      <c r="C151" s="33"/>
      <c r="D151" s="33"/>
      <c r="E151" s="33"/>
      <c r="F151" s="33"/>
      <c r="G151" s="33"/>
      <c r="H151" s="33"/>
      <c r="I151" s="64"/>
    </row>
    <row r="152" spans="1:8" s="7" customFormat="1" ht="12.75">
      <c r="A152" s="56" t="s">
        <v>105</v>
      </c>
      <c r="B152" s="33">
        <f aca="true" t="shared" si="22" ref="B152:H152">B137-B145</f>
        <v>-8389.5</v>
      </c>
      <c r="C152" s="33">
        <f t="shared" si="22"/>
        <v>2092.265682</v>
      </c>
      <c r="D152" s="33">
        <f t="shared" si="22"/>
        <v>2338.8702498000002</v>
      </c>
      <c r="E152" s="33">
        <f t="shared" si="22"/>
        <v>3066.303740051998</v>
      </c>
      <c r="F152" s="33">
        <f t="shared" si="22"/>
        <v>4007.297258434174</v>
      </c>
      <c r="G152" s="33">
        <f t="shared" si="22"/>
        <v>5226.015108564467</v>
      </c>
      <c r="H152" s="33">
        <f t="shared" si="22"/>
        <v>5239.122010705555</v>
      </c>
    </row>
    <row r="153" spans="1:2" ht="12.75">
      <c r="A153" s="9" t="s">
        <v>94</v>
      </c>
      <c r="B153" s="42">
        <f>B148</f>
        <v>0.22840909090909067</v>
      </c>
    </row>
    <row r="154" spans="1:2" s="7" customFormat="1" ht="12.75">
      <c r="A154" s="7" t="s">
        <v>60</v>
      </c>
      <c r="B154" s="43">
        <f>NPV(B153,C152:H152)+B152</f>
        <v>1670.843330005633</v>
      </c>
    </row>
    <row r="155" spans="1:2" s="7" customFormat="1" ht="12.75">
      <c r="A155" s="7" t="s">
        <v>31</v>
      </c>
      <c r="B155" s="47">
        <f>IRR(B152:H152)</f>
        <v>0.2951508571932826</v>
      </c>
    </row>
    <row r="157" spans="1:8" ht="12.75">
      <c r="A157" s="56" t="s">
        <v>115</v>
      </c>
      <c r="B157" s="33"/>
      <c r="C157" s="33"/>
      <c r="D157" s="33"/>
      <c r="E157" s="33"/>
      <c r="F157" s="33"/>
      <c r="G157" s="33"/>
      <c r="H157" s="33"/>
    </row>
    <row r="158" spans="1:8" ht="12.75">
      <c r="A158" s="56" t="s">
        <v>116</v>
      </c>
      <c r="B158" s="33">
        <f aca="true" t="shared" si="23" ref="B158:H158">B152+IF($B$21=1,B66,B77)</f>
        <v>-4194.75</v>
      </c>
      <c r="C158" s="33">
        <f t="shared" si="23"/>
        <v>404.83215927272886</v>
      </c>
      <c r="D158" s="33">
        <f t="shared" si="23"/>
        <v>821.1334316181831</v>
      </c>
      <c r="E158" s="33">
        <f t="shared" si="23"/>
        <v>1718.263626415635</v>
      </c>
      <c r="F158" s="33">
        <f t="shared" si="23"/>
        <v>2828.9538493432656</v>
      </c>
      <c r="G158" s="33">
        <f t="shared" si="23"/>
        <v>4217.368404019012</v>
      </c>
      <c r="H158" s="33">
        <f t="shared" si="23"/>
        <v>5239.122010705555</v>
      </c>
    </row>
    <row r="159" spans="1:2" ht="15.75">
      <c r="A159" s="60" t="s">
        <v>77</v>
      </c>
      <c r="B159" s="61">
        <f>B48</f>
        <v>0.2545454545454544</v>
      </c>
    </row>
    <row r="160" spans="1:2" ht="12.75">
      <c r="A160" s="59" t="s">
        <v>60</v>
      </c>
      <c r="B160" s="43">
        <f>NPV(B159,C158:H158)+B158</f>
        <v>1362.8364116073526</v>
      </c>
    </row>
    <row r="161" spans="1:2" ht="12.75">
      <c r="A161" s="59" t="s">
        <v>31</v>
      </c>
      <c r="B161" s="47">
        <f>IRR(B158:H158)</f>
        <v>0.34292930535777244</v>
      </c>
    </row>
    <row r="163" ht="12.75">
      <c r="A163" s="7" t="s">
        <v>113</v>
      </c>
    </row>
    <row r="164" spans="1:8" ht="12.75">
      <c r="A164" s="34"/>
      <c r="B164" s="35">
        <v>0</v>
      </c>
      <c r="C164" s="35">
        <v>1</v>
      </c>
      <c r="D164" s="35">
        <v>2</v>
      </c>
      <c r="E164" s="35">
        <v>3</v>
      </c>
      <c r="F164" s="35">
        <v>4</v>
      </c>
      <c r="G164" s="35">
        <v>5</v>
      </c>
      <c r="H164" s="35">
        <v>6</v>
      </c>
    </row>
    <row r="165" spans="1:10" ht="12.75">
      <c r="A165" s="3" t="s">
        <v>102</v>
      </c>
      <c r="B165" s="36"/>
      <c r="C165" s="36"/>
      <c r="D165" s="36"/>
      <c r="E165" s="8"/>
      <c r="F165" s="8"/>
      <c r="G165" s="8"/>
      <c r="H165" s="8"/>
      <c r="I165" s="8"/>
      <c r="J165" s="8"/>
    </row>
    <row r="166" spans="1:10" ht="12.75">
      <c r="A166" s="8" t="s">
        <v>0</v>
      </c>
      <c r="B166" s="36"/>
      <c r="C166" s="36">
        <f aca="true" t="shared" si="24" ref="C166:H166">C134/C53</f>
        <v>5184.000000000001</v>
      </c>
      <c r="D166" s="36">
        <f t="shared" si="24"/>
        <v>5546.88</v>
      </c>
      <c r="E166" s="36">
        <f t="shared" si="24"/>
        <v>5935.161599999999</v>
      </c>
      <c r="F166" s="36">
        <f t="shared" si="24"/>
        <v>6350.622912000001</v>
      </c>
      <c r="G166" s="36">
        <f t="shared" si="24"/>
        <v>6795.166515839998</v>
      </c>
      <c r="H166" s="36">
        <f t="shared" si="24"/>
        <v>0</v>
      </c>
      <c r="I166" s="8"/>
      <c r="J166" s="8"/>
    </row>
    <row r="167" spans="1:10" ht="12.75">
      <c r="A167" s="8" t="s">
        <v>78</v>
      </c>
      <c r="B167" s="36"/>
      <c r="C167" s="36">
        <f aca="true" t="shared" si="25" ref="C167:H167">C135/C53</f>
        <v>954.4320000000001</v>
      </c>
      <c r="D167" s="36">
        <f t="shared" si="25"/>
        <v>124.49113043478242</v>
      </c>
      <c r="E167" s="36">
        <f t="shared" si="25"/>
        <v>124.49113043478268</v>
      </c>
      <c r="F167" s="36">
        <f t="shared" si="25"/>
        <v>124.49113043478242</v>
      </c>
      <c r="G167" s="36">
        <f t="shared" si="25"/>
        <v>124.49113043478256</v>
      </c>
      <c r="H167" s="36">
        <f t="shared" si="25"/>
        <v>-829.9408695652174</v>
      </c>
      <c r="I167" s="8"/>
      <c r="J167" s="8"/>
    </row>
    <row r="168" spans="1:10" ht="12.75">
      <c r="A168" s="8" t="s">
        <v>42</v>
      </c>
      <c r="B168" s="36"/>
      <c r="C168" s="36"/>
      <c r="D168" s="36"/>
      <c r="E168" s="36"/>
      <c r="F168" s="36"/>
      <c r="G168" s="36"/>
      <c r="H168" s="36">
        <f>H136/H53</f>
        <v>4194.750000000001</v>
      </c>
      <c r="I168" s="8"/>
      <c r="J168" s="8"/>
    </row>
    <row r="169" spans="1:10" ht="12.75">
      <c r="A169" s="57" t="s">
        <v>29</v>
      </c>
      <c r="B169" s="41">
        <f aca="true" t="shared" si="26" ref="B169:H169">SUM(B166:B168)</f>
        <v>0</v>
      </c>
      <c r="C169" s="41">
        <f t="shared" si="26"/>
        <v>6138.432000000001</v>
      </c>
      <c r="D169" s="41">
        <f t="shared" si="26"/>
        <v>5671.371130434783</v>
      </c>
      <c r="E169" s="41">
        <f t="shared" si="26"/>
        <v>6059.652730434782</v>
      </c>
      <c r="F169" s="41">
        <f t="shared" si="26"/>
        <v>6475.114042434783</v>
      </c>
      <c r="G169" s="41">
        <f t="shared" si="26"/>
        <v>6919.657646274781</v>
      </c>
      <c r="H169" s="41">
        <f t="shared" si="26"/>
        <v>3364.8091304347836</v>
      </c>
      <c r="I169" s="8"/>
      <c r="J169" s="8"/>
    </row>
    <row r="170" spans="1:10" ht="12.75">
      <c r="A170" s="3" t="s">
        <v>103</v>
      </c>
      <c r="B170" s="36"/>
      <c r="C170" s="36"/>
      <c r="D170" s="36"/>
      <c r="E170" s="8"/>
      <c r="F170" s="8"/>
      <c r="G170" s="8"/>
      <c r="H170" s="8"/>
      <c r="I170" s="8"/>
      <c r="J170" s="8"/>
    </row>
    <row r="171" spans="1:10" ht="12.75">
      <c r="A171" s="8" t="s">
        <v>47</v>
      </c>
      <c r="B171" s="36">
        <f>B139/B53</f>
        <v>8389.5</v>
      </c>
      <c r="C171" s="36"/>
      <c r="D171" s="36"/>
      <c r="E171" s="36"/>
      <c r="F171" s="36"/>
      <c r="G171" s="36"/>
      <c r="H171" s="36"/>
      <c r="I171" s="8"/>
      <c r="J171" s="8"/>
    </row>
    <row r="172" spans="1:10" ht="12.75">
      <c r="A172" s="8" t="s">
        <v>11</v>
      </c>
      <c r="B172" s="36"/>
      <c r="C172" s="36">
        <f aca="true" t="shared" si="27" ref="C172:H172">C140/C53</f>
        <v>3602.8255217391306</v>
      </c>
      <c r="D172" s="36">
        <f t="shared" si="27"/>
        <v>3585.221844990548</v>
      </c>
      <c r="E172" s="36">
        <f t="shared" si="27"/>
        <v>3569.9142999917817</v>
      </c>
      <c r="F172" s="36">
        <f t="shared" si="27"/>
        <v>3559.481425609543</v>
      </c>
      <c r="G172" s="36">
        <f t="shared" si="27"/>
        <v>3547.5313266169933</v>
      </c>
      <c r="H172" s="36">
        <f t="shared" si="27"/>
        <v>0</v>
      </c>
      <c r="I172" s="8"/>
      <c r="J172" s="8"/>
    </row>
    <row r="173" spans="1:10" ht="12.75">
      <c r="A173" s="8" t="s">
        <v>36</v>
      </c>
      <c r="B173" s="36"/>
      <c r="C173" s="36">
        <f aca="true" t="shared" si="28" ref="C173:H173">C141/C53</f>
        <v>432.00000000000006</v>
      </c>
      <c r="D173" s="36">
        <f t="shared" si="28"/>
        <v>86.58782608695645</v>
      </c>
      <c r="E173" s="36">
        <f t="shared" si="28"/>
        <v>92.64897391304353</v>
      </c>
      <c r="F173" s="36">
        <f t="shared" si="28"/>
        <v>99.1344020869564</v>
      </c>
      <c r="G173" s="36">
        <f t="shared" si="28"/>
        <v>106.07381023304347</v>
      </c>
      <c r="H173" s="36">
        <f t="shared" si="28"/>
        <v>-492.4033707130435</v>
      </c>
      <c r="I173" s="8"/>
      <c r="J173" s="8"/>
    </row>
    <row r="174" spans="1:10" ht="12.75">
      <c r="A174" s="3" t="s">
        <v>122</v>
      </c>
      <c r="B174" s="36"/>
      <c r="C174" s="36">
        <f aca="true" t="shared" si="29" ref="C174:H174">C142/C53</f>
        <v>259.20000000000005</v>
      </c>
      <c r="D174" s="36">
        <f t="shared" si="29"/>
        <v>51.952695652173894</v>
      </c>
      <c r="E174" s="36">
        <f t="shared" si="29"/>
        <v>55.589384347826</v>
      </c>
      <c r="F174" s="36">
        <f t="shared" si="29"/>
        <v>59.48064125217393</v>
      </c>
      <c r="G174" s="36">
        <f t="shared" si="29"/>
        <v>63.644286139826036</v>
      </c>
      <c r="H174" s="36">
        <f t="shared" si="29"/>
        <v>-295.4420224278261</v>
      </c>
      <c r="I174" s="8"/>
      <c r="J174" s="8"/>
    </row>
    <row r="175" spans="9:10" ht="12.75">
      <c r="I175" s="8"/>
      <c r="J175" s="8"/>
    </row>
    <row r="176" spans="1:10" ht="12.75">
      <c r="A176" s="8" t="s">
        <v>52</v>
      </c>
      <c r="B176" s="36"/>
      <c r="C176" s="36"/>
      <c r="D176" s="36"/>
      <c r="E176" s="36"/>
      <c r="F176" s="36"/>
      <c r="G176" s="36"/>
      <c r="H176" s="36">
        <f>H143/H53</f>
        <v>1887.6375000000005</v>
      </c>
      <c r="I176" s="8"/>
      <c r="J176" s="8"/>
    </row>
    <row r="177" spans="1:10" ht="12.75">
      <c r="A177" s="8" t="s">
        <v>20</v>
      </c>
      <c r="B177" s="36">
        <f aca="true" t="shared" si="30" ref="B177:H177">B144/B53</f>
        <v>0</v>
      </c>
      <c r="C177" s="36">
        <f t="shared" si="30"/>
        <v>25.045015652174243</v>
      </c>
      <c r="D177" s="36">
        <f t="shared" si="30"/>
        <v>179.0868356899813</v>
      </c>
      <c r="E177" s="36">
        <f t="shared" si="30"/>
        <v>325.35558953102645</v>
      </c>
      <c r="F177" s="36">
        <f t="shared" si="30"/>
        <v>465.8323599203056</v>
      </c>
      <c r="G177" s="36">
        <f t="shared" si="30"/>
        <v>604.1550929892978</v>
      </c>
      <c r="H177" s="36">
        <f t="shared" si="30"/>
        <v>0</v>
      </c>
      <c r="I177" s="8"/>
      <c r="J177" s="8"/>
    </row>
    <row r="178" spans="1:10" ht="12.75">
      <c r="A178" s="57" t="s">
        <v>19</v>
      </c>
      <c r="B178" s="41">
        <f>SUM(B171:B177)</f>
        <v>8389.5</v>
      </c>
      <c r="C178" s="41">
        <f aca="true" t="shared" si="31" ref="C178:H178">SUM(C171:C177)</f>
        <v>4319.070537391304</v>
      </c>
      <c r="D178" s="41">
        <f t="shared" si="31"/>
        <v>3902.84920241966</v>
      </c>
      <c r="E178" s="41">
        <f t="shared" si="31"/>
        <v>4043.5082477836777</v>
      </c>
      <c r="F178" s="41">
        <f t="shared" si="31"/>
        <v>4183.928828868979</v>
      </c>
      <c r="G178" s="41">
        <f t="shared" si="31"/>
        <v>4321.40451597916</v>
      </c>
      <c r="H178" s="41">
        <f t="shared" si="31"/>
        <v>1099.7921068591309</v>
      </c>
      <c r="I178" s="8"/>
      <c r="J178" s="8"/>
    </row>
    <row r="179" spans="1:10" ht="12.75">
      <c r="A179" s="65"/>
      <c r="B179" s="66"/>
      <c r="C179" s="66"/>
      <c r="D179" s="66"/>
      <c r="E179" s="66"/>
      <c r="F179" s="66"/>
      <c r="G179" s="66"/>
      <c r="H179" s="66"/>
      <c r="I179" s="8"/>
      <c r="J179" s="8"/>
    </row>
    <row r="180" spans="1:10" ht="12.75">
      <c r="A180" s="56" t="s">
        <v>114</v>
      </c>
      <c r="B180" s="33"/>
      <c r="C180" s="33"/>
      <c r="D180" s="33"/>
      <c r="E180" s="33"/>
      <c r="F180" s="33"/>
      <c r="G180" s="33"/>
      <c r="H180" s="33"/>
      <c r="I180" s="8"/>
      <c r="J180" s="8"/>
    </row>
    <row r="181" spans="1:10" ht="12.75">
      <c r="A181" s="56" t="s">
        <v>104</v>
      </c>
      <c r="B181" s="33">
        <f>B169-B178</f>
        <v>-8389.5</v>
      </c>
      <c r="C181" s="33">
        <f aca="true" t="shared" si="32" ref="C181:H181">C169-C178</f>
        <v>1819.3614626086965</v>
      </c>
      <c r="D181" s="33">
        <f t="shared" si="32"/>
        <v>1768.5219280151227</v>
      </c>
      <c r="E181" s="33">
        <f t="shared" si="32"/>
        <v>2016.1444826511042</v>
      </c>
      <c r="F181" s="33">
        <f t="shared" si="32"/>
        <v>2291.1852135658046</v>
      </c>
      <c r="G181" s="33">
        <f t="shared" si="32"/>
        <v>2598.2531302956204</v>
      </c>
      <c r="H181" s="33">
        <f t="shared" si="32"/>
        <v>2265.0170235756527</v>
      </c>
      <c r="I181" s="8"/>
      <c r="J181" s="8"/>
    </row>
    <row r="182" spans="1:10" ht="12.75">
      <c r="A182" s="9" t="s">
        <v>95</v>
      </c>
      <c r="B182" s="42">
        <f>B149</f>
        <v>0.06818181818181798</v>
      </c>
      <c r="I182" s="8"/>
      <c r="J182" s="8"/>
    </row>
    <row r="183" spans="1:10" ht="12.75">
      <c r="A183" s="7" t="s">
        <v>60</v>
      </c>
      <c r="B183" s="43">
        <f>NPV(B182,C181:H181)+B181</f>
        <v>1670.8433300056367</v>
      </c>
      <c r="C183" s="7"/>
      <c r="D183" s="7"/>
      <c r="E183" s="7"/>
      <c r="F183" s="7"/>
      <c r="G183" s="7"/>
      <c r="H183" s="7"/>
      <c r="I183" s="8"/>
      <c r="J183" s="8"/>
    </row>
    <row r="184" spans="1:10" ht="12.75">
      <c r="A184" s="7" t="s">
        <v>21</v>
      </c>
      <c r="B184" s="47">
        <f>IRR(B181:H181)</f>
        <v>0.12621813668646897</v>
      </c>
      <c r="C184" s="7"/>
      <c r="D184" s="7"/>
      <c r="E184" s="7"/>
      <c r="F184" s="7"/>
      <c r="G184" s="7"/>
      <c r="H184" s="7"/>
      <c r="I184" s="8"/>
      <c r="J184" s="8"/>
    </row>
    <row r="185" spans="9:10" ht="12.75">
      <c r="I185" s="8"/>
      <c r="J185" s="8"/>
    </row>
    <row r="186" spans="1:10" ht="12.75">
      <c r="A186" s="56" t="s">
        <v>115</v>
      </c>
      <c r="B186" s="33"/>
      <c r="C186" s="33"/>
      <c r="D186" s="33"/>
      <c r="E186" s="33"/>
      <c r="F186" s="33"/>
      <c r="G186" s="33"/>
      <c r="H186" s="33"/>
      <c r="I186" s="8"/>
      <c r="J186" s="8"/>
    </row>
    <row r="187" spans="1:10" ht="12.75">
      <c r="A187" s="56" t="s">
        <v>117</v>
      </c>
      <c r="B187" s="33">
        <f aca="true" t="shared" si="33" ref="B187:H187">B181+IF($B$21=1,B66/B53,B77/B53)</f>
        <v>-4194.75</v>
      </c>
      <c r="C187" s="33">
        <f t="shared" si="33"/>
        <v>352.0279645849821</v>
      </c>
      <c r="D187" s="33">
        <f t="shared" si="33"/>
        <v>620.8948443237675</v>
      </c>
      <c r="E187" s="33">
        <f t="shared" si="33"/>
        <v>1129.7862259657334</v>
      </c>
      <c r="F187" s="33">
        <f t="shared" si="33"/>
        <v>1617.4635449949183</v>
      </c>
      <c r="G187" s="33">
        <f t="shared" si="33"/>
        <v>2096.7774546603328</v>
      </c>
      <c r="H187" s="33">
        <f t="shared" si="33"/>
        <v>2265.0170235756527</v>
      </c>
      <c r="I187" s="8"/>
      <c r="J187" s="8"/>
    </row>
    <row r="188" spans="1:10" ht="15.75">
      <c r="A188" s="60" t="s">
        <v>118</v>
      </c>
      <c r="B188" s="61">
        <f>(1+B48)/(1+B4)-1</f>
        <v>0.09090909090909083</v>
      </c>
      <c r="I188" s="8"/>
      <c r="J188" s="8"/>
    </row>
    <row r="189" spans="1:10" ht="12.75">
      <c r="A189" s="59" t="s">
        <v>60</v>
      </c>
      <c r="B189" s="43">
        <f>NPV(B188,C187:H187)+B187</f>
        <v>1362.8364116073553</v>
      </c>
      <c r="I189" s="8"/>
      <c r="J189" s="8"/>
    </row>
    <row r="190" spans="1:10" ht="12.75">
      <c r="A190" s="59" t="s">
        <v>21</v>
      </c>
      <c r="B190" s="47">
        <f>IRR(B187:H187)</f>
        <v>0.16776461335441906</v>
      </c>
      <c r="I190" s="8"/>
      <c r="J190" s="8"/>
    </row>
    <row r="191" spans="1:10" ht="12.75">
      <c r="A191" s="65"/>
      <c r="B191" s="66"/>
      <c r="C191" s="66"/>
      <c r="D191" s="66"/>
      <c r="E191" s="66"/>
      <c r="F191" s="66"/>
      <c r="G191" s="66"/>
      <c r="H191" s="66"/>
      <c r="I191" s="8"/>
      <c r="J191" s="8"/>
    </row>
    <row r="192" spans="1:10" ht="12.7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2.7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2.7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2.7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2.7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2.7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2.7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2.7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2.7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2.7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2.7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2.7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2.7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2.7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2.7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2.7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2.7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2.7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2.7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2.7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2.7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2.7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2.7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2.7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2.7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2.7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2.7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2.7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2.7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2.7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2.7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2.7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2.7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2.7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2.7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2.7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2.7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2.7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2.7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2.7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2.7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2.7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2.7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2.7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2.7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2.7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2.7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2.7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2.7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2.7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2.7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2.7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2.7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2.7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2.7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2.7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2.7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2.7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2.7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2.7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2.7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2.7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2.7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2.7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2.7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2.7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2.7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2.7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2.7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2.7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2.7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2.7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2.7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2.7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2.75">
      <c r="A266" s="8"/>
      <c r="B266" s="8"/>
      <c r="C266" s="8"/>
      <c r="D266" s="8"/>
      <c r="E266" s="8"/>
      <c r="F266" s="8"/>
      <c r="G266" s="8"/>
      <c r="H266" s="8"/>
      <c r="I266" s="8"/>
      <c r="J266" s="8"/>
    </row>
  </sheetData>
  <sheetProtection/>
  <printOptions gridLines="1" headings="1"/>
  <pageMargins left="1.5" right="1.25" top="1.25" bottom="1.25" header="0.5" footer="0.5"/>
  <pageSetup blackAndWhite="1" fitToHeight="1" fitToWidth="1" horizontalDpi="600" verticalDpi="600" orientation="landscape" paperSize="9" scale="1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267"/>
  <sheetViews>
    <sheetView zoomScalePageLayoutView="0" workbookViewId="0" topLeftCell="A121">
      <selection activeCell="B150" sqref="B150"/>
    </sheetView>
  </sheetViews>
  <sheetFormatPr defaultColWidth="9.140625" defaultRowHeight="12.75"/>
  <cols>
    <col min="1" max="1" width="46.00390625" style="3" bestFit="1" customWidth="1"/>
    <col min="2" max="8" width="11.140625" style="3" customWidth="1"/>
    <col min="9" max="9" width="2.8515625" style="3" customWidth="1"/>
    <col min="10" max="10" width="10.28125" style="3" bestFit="1" customWidth="1"/>
    <col min="11" max="11" width="2.7109375" style="3" customWidth="1"/>
    <col min="12" max="12" width="10.421875" style="3" customWidth="1"/>
    <col min="13" max="16384" width="9.140625" style="3" customWidth="1"/>
  </cols>
  <sheetData>
    <row r="1" ht="12.75">
      <c r="A1" s="7" t="s">
        <v>83</v>
      </c>
    </row>
    <row r="2" spans="1:8" ht="13.5" thickBot="1">
      <c r="A2" s="2" t="s">
        <v>56</v>
      </c>
      <c r="B2" s="67">
        <v>2013</v>
      </c>
      <c r="C2" s="67">
        <v>2014</v>
      </c>
      <c r="D2" s="67">
        <v>2015</v>
      </c>
      <c r="E2" s="67">
        <v>2016</v>
      </c>
      <c r="F2" s="67">
        <v>2017</v>
      </c>
      <c r="G2" s="67">
        <v>2018</v>
      </c>
      <c r="H2" s="67">
        <v>2019</v>
      </c>
    </row>
    <row r="3" ht="13.5" thickTop="1">
      <c r="A3" s="2" t="s">
        <v>57</v>
      </c>
    </row>
    <row r="4" spans="1:3" ht="12.75">
      <c r="A4" s="3" t="s">
        <v>10</v>
      </c>
      <c r="B4" s="4">
        <v>0.1</v>
      </c>
      <c r="C4" s="5"/>
    </row>
    <row r="5" spans="1:3" ht="12.75">
      <c r="A5" s="3" t="s">
        <v>34</v>
      </c>
      <c r="B5" s="46">
        <v>21000</v>
      </c>
      <c r="C5" s="3" t="s">
        <v>79</v>
      </c>
    </row>
    <row r="6" spans="1:3" ht="12.75">
      <c r="A6" s="7" t="s">
        <v>99</v>
      </c>
      <c r="B6" s="8"/>
      <c r="C6" s="9"/>
    </row>
    <row r="7" spans="1:3" ht="12.75">
      <c r="A7" s="3" t="s">
        <v>38</v>
      </c>
      <c r="B7" s="46">
        <v>47000</v>
      </c>
      <c r="C7" s="3" t="s">
        <v>23</v>
      </c>
    </row>
    <row r="8" spans="1:3" ht="12.75">
      <c r="A8" s="3" t="s">
        <v>33</v>
      </c>
      <c r="B8" s="10">
        <v>0.7</v>
      </c>
      <c r="C8" s="9"/>
    </row>
    <row r="9" spans="1:3" ht="12.75">
      <c r="A9" s="3" t="s">
        <v>82</v>
      </c>
      <c r="B9" s="8">
        <v>5</v>
      </c>
      <c r="C9" s="3" t="s">
        <v>2</v>
      </c>
    </row>
    <row r="10" spans="1:3" ht="12.75">
      <c r="A10" s="3" t="s">
        <v>86</v>
      </c>
      <c r="B10" s="8">
        <v>1</v>
      </c>
      <c r="C10" s="3" t="s">
        <v>2</v>
      </c>
    </row>
    <row r="11" spans="1:3" ht="12.75">
      <c r="A11" s="86" t="s">
        <v>143</v>
      </c>
      <c r="B11" s="89">
        <v>1700</v>
      </c>
      <c r="C11" s="86" t="s">
        <v>41</v>
      </c>
    </row>
    <row r="12" ht="12.75">
      <c r="A12" s="7" t="s">
        <v>49</v>
      </c>
    </row>
    <row r="13" spans="1:3" ht="12.75">
      <c r="A13" s="3" t="s">
        <v>48</v>
      </c>
      <c r="B13" s="3">
        <v>10</v>
      </c>
      <c r="C13" s="3" t="s">
        <v>9</v>
      </c>
    </row>
    <row r="14" spans="1:3" ht="12.75">
      <c r="A14" s="3" t="s">
        <v>49</v>
      </c>
      <c r="B14" s="3">
        <v>5</v>
      </c>
      <c r="C14" s="3" t="s">
        <v>9</v>
      </c>
    </row>
    <row r="15" spans="1:3" ht="12.75">
      <c r="A15" s="3" t="s">
        <v>51</v>
      </c>
      <c r="B15" s="3">
        <v>1</v>
      </c>
      <c r="C15" s="3" t="s">
        <v>9</v>
      </c>
    </row>
    <row r="16" spans="1:3" ht="12.75">
      <c r="A16" s="3" t="s">
        <v>52</v>
      </c>
      <c r="B16" s="6">
        <v>0.45</v>
      </c>
      <c r="C16" s="3" t="s">
        <v>53</v>
      </c>
    </row>
    <row r="17" ht="12.75">
      <c r="A17" s="7" t="s">
        <v>7</v>
      </c>
    </row>
    <row r="18" spans="1:3" ht="12.75">
      <c r="A18" s="3" t="s">
        <v>39</v>
      </c>
      <c r="B18" s="12">
        <v>0.5</v>
      </c>
      <c r="C18" s="3" t="s">
        <v>46</v>
      </c>
    </row>
    <row r="19" spans="1:2" ht="12.75">
      <c r="A19" s="3" t="s">
        <v>111</v>
      </c>
      <c r="B19" s="12">
        <f>(1+15%)/(1+10%)-1</f>
        <v>0.04545454545454519</v>
      </c>
    </row>
    <row r="20" spans="1:2" ht="12.75">
      <c r="A20" s="3" t="s">
        <v>110</v>
      </c>
      <c r="B20" s="6">
        <f>(1+B19)*(1+B4)-1</f>
        <v>0.1499999999999999</v>
      </c>
    </row>
    <row r="21" spans="1:3" ht="12.75">
      <c r="A21" s="3" t="s">
        <v>8</v>
      </c>
      <c r="B21" s="13">
        <v>5</v>
      </c>
      <c r="C21" s="14" t="s">
        <v>9</v>
      </c>
    </row>
    <row r="22" spans="1:3" ht="12.75">
      <c r="A22" s="3" t="s">
        <v>126</v>
      </c>
      <c r="B22" s="13">
        <v>1</v>
      </c>
      <c r="C22" s="14"/>
    </row>
    <row r="23" spans="1:3" ht="12.75">
      <c r="A23" s="3" t="s">
        <v>125</v>
      </c>
      <c r="B23" s="13"/>
      <c r="C23" s="14"/>
    </row>
    <row r="24" ht="12.75">
      <c r="A24" s="7" t="s">
        <v>0</v>
      </c>
    </row>
    <row r="25" spans="1:3" ht="12.75">
      <c r="A25" s="3" t="s">
        <v>61</v>
      </c>
      <c r="B25" s="3">
        <v>15</v>
      </c>
      <c r="C25" s="3" t="s">
        <v>45</v>
      </c>
    </row>
    <row r="26" spans="1:3" ht="12.75">
      <c r="A26" s="3" t="s">
        <v>62</v>
      </c>
      <c r="B26" s="3">
        <v>8</v>
      </c>
      <c r="C26" s="3" t="s">
        <v>88</v>
      </c>
    </row>
    <row r="27" spans="1:5" ht="12.75">
      <c r="A27" s="3" t="s">
        <v>3</v>
      </c>
      <c r="B27" s="3">
        <v>360</v>
      </c>
      <c r="C27" s="3" t="s">
        <v>44</v>
      </c>
      <c r="E27" s="45"/>
    </row>
    <row r="28" spans="1:2" ht="12.75">
      <c r="A28" s="3" t="s">
        <v>80</v>
      </c>
      <c r="B28" s="6">
        <v>0.07</v>
      </c>
    </row>
    <row r="29" spans="1:3" ht="12.75">
      <c r="A29" s="3" t="s">
        <v>81</v>
      </c>
      <c r="B29" s="3">
        <v>60</v>
      </c>
      <c r="C29" s="3" t="s">
        <v>63</v>
      </c>
    </row>
    <row r="30" spans="1:3" ht="12.75">
      <c r="A30" s="3" t="s">
        <v>64</v>
      </c>
      <c r="B30" s="46">
        <v>5000</v>
      </c>
      <c r="C30" s="3" t="s">
        <v>66</v>
      </c>
    </row>
    <row r="31" spans="1:2" ht="12.75">
      <c r="A31" s="3" t="s">
        <v>84</v>
      </c>
      <c r="B31" s="48">
        <v>0.1</v>
      </c>
    </row>
    <row r="32" spans="1:2" ht="12.75">
      <c r="A32" s="3" t="s">
        <v>65</v>
      </c>
      <c r="B32" s="6">
        <v>0.5</v>
      </c>
    </row>
    <row r="33" ht="12.75">
      <c r="A33" s="7" t="s">
        <v>11</v>
      </c>
    </row>
    <row r="34" spans="1:3" ht="12.75">
      <c r="A34" s="3" t="s">
        <v>70</v>
      </c>
      <c r="B34" s="3">
        <v>0.32</v>
      </c>
      <c r="C34" s="3" t="s">
        <v>73</v>
      </c>
    </row>
    <row r="35" spans="1:3" ht="12.75">
      <c r="A35" s="3" t="s">
        <v>71</v>
      </c>
      <c r="B35" s="46">
        <v>21500</v>
      </c>
      <c r="C35" s="3" t="s">
        <v>72</v>
      </c>
    </row>
    <row r="36" spans="1:3" ht="12.75">
      <c r="A36" s="3" t="s">
        <v>67</v>
      </c>
      <c r="B36" s="46">
        <v>8000000</v>
      </c>
      <c r="C36" s="3" t="s">
        <v>66</v>
      </c>
    </row>
    <row r="37" spans="1:3" ht="12.75">
      <c r="A37" s="3" t="s">
        <v>68</v>
      </c>
      <c r="B37" s="46">
        <v>5000000</v>
      </c>
      <c r="C37" s="3" t="s">
        <v>66</v>
      </c>
    </row>
    <row r="38" spans="1:3" ht="12.75">
      <c r="A38" s="3" t="s">
        <v>12</v>
      </c>
      <c r="B38" s="46">
        <v>12000000</v>
      </c>
      <c r="C38" s="3" t="s">
        <v>74</v>
      </c>
    </row>
    <row r="39" spans="1:2" ht="12.75">
      <c r="A39" s="3" t="s">
        <v>75</v>
      </c>
      <c r="B39" s="11">
        <v>0.0185</v>
      </c>
    </row>
    <row r="40" spans="1:2" ht="12.75">
      <c r="A40" s="3" t="s">
        <v>76</v>
      </c>
      <c r="B40" s="11">
        <v>0.0191</v>
      </c>
    </row>
    <row r="41" spans="1:3" ht="12.75">
      <c r="A41" s="3" t="s">
        <v>24</v>
      </c>
      <c r="B41" s="46">
        <v>935</v>
      </c>
      <c r="C41" s="3" t="s">
        <v>41</v>
      </c>
    </row>
    <row r="42" ht="12.75">
      <c r="A42" s="7" t="s">
        <v>4</v>
      </c>
    </row>
    <row r="43" spans="1:3" ht="12.75">
      <c r="A43" s="3" t="s">
        <v>134</v>
      </c>
      <c r="B43" s="6">
        <v>0.05</v>
      </c>
      <c r="C43" s="3" t="s">
        <v>32</v>
      </c>
    </row>
    <row r="44" spans="1:3" ht="12.75">
      <c r="A44" s="3" t="s">
        <v>5</v>
      </c>
      <c r="B44" s="6">
        <v>0.25</v>
      </c>
      <c r="C44" s="3" t="s">
        <v>93</v>
      </c>
    </row>
    <row r="45" spans="1:3" ht="12.75">
      <c r="A45" s="3" t="s">
        <v>43</v>
      </c>
      <c r="B45" s="6">
        <v>0</v>
      </c>
      <c r="C45" s="3" t="s">
        <v>32</v>
      </c>
    </row>
    <row r="46" spans="1:3" ht="12.75">
      <c r="A46" s="3" t="s">
        <v>6</v>
      </c>
      <c r="B46" s="6">
        <v>0.5</v>
      </c>
      <c r="C46" s="3" t="s">
        <v>54</v>
      </c>
    </row>
    <row r="47" ht="12.75">
      <c r="A47" s="7" t="s">
        <v>58</v>
      </c>
    </row>
    <row r="48" spans="1:2" ht="12.75">
      <c r="A48" s="3" t="s">
        <v>132</v>
      </c>
      <c r="B48" s="6">
        <v>0.22</v>
      </c>
    </row>
    <row r="49" spans="1:2" ht="12.75">
      <c r="A49" s="3" t="s">
        <v>131</v>
      </c>
      <c r="B49" s="6">
        <f>1.2/1.1*(1+B4)-1</f>
        <v>0.19999999999999996</v>
      </c>
    </row>
    <row r="51" spans="2:8" ht="13.5" thickBot="1">
      <c r="B51" s="67">
        <v>2013</v>
      </c>
      <c r="C51" s="67">
        <v>2014</v>
      </c>
      <c r="D51" s="67">
        <v>2015</v>
      </c>
      <c r="E51" s="67">
        <v>2016</v>
      </c>
      <c r="F51" s="67">
        <v>2017</v>
      </c>
      <c r="G51" s="67">
        <v>2018</v>
      </c>
      <c r="H51" s="67">
        <v>2019</v>
      </c>
    </row>
    <row r="52" spans="1:8" ht="13.5" thickTop="1">
      <c r="A52" s="7" t="s">
        <v>120</v>
      </c>
      <c r="B52" s="7"/>
      <c r="C52" s="7"/>
      <c r="D52" s="7"/>
      <c r="E52" s="7"/>
      <c r="F52" s="7"/>
      <c r="G52" s="7"/>
      <c r="H52" s="7"/>
    </row>
    <row r="53" spans="1:8" ht="13.5" thickBot="1">
      <c r="A53" s="17"/>
      <c r="B53" s="18">
        <v>0</v>
      </c>
      <c r="C53" s="18">
        <v>1</v>
      </c>
      <c r="D53" s="18">
        <v>2</v>
      </c>
      <c r="E53" s="18">
        <v>3</v>
      </c>
      <c r="F53" s="18">
        <v>4</v>
      </c>
      <c r="G53" s="18">
        <v>5</v>
      </c>
      <c r="H53" s="18">
        <v>6</v>
      </c>
    </row>
    <row r="54" spans="1:8" ht="13.5" thickTop="1">
      <c r="A54" s="19" t="s">
        <v>121</v>
      </c>
      <c r="B54" s="69">
        <f aca="true" t="shared" si="0" ref="B54:H54">(1+$B$4)^B53</f>
        <v>1</v>
      </c>
      <c r="C54" s="69">
        <f t="shared" si="0"/>
        <v>1.1</v>
      </c>
      <c r="D54" s="69">
        <f t="shared" si="0"/>
        <v>1.2100000000000002</v>
      </c>
      <c r="E54" s="69">
        <f t="shared" si="0"/>
        <v>1.3310000000000004</v>
      </c>
      <c r="F54" s="69">
        <f t="shared" si="0"/>
        <v>1.4641000000000004</v>
      </c>
      <c r="G54" s="69">
        <f t="shared" si="0"/>
        <v>1.6105100000000006</v>
      </c>
      <c r="H54" s="69">
        <f t="shared" si="0"/>
        <v>1.7715610000000008</v>
      </c>
    </row>
    <row r="55" spans="1:8" ht="12.75">
      <c r="A55" s="19"/>
      <c r="B55" s="68"/>
      <c r="C55" s="68"/>
      <c r="D55" s="68"/>
      <c r="E55" s="68"/>
      <c r="F55" s="68"/>
      <c r="G55" s="68"/>
      <c r="H55" s="68"/>
    </row>
    <row r="56" spans="1:4" ht="12.75">
      <c r="A56" s="19"/>
      <c r="B56" s="22" t="s">
        <v>35</v>
      </c>
      <c r="C56" s="23"/>
      <c r="D56" s="23"/>
    </row>
    <row r="57" spans="1:10" ht="13.5" thickBot="1">
      <c r="A57" s="7" t="s">
        <v>30</v>
      </c>
      <c r="B57" s="24">
        <v>0</v>
      </c>
      <c r="D57" s="85"/>
      <c r="J57" s="85"/>
    </row>
    <row r="58" spans="2:10" ht="13.5" thickTop="1">
      <c r="B58" s="1">
        <f>B9*B7*(1+B8)*B5/10^6</f>
        <v>8389.5</v>
      </c>
      <c r="D58" s="70"/>
      <c r="J58" s="70"/>
    </row>
    <row r="59" ht="12.75">
      <c r="B59" s="1"/>
    </row>
    <row r="60" spans="1:3" ht="12.75">
      <c r="A60" s="27" t="s">
        <v>127</v>
      </c>
      <c r="B60" s="22" t="s">
        <v>35</v>
      </c>
      <c r="C60" s="19"/>
    </row>
    <row r="61" spans="1:8" ht="13.5" thickBot="1">
      <c r="A61" s="17"/>
      <c r="B61" s="18">
        <v>0</v>
      </c>
      <c r="C61" s="18">
        <v>1</v>
      </c>
      <c r="D61" s="18">
        <v>2</v>
      </c>
      <c r="E61" s="18">
        <v>3</v>
      </c>
      <c r="F61" s="18">
        <v>4</v>
      </c>
      <c r="G61" s="18">
        <v>5</v>
      </c>
      <c r="H61" s="18">
        <v>6</v>
      </c>
    </row>
    <row r="62" spans="1:7" ht="13.5" thickTop="1">
      <c r="A62" s="3" t="s">
        <v>14</v>
      </c>
      <c r="B62" s="1"/>
      <c r="C62" s="1">
        <f>B66</f>
        <v>4194.75</v>
      </c>
      <c r="D62" s="1">
        <f>C66</f>
        <v>3355.8</v>
      </c>
      <c r="E62" s="1">
        <f>D66</f>
        <v>2516.8500000000004</v>
      </c>
      <c r="F62" s="1">
        <f>E66</f>
        <v>1677.9000000000003</v>
      </c>
      <c r="G62" s="1">
        <f>F66</f>
        <v>838.9500000000003</v>
      </c>
    </row>
    <row r="63" spans="1:7" ht="12.75">
      <c r="A63" s="3" t="s">
        <v>108</v>
      </c>
      <c r="B63" s="1">
        <f>B58*B18</f>
        <v>4194.75</v>
      </c>
      <c r="C63" s="1"/>
      <c r="D63" s="1"/>
      <c r="E63" s="1"/>
      <c r="F63" s="1"/>
      <c r="G63" s="1"/>
    </row>
    <row r="64" spans="1:7" ht="12.75">
      <c r="A64" s="3" t="s">
        <v>109</v>
      </c>
      <c r="B64" s="1">
        <f aca="true" t="shared" si="1" ref="B64:G64">B62*$B$20</f>
        <v>0</v>
      </c>
      <c r="C64" s="1">
        <f t="shared" si="1"/>
        <v>629.2124999999996</v>
      </c>
      <c r="D64" s="1">
        <f t="shared" si="1"/>
        <v>503.3699999999997</v>
      </c>
      <c r="E64" s="1">
        <f t="shared" si="1"/>
        <v>377.5274999999998</v>
      </c>
      <c r="F64" s="1">
        <f t="shared" si="1"/>
        <v>251.6849999999999</v>
      </c>
      <c r="G64" s="1">
        <f t="shared" si="1"/>
        <v>125.84249999999997</v>
      </c>
    </row>
    <row r="65" spans="1:7" ht="12.75">
      <c r="A65" s="3" t="s">
        <v>129</v>
      </c>
      <c r="B65" s="1"/>
      <c r="C65" s="1">
        <f>$B$66/$B$21</f>
        <v>838.95</v>
      </c>
      <c r="D65" s="1">
        <f>$B$66/$B$21</f>
        <v>838.95</v>
      </c>
      <c r="E65" s="1">
        <f>$B$66/$B$21</f>
        <v>838.95</v>
      </c>
      <c r="F65" s="1">
        <f>$B$66/$B$21</f>
        <v>838.95</v>
      </c>
      <c r="G65" s="1">
        <f>$B$66/$B$21</f>
        <v>838.95</v>
      </c>
    </row>
    <row r="66" spans="1:8" ht="12.75">
      <c r="A66" s="21" t="s">
        <v>15</v>
      </c>
      <c r="B66" s="30">
        <f aca="true" t="shared" si="2" ref="B66:G66">B62+B63-B65</f>
        <v>4194.75</v>
      </c>
      <c r="C66" s="30">
        <f t="shared" si="2"/>
        <v>3355.8</v>
      </c>
      <c r="D66" s="30">
        <f t="shared" si="2"/>
        <v>2516.8500000000004</v>
      </c>
      <c r="E66" s="30">
        <f t="shared" si="2"/>
        <v>1677.9000000000003</v>
      </c>
      <c r="F66" s="30">
        <f t="shared" si="2"/>
        <v>838.9500000000003</v>
      </c>
      <c r="G66" s="30">
        <f t="shared" si="2"/>
        <v>0</v>
      </c>
      <c r="H66" s="21"/>
    </row>
    <row r="67" spans="1:7" ht="12.75">
      <c r="A67" s="19" t="s">
        <v>106</v>
      </c>
      <c r="B67" s="31">
        <f aca="true" t="shared" si="3" ref="B67:G67">B63-B64-B65</f>
        <v>4194.75</v>
      </c>
      <c r="C67" s="31">
        <f t="shared" si="3"/>
        <v>-1468.1624999999997</v>
      </c>
      <c r="D67" s="31">
        <f t="shared" si="3"/>
        <v>-1342.3199999999997</v>
      </c>
      <c r="E67" s="31">
        <f t="shared" si="3"/>
        <v>-1216.4775</v>
      </c>
      <c r="F67" s="31">
        <f t="shared" si="3"/>
        <v>-1090.635</v>
      </c>
      <c r="G67" s="31">
        <f t="shared" si="3"/>
        <v>-964.7925</v>
      </c>
    </row>
    <row r="68" spans="1:2" ht="12.75">
      <c r="A68" s="3" t="s">
        <v>107</v>
      </c>
      <c r="B68" s="62">
        <f>IRR(B67:G67)</f>
        <v>0.1499999999999999</v>
      </c>
    </row>
    <row r="69" ht="12.75">
      <c r="B69" s="62"/>
    </row>
    <row r="70" spans="1:3" ht="12.75">
      <c r="A70" s="27" t="s">
        <v>128</v>
      </c>
      <c r="B70" s="22" t="s">
        <v>35</v>
      </c>
      <c r="C70" s="19"/>
    </row>
    <row r="71" spans="1:8" ht="13.5" thickBot="1">
      <c r="A71" s="17"/>
      <c r="B71" s="18">
        <v>0</v>
      </c>
      <c r="C71" s="18">
        <v>1</v>
      </c>
      <c r="D71" s="18">
        <v>2</v>
      </c>
      <c r="E71" s="18">
        <v>3</v>
      </c>
      <c r="F71" s="18">
        <v>4</v>
      </c>
      <c r="G71" s="18">
        <v>5</v>
      </c>
      <c r="H71" s="18">
        <v>6</v>
      </c>
    </row>
    <row r="72" spans="1:7" ht="13.5" thickTop="1">
      <c r="A72" s="3" t="s">
        <v>14</v>
      </c>
      <c r="B72" s="1"/>
      <c r="C72" s="1">
        <f>B77</f>
        <v>4194.75</v>
      </c>
      <c r="D72" s="1">
        <f>C77</f>
        <v>3572.6033363120036</v>
      </c>
      <c r="E72" s="1">
        <f>D77</f>
        <v>2857.134673070808</v>
      </c>
      <c r="F72" s="1">
        <f>E77</f>
        <v>2034.3457103434328</v>
      </c>
      <c r="G72" s="1">
        <f>F77</f>
        <v>1088.1384032069516</v>
      </c>
    </row>
    <row r="73" spans="1:7" ht="12.75">
      <c r="A73" s="3" t="s">
        <v>108</v>
      </c>
      <c r="B73" s="1">
        <f>B58*B18</f>
        <v>4194.75</v>
      </c>
      <c r="C73" s="1"/>
      <c r="D73" s="1"/>
      <c r="E73" s="1"/>
      <c r="F73" s="1"/>
      <c r="G73" s="1"/>
    </row>
    <row r="74" spans="1:7" ht="12.75">
      <c r="A74" s="3" t="s">
        <v>109</v>
      </c>
      <c r="B74" s="1">
        <f aca="true" t="shared" si="4" ref="B74:G74">B72*$B$20</f>
        <v>0</v>
      </c>
      <c r="C74" s="1">
        <f t="shared" si="4"/>
        <v>629.2124999999996</v>
      </c>
      <c r="D74" s="1">
        <f t="shared" si="4"/>
        <v>535.8905004468003</v>
      </c>
      <c r="E74" s="1">
        <f t="shared" si="4"/>
        <v>428.5702009606209</v>
      </c>
      <c r="F74" s="1">
        <f t="shared" si="4"/>
        <v>305.15185655151475</v>
      </c>
      <c r="G74" s="1">
        <f t="shared" si="4"/>
        <v>163.22076048104265</v>
      </c>
    </row>
    <row r="75" spans="1:7" ht="12.75">
      <c r="A75" s="3" t="s">
        <v>40</v>
      </c>
      <c r="B75" s="1"/>
      <c r="C75" s="1">
        <f>PMT(B20,B21,-C72)</f>
        <v>1251.359163687996</v>
      </c>
      <c r="D75" s="1">
        <f>C75</f>
        <v>1251.359163687996</v>
      </c>
      <c r="E75" s="1">
        <f>D75</f>
        <v>1251.359163687996</v>
      </c>
      <c r="F75" s="1">
        <f>E75</f>
        <v>1251.359163687996</v>
      </c>
      <c r="G75" s="1">
        <f>F75</f>
        <v>1251.359163687996</v>
      </c>
    </row>
    <row r="76" spans="1:7" ht="12.75">
      <c r="A76" s="3" t="s">
        <v>130</v>
      </c>
      <c r="B76" s="1">
        <f aca="true" t="shared" si="5" ref="B76:G76">B75-B74</f>
        <v>0</v>
      </c>
      <c r="C76" s="1">
        <f t="shared" si="5"/>
        <v>622.1466636879964</v>
      </c>
      <c r="D76" s="1">
        <f t="shared" si="5"/>
        <v>715.4686632411957</v>
      </c>
      <c r="E76" s="1">
        <f t="shared" si="5"/>
        <v>822.7889627273751</v>
      </c>
      <c r="F76" s="1">
        <f t="shared" si="5"/>
        <v>946.2073071364812</v>
      </c>
      <c r="G76" s="1">
        <f t="shared" si="5"/>
        <v>1088.1384032069534</v>
      </c>
    </row>
    <row r="77" spans="1:8" ht="12.75">
      <c r="A77" s="21" t="s">
        <v>15</v>
      </c>
      <c r="B77" s="30">
        <f aca="true" t="shared" si="6" ref="B77:G77">B72+B73-B76</f>
        <v>4194.75</v>
      </c>
      <c r="C77" s="30">
        <f t="shared" si="6"/>
        <v>3572.6033363120036</v>
      </c>
      <c r="D77" s="30">
        <f t="shared" si="6"/>
        <v>2857.134673070808</v>
      </c>
      <c r="E77" s="30">
        <f t="shared" si="6"/>
        <v>2034.3457103434328</v>
      </c>
      <c r="F77" s="30">
        <f t="shared" si="6"/>
        <v>1088.1384032069516</v>
      </c>
      <c r="G77" s="30">
        <f t="shared" si="6"/>
        <v>-1.8189894035458565E-12</v>
      </c>
      <c r="H77" s="21"/>
    </row>
    <row r="78" spans="1:7" ht="12.75">
      <c r="A78" s="19" t="s">
        <v>106</v>
      </c>
      <c r="B78" s="31">
        <f aca="true" t="shared" si="7" ref="B78:G78">B73-B74-B76</f>
        <v>4194.75</v>
      </c>
      <c r="C78" s="31">
        <f t="shared" si="7"/>
        <v>-1251.359163687996</v>
      </c>
      <c r="D78" s="31">
        <f t="shared" si="7"/>
        <v>-1251.359163687996</v>
      </c>
      <c r="E78" s="31">
        <f t="shared" si="7"/>
        <v>-1251.359163687996</v>
      </c>
      <c r="F78" s="31">
        <f t="shared" si="7"/>
        <v>-1251.359163687996</v>
      </c>
      <c r="G78" s="31">
        <f t="shared" si="7"/>
        <v>-1251.359163687996</v>
      </c>
    </row>
    <row r="79" spans="1:2" ht="12.75">
      <c r="A79" s="3" t="s">
        <v>107</v>
      </c>
      <c r="B79" s="62">
        <f>IRR(B78:G78)</f>
        <v>0.15000000000000013</v>
      </c>
    </row>
    <row r="80" ht="12.75">
      <c r="B80" s="62"/>
    </row>
    <row r="81" spans="1:2" ht="12.75">
      <c r="A81" s="7" t="s">
        <v>123</v>
      </c>
      <c r="B81" s="62"/>
    </row>
    <row r="82" spans="1:8" ht="13.5" thickBot="1">
      <c r="A82" s="17"/>
      <c r="B82" s="18">
        <v>0</v>
      </c>
      <c r="C82" s="18">
        <v>1</v>
      </c>
      <c r="D82" s="18">
        <v>2</v>
      </c>
      <c r="E82" s="18">
        <v>3</v>
      </c>
      <c r="F82" s="18">
        <v>4</v>
      </c>
      <c r="G82" s="18">
        <v>5</v>
      </c>
      <c r="H82" s="18">
        <v>6</v>
      </c>
    </row>
    <row r="83" spans="1:7" ht="13.5" thickTop="1">
      <c r="A83" s="3" t="s">
        <v>26</v>
      </c>
      <c r="B83" s="1"/>
      <c r="C83" s="1">
        <f>B86</f>
        <v>8389.5</v>
      </c>
      <c r="D83" s="1">
        <f>C86</f>
        <v>7550.55</v>
      </c>
      <c r="E83" s="1">
        <f>D86</f>
        <v>6711.6</v>
      </c>
      <c r="F83" s="1">
        <f>E86</f>
        <v>5872.650000000001</v>
      </c>
      <c r="G83" s="1">
        <f>F86</f>
        <v>5033.700000000001</v>
      </c>
    </row>
    <row r="84" spans="1:7" ht="12.75">
      <c r="A84" s="3" t="s">
        <v>27</v>
      </c>
      <c r="B84" s="1"/>
      <c r="C84" s="1">
        <f>$C$83/$B$13</f>
        <v>838.95</v>
      </c>
      <c r="D84" s="1">
        <f>$C$83/$B$13</f>
        <v>838.95</v>
      </c>
      <c r="E84" s="1">
        <f>$C$83/$B$13</f>
        <v>838.95</v>
      </c>
      <c r="F84" s="1">
        <f>$C$83/$B$13</f>
        <v>838.95</v>
      </c>
      <c r="G84" s="1">
        <f>$C$83/$B$13</f>
        <v>838.95</v>
      </c>
    </row>
    <row r="85" spans="1:7" ht="12.75">
      <c r="A85" s="3" t="s">
        <v>16</v>
      </c>
      <c r="B85" s="1"/>
      <c r="C85" s="1">
        <f>C84</f>
        <v>838.95</v>
      </c>
      <c r="D85" s="1">
        <f>C85+D84</f>
        <v>1677.9</v>
      </c>
      <c r="E85" s="1">
        <f>D85+E84</f>
        <v>2516.8500000000004</v>
      </c>
      <c r="F85" s="1">
        <f>E85+F84</f>
        <v>3355.8</v>
      </c>
      <c r="G85" s="1">
        <f>F85+G84</f>
        <v>4194.75</v>
      </c>
    </row>
    <row r="86" spans="1:8" ht="12.75">
      <c r="A86" s="21" t="s">
        <v>28</v>
      </c>
      <c r="B86" s="30">
        <f>B58</f>
        <v>8389.5</v>
      </c>
      <c r="C86" s="30">
        <f>C83-C84</f>
        <v>7550.55</v>
      </c>
      <c r="D86" s="30">
        <f>D83-D84</f>
        <v>6711.6</v>
      </c>
      <c r="E86" s="30">
        <f>E83-E84</f>
        <v>5872.650000000001</v>
      </c>
      <c r="F86" s="30">
        <f>F83-F84</f>
        <v>5033.700000000001</v>
      </c>
      <c r="G86" s="30">
        <f>G83-G84</f>
        <v>4194.750000000001</v>
      </c>
      <c r="H86" s="21"/>
    </row>
    <row r="87" ht="12.75">
      <c r="B87" s="1"/>
    </row>
    <row r="88" ht="12.75">
      <c r="B88" s="1"/>
    </row>
    <row r="89" spans="1:3" ht="12.75">
      <c r="A89" s="3" t="s">
        <v>87</v>
      </c>
      <c r="B89" s="8">
        <f>(B9-B10)*B25*B26</f>
        <v>480</v>
      </c>
      <c r="C89" s="3" t="s">
        <v>45</v>
      </c>
    </row>
    <row r="90" ht="12.75">
      <c r="B90" s="1"/>
    </row>
    <row r="91" spans="1:2" ht="12.75">
      <c r="A91" s="7" t="s">
        <v>0</v>
      </c>
      <c r="B91" s="22" t="s">
        <v>35</v>
      </c>
    </row>
    <row r="92" spans="1:8" ht="13.5" thickBot="1">
      <c r="A92" s="17"/>
      <c r="B92" s="18">
        <v>0</v>
      </c>
      <c r="C92" s="18">
        <v>1</v>
      </c>
      <c r="D92" s="18">
        <v>2</v>
      </c>
      <c r="E92" s="18">
        <v>3</v>
      </c>
      <c r="F92" s="18">
        <v>4</v>
      </c>
      <c r="G92" s="18">
        <v>5</v>
      </c>
      <c r="H92" s="18">
        <v>6</v>
      </c>
    </row>
    <row r="93" spans="1:8" ht="13.5" thickTop="1">
      <c r="A93" s="3" t="s">
        <v>85</v>
      </c>
      <c r="B93" s="1">
        <f>B30</f>
        <v>5000</v>
      </c>
      <c r="C93" s="1">
        <f>B93*(1+$B$31)</f>
        <v>5500</v>
      </c>
      <c r="D93" s="1">
        <f>C93*(1+$B$31)</f>
        <v>6050.000000000001</v>
      </c>
      <c r="E93" s="1">
        <f>D93*(1+$B$31)</f>
        <v>6655.000000000002</v>
      </c>
      <c r="F93" s="1">
        <f>E93*(1+$B$31)</f>
        <v>7320.500000000003</v>
      </c>
      <c r="G93" s="1">
        <f>F93*(1+$B$31)</f>
        <v>8052.550000000004</v>
      </c>
      <c r="H93" s="1"/>
    </row>
    <row r="94" spans="1:8" ht="12.75">
      <c r="A94" s="3" t="s">
        <v>92</v>
      </c>
      <c r="B94" s="1"/>
      <c r="C94" s="1">
        <f>C93*$B$32</f>
        <v>2750</v>
      </c>
      <c r="D94" s="1">
        <f>D93*$B$32</f>
        <v>3025.0000000000005</v>
      </c>
      <c r="E94" s="1">
        <f>E93*$B$32</f>
        <v>3327.500000000001</v>
      </c>
      <c r="F94" s="1">
        <f>F93*$B$32</f>
        <v>3660.2500000000014</v>
      </c>
      <c r="G94" s="1">
        <f>G93*$B$32</f>
        <v>4026.275000000002</v>
      </c>
      <c r="H94" s="1"/>
    </row>
    <row r="95" spans="1:8" ht="12.75">
      <c r="A95" s="3" t="s">
        <v>89</v>
      </c>
      <c r="B95" s="1"/>
      <c r="C95" s="1">
        <f>$B$29*(1+$B$28)^(C92-1)</f>
        <v>60</v>
      </c>
      <c r="D95" s="1">
        <f>$B$29*(1+$B$28)^(D92-1)</f>
        <v>64.2</v>
      </c>
      <c r="E95" s="1">
        <f>$B$29*(1+$B$28)^(E92-1)</f>
        <v>68.694</v>
      </c>
      <c r="F95" s="1">
        <f>$B$29*(1+$B$28)^(F92-1)</f>
        <v>73.50258000000001</v>
      </c>
      <c r="G95" s="1">
        <f>$B$29*(1+$B$28)^(G92-1)</f>
        <v>78.6477606</v>
      </c>
      <c r="H95" s="1"/>
    </row>
    <row r="96" spans="1:8" ht="12.75">
      <c r="A96" s="3" t="s">
        <v>90</v>
      </c>
      <c r="B96" s="1"/>
      <c r="C96" s="1">
        <f>C93*C95*$B$26*($B$9-$B$10)*$B$27/10^6</f>
        <v>3801.6</v>
      </c>
      <c r="D96" s="1">
        <f>D93*D95*$B$26*($B$9-$B$10)*$B$27/10^6</f>
        <v>4474.483200000001</v>
      </c>
      <c r="E96" s="1">
        <f>E93*E95*$B$26*($B$9-$B$10)*$B$27/10^6</f>
        <v>5266.466726400002</v>
      </c>
      <c r="F96" s="1">
        <f>F93*F95*$B$26*($B$9-$B$10)*$B$27/10^6</f>
        <v>6198.631336972804</v>
      </c>
      <c r="G96" s="1">
        <f>G93*G95*$B$26*($B$9-$B$10)*$B$27/10^6</f>
        <v>7295.789083616989</v>
      </c>
      <c r="H96" s="1"/>
    </row>
    <row r="97" spans="1:8" ht="12.75">
      <c r="A97" s="3" t="s">
        <v>91</v>
      </c>
      <c r="B97" s="1"/>
      <c r="C97" s="1">
        <f>C94*C95*$B$26*($B$9-$B$10)*$B$27/10^6</f>
        <v>1900.8</v>
      </c>
      <c r="D97" s="1">
        <f>D94*D95*$B$26*($B$9-$B$10)*$B$27/10^6</f>
        <v>2237.2416000000003</v>
      </c>
      <c r="E97" s="1">
        <f>E94*E95*$B$26*($B$9-$B$10)*$B$27/10^6</f>
        <v>2633.233363200001</v>
      </c>
      <c r="F97" s="1">
        <f>F94*F95*$B$26*($B$9-$B$10)*$B$27/10^6</f>
        <v>3099.315668486402</v>
      </c>
      <c r="G97" s="1">
        <f>G94*G95*$B$26*($B$9-$B$10)*$B$27/10^6</f>
        <v>3647.8945418084945</v>
      </c>
      <c r="H97" s="1"/>
    </row>
    <row r="98" spans="1:8" ht="12.75">
      <c r="A98" s="56" t="s">
        <v>0</v>
      </c>
      <c r="B98" s="25"/>
      <c r="C98" s="58">
        <f>(C93+C94)*C95*$B$26*($B$9-$B$10)*$B$27/10^6</f>
        <v>5702.4</v>
      </c>
      <c r="D98" s="58">
        <f>(D93+D94)*D95*$B$26*($B$9-$B$10)*$B$27/10^6</f>
        <v>6711.724800000001</v>
      </c>
      <c r="E98" s="58">
        <f>(E93+E94)*E95*$B$26*($B$9-$B$10)*$B$27/10^6</f>
        <v>7899.7000896000045</v>
      </c>
      <c r="F98" s="58">
        <f>(F93+F94)*F95*$B$26*($B$9-$B$10)*$B$27/10^6</f>
        <v>9297.947005459206</v>
      </c>
      <c r="G98" s="58">
        <f>(G93+G94)*G95*$B$26*($B$9-$B$10)*$B$27/10^6</f>
        <v>10943.683625425483</v>
      </c>
      <c r="H98" s="25"/>
    </row>
    <row r="99" spans="1:4" ht="12.75">
      <c r="A99" s="19"/>
      <c r="B99" s="19"/>
      <c r="C99" s="19"/>
      <c r="D99" s="23"/>
    </row>
    <row r="100" spans="1:2" ht="12.75">
      <c r="A100" s="7" t="s">
        <v>11</v>
      </c>
      <c r="B100" s="22" t="s">
        <v>35</v>
      </c>
    </row>
    <row r="101" spans="1:8" ht="13.5" thickBot="1">
      <c r="A101" s="17"/>
      <c r="B101" s="18">
        <v>0</v>
      </c>
      <c r="C101" s="18">
        <v>1</v>
      </c>
      <c r="D101" s="18">
        <v>2</v>
      </c>
      <c r="E101" s="18">
        <v>3</v>
      </c>
      <c r="F101" s="18">
        <v>4</v>
      </c>
      <c r="G101" s="18">
        <v>5</v>
      </c>
      <c r="H101" s="18">
        <v>6</v>
      </c>
    </row>
    <row r="102" spans="1:11" ht="13.5" thickTop="1">
      <c r="A102" s="3" t="s">
        <v>22</v>
      </c>
      <c r="B102" s="1"/>
      <c r="C102" s="1">
        <f>$B$34*$B$35*$B$89*$B$27*C54/10^6</f>
        <v>1307.7504</v>
      </c>
      <c r="D102" s="1">
        <f>$B$34*$B$35*$B$89*$B$27*D54/10^6</f>
        <v>1438.5254400000003</v>
      </c>
      <c r="E102" s="1">
        <f>$B$34*$B$35*$B$89*$B$27*E54/10^6</f>
        <v>1582.3779840000004</v>
      </c>
      <c r="F102" s="1">
        <f>$B$34*$B$35*$B$89*$B$27*F54/10^6</f>
        <v>1740.6157824000006</v>
      </c>
      <c r="G102" s="1">
        <f>$B$34*$B$35*$B$89*$B$27*G54/10^6</f>
        <v>1914.6773606400006</v>
      </c>
      <c r="H102" s="26"/>
      <c r="I102" s="70"/>
      <c r="J102" s="70"/>
      <c r="K102" s="70"/>
    </row>
    <row r="103" spans="1:8" ht="12.75">
      <c r="A103" s="3" t="s">
        <v>69</v>
      </c>
      <c r="B103" s="1"/>
      <c r="C103" s="1">
        <f>($B$36+$B$37)*12*($B$9-$B$10)*C54/10^6</f>
        <v>686.4</v>
      </c>
      <c r="D103" s="1">
        <f>($B$36+$B$37)*12*($B$9-$B$10)*D54/10^6</f>
        <v>755.0400000000001</v>
      </c>
      <c r="E103" s="1">
        <f>($B$36+$B$37)*12*($B$9-$B$10)*E54/10^6</f>
        <v>830.5440000000002</v>
      </c>
      <c r="F103" s="1">
        <f>($B$36+$B$37)*12*($B$9-$B$10)*F54/10^6</f>
        <v>913.5984000000002</v>
      </c>
      <c r="G103" s="1">
        <f>($B$36+$B$37)*12*($B$9-$B$10)*G54/10^6</f>
        <v>1004.9582400000004</v>
      </c>
      <c r="H103" s="26"/>
    </row>
    <row r="104" spans="1:11" ht="12.75">
      <c r="A104" s="3" t="s">
        <v>12</v>
      </c>
      <c r="B104" s="1"/>
      <c r="C104" s="1">
        <f>$B$38*$B$9*12*C54/10^6</f>
        <v>792.0000000000001</v>
      </c>
      <c r="D104" s="1">
        <f>$B$38*$B$9*12*D54/10^6</f>
        <v>871.2000000000002</v>
      </c>
      <c r="E104" s="1">
        <f>$B$38*$B$9*12*E54/10^6</f>
        <v>958.3200000000003</v>
      </c>
      <c r="F104" s="1">
        <f>$B$38*$B$9*12*F54/10^6</f>
        <v>1054.1520000000003</v>
      </c>
      <c r="G104" s="1">
        <f>$B$38*$B$9*12*G54/10^6</f>
        <v>1159.5672000000004</v>
      </c>
      <c r="I104" s="70"/>
      <c r="J104" s="70"/>
      <c r="K104" s="70"/>
    </row>
    <row r="105" spans="1:11" ht="12.75">
      <c r="A105" s="3" t="s">
        <v>13</v>
      </c>
      <c r="B105" s="1"/>
      <c r="C105" s="1">
        <f>$B$39*$B$58</f>
        <v>155.20575</v>
      </c>
      <c r="D105" s="1">
        <f>$B$39*$B$58</f>
        <v>155.20575</v>
      </c>
      <c r="E105" s="1">
        <f>$B$39*$B$58</f>
        <v>155.20575</v>
      </c>
      <c r="F105" s="1">
        <f>$B$40*$B$58</f>
        <v>160.23945</v>
      </c>
      <c r="G105" s="1">
        <f>$B$40*$B$58</f>
        <v>160.23945</v>
      </c>
      <c r="J105" s="70"/>
      <c r="K105" s="70"/>
    </row>
    <row r="106" spans="1:7" ht="12.75">
      <c r="A106" s="3" t="s">
        <v>37</v>
      </c>
      <c r="B106" s="1"/>
      <c r="C106" s="1">
        <f>$B$41*C54</f>
        <v>1028.5</v>
      </c>
      <c r="D106" s="1">
        <f>$B$41*D54</f>
        <v>1131.3500000000001</v>
      </c>
      <c r="E106" s="1">
        <f>$B$41*E54</f>
        <v>1244.4850000000004</v>
      </c>
      <c r="F106" s="1">
        <f>$B$41*F54</f>
        <v>1368.9335000000003</v>
      </c>
      <c r="G106" s="1">
        <f>$B$41*G54</f>
        <v>1505.8268500000006</v>
      </c>
    </row>
    <row r="107" spans="1:10" s="7" customFormat="1" ht="12.75">
      <c r="A107" s="27" t="s">
        <v>124</v>
      </c>
      <c r="B107" s="28"/>
      <c r="C107" s="28">
        <f>SUM(C102:C106)</f>
        <v>3969.85615</v>
      </c>
      <c r="D107" s="28">
        <f>SUM(D102:D106)</f>
        <v>4351.321190000001</v>
      </c>
      <c r="E107" s="33">
        <f>SUM(E102:E106)</f>
        <v>4770.932734000001</v>
      </c>
      <c r="F107" s="33">
        <f>SUM(F102:F106)</f>
        <v>5237.539132400001</v>
      </c>
      <c r="G107" s="33">
        <f>SUM(G102:G106)</f>
        <v>5745.269100640002</v>
      </c>
      <c r="H107" s="56"/>
      <c r="J107" s="3"/>
    </row>
    <row r="108" spans="1:4" ht="12.75">
      <c r="A108" s="29"/>
      <c r="B108" s="29"/>
      <c r="C108" s="29"/>
      <c r="D108" s="29"/>
    </row>
    <row r="109" spans="1:8" ht="12.75">
      <c r="A109" s="7" t="s">
        <v>101</v>
      </c>
      <c r="B109" s="22" t="s">
        <v>35</v>
      </c>
      <c r="H109" s="22"/>
    </row>
    <row r="110" spans="1:8" ht="13.5" thickBot="1">
      <c r="A110" s="17"/>
      <c r="B110" s="18">
        <v>0</v>
      </c>
      <c r="C110" s="18">
        <v>1</v>
      </c>
      <c r="D110" s="18">
        <v>2</v>
      </c>
      <c r="E110" s="18">
        <v>3</v>
      </c>
      <c r="F110" s="18">
        <v>4</v>
      </c>
      <c r="G110" s="18">
        <v>5</v>
      </c>
      <c r="H110" s="18">
        <v>6</v>
      </c>
    </row>
    <row r="111" spans="1:7" ht="13.5" thickTop="1">
      <c r="A111" s="3" t="s">
        <v>0</v>
      </c>
      <c r="B111" s="1"/>
      <c r="C111" s="1">
        <f>C98</f>
        <v>5702.4</v>
      </c>
      <c r="D111" s="1">
        <f>D98</f>
        <v>6711.724800000001</v>
      </c>
      <c r="E111" s="1">
        <f>E98</f>
        <v>7899.7000896000045</v>
      </c>
      <c r="F111" s="1">
        <f>F98</f>
        <v>9297.947005459206</v>
      </c>
      <c r="G111" s="1">
        <f>G98</f>
        <v>10943.683625425483</v>
      </c>
    </row>
    <row r="112" spans="1:7" ht="12.75">
      <c r="A112" s="3" t="s">
        <v>11</v>
      </c>
      <c r="B112" s="1"/>
      <c r="C112" s="1">
        <f>C107</f>
        <v>3969.85615</v>
      </c>
      <c r="D112" s="1">
        <f>D107</f>
        <v>4351.321190000001</v>
      </c>
      <c r="E112" s="1">
        <f>E107</f>
        <v>4770.932734000001</v>
      </c>
      <c r="F112" s="1">
        <f>F107</f>
        <v>5237.539132400001</v>
      </c>
      <c r="G112" s="1">
        <f>G107</f>
        <v>5745.269100640002</v>
      </c>
    </row>
    <row r="113" spans="1:7" ht="12.75">
      <c r="A113" s="3" t="s">
        <v>123</v>
      </c>
      <c r="B113" s="1"/>
      <c r="C113" s="1">
        <f>C84</f>
        <v>838.95</v>
      </c>
      <c r="D113" s="1">
        <f>D84</f>
        <v>838.95</v>
      </c>
      <c r="E113" s="1">
        <f>E84</f>
        <v>838.95</v>
      </c>
      <c r="F113" s="1">
        <f>F84</f>
        <v>838.95</v>
      </c>
      <c r="G113" s="1">
        <f>G84</f>
        <v>838.95</v>
      </c>
    </row>
    <row r="114" spans="1:7" ht="12.75">
      <c r="A114" s="3" t="s">
        <v>1</v>
      </c>
      <c r="B114" s="1"/>
      <c r="C114" s="1">
        <f>C111-C112-C113</f>
        <v>893.5938499999995</v>
      </c>
      <c r="D114" s="1">
        <f>D111-D112-D113</f>
        <v>1521.4536100000003</v>
      </c>
      <c r="E114" s="1">
        <f>E111-E112-E113</f>
        <v>2289.817355600004</v>
      </c>
      <c r="F114" s="1">
        <f>F111-F112-F113</f>
        <v>3221.4578730592048</v>
      </c>
      <c r="G114" s="1">
        <f>G111-G112-G113</f>
        <v>4359.464524785481</v>
      </c>
    </row>
    <row r="115" spans="1:7" ht="12.75">
      <c r="A115" s="3" t="s">
        <v>17</v>
      </c>
      <c r="B115" s="1"/>
      <c r="C115" s="1">
        <f>IF($B$22=1,C64,C74)</f>
        <v>629.2124999999996</v>
      </c>
      <c r="D115" s="1">
        <f>IF($B$22=1,D64,D74)</f>
        <v>503.3699999999997</v>
      </c>
      <c r="E115" s="1">
        <f>IF($B$22=1,E64,E74)</f>
        <v>377.5274999999998</v>
      </c>
      <c r="F115" s="1">
        <f>IF($B$22=1,F64,F74)</f>
        <v>251.6849999999999</v>
      </c>
      <c r="G115" s="1">
        <f>IF($B$22=1,G64,G74)</f>
        <v>125.84249999999997</v>
      </c>
    </row>
    <row r="116" spans="1:7" ht="12.75">
      <c r="A116" s="3" t="s">
        <v>18</v>
      </c>
      <c r="B116" s="1"/>
      <c r="C116" s="1">
        <f>C114-C115</f>
        <v>264.3813499999999</v>
      </c>
      <c r="D116" s="1">
        <f>D114-D115</f>
        <v>1018.0836100000006</v>
      </c>
      <c r="E116" s="1">
        <f>E114-E115</f>
        <v>1912.289855600004</v>
      </c>
      <c r="F116" s="1">
        <f>F114-F115</f>
        <v>2969.772873059205</v>
      </c>
      <c r="G116" s="1">
        <f>G114-G115</f>
        <v>4233.622024785482</v>
      </c>
    </row>
    <row r="117" spans="1:7" ht="12.75">
      <c r="A117" s="7" t="s">
        <v>133</v>
      </c>
      <c r="B117" s="28"/>
      <c r="C117" s="28">
        <f>IF(C116&lt;0,0,C116*$B$48)</f>
        <v>58.16389699999998</v>
      </c>
      <c r="D117" s="28">
        <f>IF(D116&lt;0,0,D116*$B$48)</f>
        <v>223.97839420000014</v>
      </c>
      <c r="E117" s="28">
        <f>IF(E116&lt;0,0,E116*$B$48)</f>
        <v>420.7037682320009</v>
      </c>
      <c r="F117" s="28">
        <f>IF(F116&lt;0,0,F116*$B$48)</f>
        <v>653.3500320730251</v>
      </c>
      <c r="G117" s="28">
        <f>IF(G116&lt;0,0,G116*$B$48)</f>
        <v>931.396845452806</v>
      </c>
    </row>
    <row r="118" spans="1:8" s="7" customFormat="1" ht="12.75">
      <c r="A118" s="21" t="s">
        <v>59</v>
      </c>
      <c r="B118" s="33"/>
      <c r="C118" s="30">
        <f>C116-C117</f>
        <v>206.21745299999992</v>
      </c>
      <c r="D118" s="30">
        <f>D116-D117</f>
        <v>794.1052158000005</v>
      </c>
      <c r="E118" s="30">
        <f>E116-E117</f>
        <v>1491.586087368003</v>
      </c>
      <c r="F118" s="30">
        <f>F116-F117</f>
        <v>2316.42284098618</v>
      </c>
      <c r="G118" s="30">
        <f>G116-G117</f>
        <v>3302.225179332676</v>
      </c>
      <c r="H118" s="56"/>
    </row>
    <row r="120" spans="1:2" ht="12.75">
      <c r="A120" s="7" t="s">
        <v>4</v>
      </c>
      <c r="B120" s="22" t="s">
        <v>35</v>
      </c>
    </row>
    <row r="121" spans="1:8" ht="13.5" thickBot="1">
      <c r="A121" s="17"/>
      <c r="B121" s="18">
        <v>0</v>
      </c>
      <c r="C121" s="18">
        <v>1</v>
      </c>
      <c r="D121" s="18">
        <v>2</v>
      </c>
      <c r="E121" s="18">
        <v>3</v>
      </c>
      <c r="F121" s="18">
        <v>4</v>
      </c>
      <c r="G121" s="18">
        <v>5</v>
      </c>
      <c r="H121" s="18">
        <v>6</v>
      </c>
    </row>
    <row r="122" spans="1:8" ht="13.5" thickTop="1">
      <c r="A122" s="3" t="s">
        <v>134</v>
      </c>
      <c r="B122" s="26"/>
      <c r="C122" s="1">
        <f aca="true" t="shared" si="8" ref="C122:H122">C98*$B$43</f>
        <v>285.12</v>
      </c>
      <c r="D122" s="1">
        <f t="shared" si="8"/>
        <v>335.5862400000001</v>
      </c>
      <c r="E122" s="1">
        <f t="shared" si="8"/>
        <v>394.98500448000027</v>
      </c>
      <c r="F122" s="1">
        <f t="shared" si="8"/>
        <v>464.8973502729603</v>
      </c>
      <c r="G122" s="1">
        <f t="shared" si="8"/>
        <v>547.1841812712742</v>
      </c>
      <c r="H122" s="1">
        <f t="shared" si="8"/>
        <v>0</v>
      </c>
    </row>
    <row r="123" spans="1:8" ht="12.75">
      <c r="A123" s="3" t="s">
        <v>5</v>
      </c>
      <c r="B123" s="1"/>
      <c r="C123" s="1">
        <f aca="true" t="shared" si="9" ref="C123:H123">C97*$B$44</f>
        <v>475.2</v>
      </c>
      <c r="D123" s="1">
        <f t="shared" si="9"/>
        <v>559.3104000000001</v>
      </c>
      <c r="E123" s="1">
        <f t="shared" si="9"/>
        <v>658.3083408000002</v>
      </c>
      <c r="F123" s="1">
        <f t="shared" si="9"/>
        <v>774.8289171216005</v>
      </c>
      <c r="G123" s="1">
        <f t="shared" si="9"/>
        <v>911.9736354521236</v>
      </c>
      <c r="H123" s="1">
        <f t="shared" si="9"/>
        <v>0</v>
      </c>
    </row>
    <row r="124" spans="1:8" ht="12.75">
      <c r="A124" s="21" t="s">
        <v>6</v>
      </c>
      <c r="B124" s="30"/>
      <c r="C124" s="30">
        <f aca="true" t="shared" si="10" ref="C124:H124">(C104+C102)*$B$46</f>
        <v>1049.8752</v>
      </c>
      <c r="D124" s="30">
        <f t="shared" si="10"/>
        <v>1154.8627200000003</v>
      </c>
      <c r="E124" s="30">
        <f t="shared" si="10"/>
        <v>1270.3489920000004</v>
      </c>
      <c r="F124" s="30">
        <f t="shared" si="10"/>
        <v>1397.3838912000006</v>
      </c>
      <c r="G124" s="30">
        <f t="shared" si="10"/>
        <v>1537.1222803200005</v>
      </c>
      <c r="H124" s="30">
        <f t="shared" si="10"/>
        <v>0</v>
      </c>
    </row>
    <row r="125" spans="2:5" ht="12.75">
      <c r="B125" s="1"/>
      <c r="C125" s="31"/>
      <c r="D125" s="31"/>
      <c r="E125" s="31"/>
    </row>
    <row r="126" spans="1:2" ht="12.75">
      <c r="A126" s="7" t="s">
        <v>100</v>
      </c>
      <c r="B126" s="22" t="s">
        <v>35</v>
      </c>
    </row>
    <row r="127" spans="1:8" ht="13.5" thickBot="1">
      <c r="A127" s="17"/>
      <c r="B127" s="18">
        <v>0</v>
      </c>
      <c r="C127" s="18">
        <v>1</v>
      </c>
      <c r="D127" s="18">
        <v>2</v>
      </c>
      <c r="E127" s="18">
        <v>3</v>
      </c>
      <c r="F127" s="18">
        <v>4</v>
      </c>
      <c r="G127" s="18">
        <v>5</v>
      </c>
      <c r="H127" s="18">
        <v>6</v>
      </c>
    </row>
    <row r="128" spans="1:8" ht="13.5" thickTop="1">
      <c r="A128" s="3" t="s">
        <v>122</v>
      </c>
      <c r="B128" s="1"/>
      <c r="C128" s="31">
        <f aca="true" t="shared" si="11" ref="C128:H130">C122-B122</f>
        <v>285.12</v>
      </c>
      <c r="D128" s="31">
        <f t="shared" si="11"/>
        <v>50.466240000000084</v>
      </c>
      <c r="E128" s="31">
        <f t="shared" si="11"/>
        <v>59.39876448000018</v>
      </c>
      <c r="F128" s="31">
        <f t="shared" si="11"/>
        <v>69.91234579296002</v>
      </c>
      <c r="G128" s="31">
        <f t="shared" si="11"/>
        <v>82.28683099831386</v>
      </c>
      <c r="H128" s="71">
        <f t="shared" si="11"/>
        <v>-547.1841812712742</v>
      </c>
    </row>
    <row r="129" spans="1:8" ht="12.75">
      <c r="A129" s="3" t="s">
        <v>36</v>
      </c>
      <c r="B129" s="1"/>
      <c r="C129" s="31">
        <f t="shared" si="11"/>
        <v>475.2</v>
      </c>
      <c r="D129" s="31">
        <f t="shared" si="11"/>
        <v>84.11040000000008</v>
      </c>
      <c r="E129" s="31">
        <f t="shared" si="11"/>
        <v>98.99794080000015</v>
      </c>
      <c r="F129" s="31">
        <f t="shared" si="11"/>
        <v>116.52057632160029</v>
      </c>
      <c r="G129" s="31">
        <f t="shared" si="11"/>
        <v>137.14471833052312</v>
      </c>
      <c r="H129" s="71">
        <f t="shared" si="11"/>
        <v>-911.9736354521236</v>
      </c>
    </row>
    <row r="130" spans="1:8" ht="12.75">
      <c r="A130" s="3" t="s">
        <v>78</v>
      </c>
      <c r="B130" s="31"/>
      <c r="C130" s="31">
        <f t="shared" si="11"/>
        <v>1049.8752</v>
      </c>
      <c r="D130" s="31">
        <f t="shared" si="11"/>
        <v>104.98752000000036</v>
      </c>
      <c r="E130" s="31">
        <f t="shared" si="11"/>
        <v>115.4862720000001</v>
      </c>
      <c r="F130" s="31">
        <f t="shared" si="11"/>
        <v>127.03489920000015</v>
      </c>
      <c r="G130" s="31">
        <f t="shared" si="11"/>
        <v>139.73838911999997</v>
      </c>
      <c r="H130" s="71">
        <f t="shared" si="11"/>
        <v>-1537.1222803200005</v>
      </c>
    </row>
    <row r="131" spans="2:4" ht="12.75">
      <c r="B131" s="31"/>
      <c r="C131" s="31"/>
      <c r="D131" s="31"/>
    </row>
    <row r="132" ht="12.75">
      <c r="A132" s="7" t="s">
        <v>112</v>
      </c>
    </row>
    <row r="133" spans="1:15" ht="12.75">
      <c r="A133" s="34"/>
      <c r="B133" s="35">
        <v>0</v>
      </c>
      <c r="C133" s="35">
        <v>1</v>
      </c>
      <c r="D133" s="35">
        <v>2</v>
      </c>
      <c r="E133" s="35">
        <v>3</v>
      </c>
      <c r="F133" s="35">
        <v>4</v>
      </c>
      <c r="G133" s="35">
        <v>5</v>
      </c>
      <c r="H133" s="35">
        <v>6</v>
      </c>
      <c r="J133" s="90"/>
      <c r="K133" s="64"/>
      <c r="L133" s="91"/>
      <c r="M133" s="64"/>
      <c r="N133" s="64"/>
      <c r="O133" s="64"/>
    </row>
    <row r="134" spans="1:15" ht="12.75">
      <c r="A134" s="3" t="s">
        <v>102</v>
      </c>
      <c r="B134" s="1"/>
      <c r="C134" s="1"/>
      <c r="D134" s="1"/>
      <c r="J134" s="64"/>
      <c r="K134" s="64"/>
      <c r="L134" s="64"/>
      <c r="M134" s="64"/>
      <c r="N134" s="64"/>
      <c r="O134" s="64"/>
    </row>
    <row r="135" spans="1:15" ht="12.75">
      <c r="A135" s="3" t="s">
        <v>0</v>
      </c>
      <c r="B135" s="1">
        <f aca="true" t="shared" si="12" ref="B135:H135">B111</f>
        <v>0</v>
      </c>
      <c r="C135" s="1">
        <f t="shared" si="12"/>
        <v>5702.4</v>
      </c>
      <c r="D135" s="1">
        <f t="shared" si="12"/>
        <v>6711.724800000001</v>
      </c>
      <c r="E135" s="1">
        <f t="shared" si="12"/>
        <v>7899.7000896000045</v>
      </c>
      <c r="F135" s="1">
        <f t="shared" si="12"/>
        <v>9297.947005459206</v>
      </c>
      <c r="G135" s="1">
        <f t="shared" si="12"/>
        <v>10943.683625425483</v>
      </c>
      <c r="H135" s="1">
        <f t="shared" si="12"/>
        <v>0</v>
      </c>
      <c r="J135" s="92"/>
      <c r="K135" s="64"/>
      <c r="L135" s="92"/>
      <c r="M135" s="64"/>
      <c r="N135" s="64"/>
      <c r="O135" s="64"/>
    </row>
    <row r="136" spans="1:15" ht="12.75">
      <c r="A136" s="3" t="s">
        <v>78</v>
      </c>
      <c r="B136" s="1">
        <f aca="true" t="shared" si="13" ref="B136:H136">B130</f>
        <v>0</v>
      </c>
      <c r="C136" s="1">
        <f t="shared" si="13"/>
        <v>1049.8752</v>
      </c>
      <c r="D136" s="1">
        <f t="shared" si="13"/>
        <v>104.98752000000036</v>
      </c>
      <c r="E136" s="1">
        <f t="shared" si="13"/>
        <v>115.4862720000001</v>
      </c>
      <c r="F136" s="1">
        <f t="shared" si="13"/>
        <v>127.03489920000015</v>
      </c>
      <c r="G136" s="1">
        <f t="shared" si="13"/>
        <v>139.73838911999997</v>
      </c>
      <c r="H136" s="1">
        <f t="shared" si="13"/>
        <v>-1537.1222803200005</v>
      </c>
      <c r="I136" s="8"/>
      <c r="J136" s="92"/>
      <c r="K136" s="64"/>
      <c r="L136" s="92"/>
      <c r="M136" s="64"/>
      <c r="N136" s="64"/>
      <c r="O136" s="64"/>
    </row>
    <row r="137" spans="1:15" ht="12.75">
      <c r="A137" s="3" t="s">
        <v>42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38">
        <f>G86*H54</f>
        <v>7431.2555047500055</v>
      </c>
      <c r="I137" s="8"/>
      <c r="J137" s="92"/>
      <c r="K137" s="64"/>
      <c r="L137" s="92"/>
      <c r="M137" s="64"/>
      <c r="N137" s="64"/>
      <c r="O137" s="64"/>
    </row>
    <row r="138" spans="1:15" ht="12.75">
      <c r="A138" s="39" t="s">
        <v>29</v>
      </c>
      <c r="B138" s="40">
        <f aca="true" t="shared" si="14" ref="B138:H138">SUM(B135:B137)</f>
        <v>0</v>
      </c>
      <c r="C138" s="40">
        <f t="shared" si="14"/>
        <v>6752.2752</v>
      </c>
      <c r="D138" s="40">
        <f t="shared" si="14"/>
        <v>6816.7123200000015</v>
      </c>
      <c r="E138" s="40">
        <f t="shared" si="14"/>
        <v>8015.186361600005</v>
      </c>
      <c r="F138" s="40">
        <f t="shared" si="14"/>
        <v>9424.981904659206</v>
      </c>
      <c r="G138" s="40">
        <f t="shared" si="14"/>
        <v>11083.422014545484</v>
      </c>
      <c r="H138" s="41">
        <f t="shared" si="14"/>
        <v>5894.133224430005</v>
      </c>
      <c r="I138" s="8"/>
      <c r="J138" s="93"/>
      <c r="K138" s="64"/>
      <c r="L138" s="92"/>
      <c r="M138" s="64"/>
      <c r="N138" s="64"/>
      <c r="O138" s="64"/>
    </row>
    <row r="139" spans="1:15" ht="12.75">
      <c r="A139" s="3" t="s">
        <v>103</v>
      </c>
      <c r="B139" s="1"/>
      <c r="C139" s="1"/>
      <c r="D139" s="1"/>
      <c r="H139" s="8"/>
      <c r="I139" s="8"/>
      <c r="J139" s="64"/>
      <c r="K139" s="64"/>
      <c r="L139" s="92"/>
      <c r="M139" s="64"/>
      <c r="N139" s="64"/>
      <c r="O139" s="64"/>
    </row>
    <row r="140" spans="1:15" ht="12.75">
      <c r="A140" s="3" t="s">
        <v>47</v>
      </c>
      <c r="B140" s="1">
        <f aca="true" t="shared" si="15" ref="B140:H140">B58</f>
        <v>8389.5</v>
      </c>
      <c r="C140" s="1">
        <f t="shared" si="15"/>
        <v>0</v>
      </c>
      <c r="D140" s="1">
        <f t="shared" si="15"/>
        <v>0</v>
      </c>
      <c r="E140" s="1">
        <f t="shared" si="15"/>
        <v>0</v>
      </c>
      <c r="F140" s="1">
        <f t="shared" si="15"/>
        <v>0</v>
      </c>
      <c r="G140" s="1">
        <f t="shared" si="15"/>
        <v>0</v>
      </c>
      <c r="H140" s="1">
        <f t="shared" si="15"/>
        <v>0</v>
      </c>
      <c r="I140" s="8"/>
      <c r="J140" s="92"/>
      <c r="K140" s="64"/>
      <c r="L140" s="92"/>
      <c r="M140" s="64"/>
      <c r="N140" s="64"/>
      <c r="O140" s="64"/>
    </row>
    <row r="141" spans="1:15" ht="12.75">
      <c r="A141" s="3" t="s">
        <v>11</v>
      </c>
      <c r="B141" s="1">
        <f aca="true" t="shared" si="16" ref="B141:H141">B107</f>
        <v>0</v>
      </c>
      <c r="C141" s="1">
        <f t="shared" si="16"/>
        <v>3969.85615</v>
      </c>
      <c r="D141" s="1">
        <f t="shared" si="16"/>
        <v>4351.321190000001</v>
      </c>
      <c r="E141" s="1">
        <f t="shared" si="16"/>
        <v>4770.932734000001</v>
      </c>
      <c r="F141" s="1">
        <f t="shared" si="16"/>
        <v>5237.539132400001</v>
      </c>
      <c r="G141" s="1">
        <f t="shared" si="16"/>
        <v>5745.269100640002</v>
      </c>
      <c r="H141" s="36">
        <f t="shared" si="16"/>
        <v>0</v>
      </c>
      <c r="I141" s="8"/>
      <c r="J141" s="92"/>
      <c r="K141" s="64"/>
      <c r="L141" s="92"/>
      <c r="M141" s="64"/>
      <c r="N141" s="64"/>
      <c r="O141" s="64"/>
    </row>
    <row r="142" spans="1:15" ht="12.75">
      <c r="A142" s="3" t="s">
        <v>36</v>
      </c>
      <c r="B142" s="1">
        <f aca="true" t="shared" si="17" ref="B142:H142">B129</f>
        <v>0</v>
      </c>
      <c r="C142" s="1">
        <f t="shared" si="17"/>
        <v>475.2</v>
      </c>
      <c r="D142" s="1">
        <f t="shared" si="17"/>
        <v>84.11040000000008</v>
      </c>
      <c r="E142" s="1">
        <f t="shared" si="17"/>
        <v>98.99794080000015</v>
      </c>
      <c r="F142" s="1">
        <f t="shared" si="17"/>
        <v>116.52057632160029</v>
      </c>
      <c r="G142" s="1">
        <f t="shared" si="17"/>
        <v>137.14471833052312</v>
      </c>
      <c r="H142" s="1">
        <f t="shared" si="17"/>
        <v>-911.9736354521236</v>
      </c>
      <c r="I142" s="8"/>
      <c r="J142" s="92"/>
      <c r="K142" s="64"/>
      <c r="L142" s="92"/>
      <c r="M142" s="64"/>
      <c r="N142" s="64"/>
      <c r="O142" s="64"/>
    </row>
    <row r="143" spans="1:15" ht="12.75">
      <c r="A143" s="3" t="s">
        <v>122</v>
      </c>
      <c r="B143" s="1">
        <f aca="true" t="shared" si="18" ref="B143:H143">B128</f>
        <v>0</v>
      </c>
      <c r="C143" s="1">
        <f t="shared" si="18"/>
        <v>285.12</v>
      </c>
      <c r="D143" s="1">
        <f t="shared" si="18"/>
        <v>50.466240000000084</v>
      </c>
      <c r="E143" s="1">
        <f t="shared" si="18"/>
        <v>59.39876448000018</v>
      </c>
      <c r="F143" s="1">
        <f t="shared" si="18"/>
        <v>69.91234579296002</v>
      </c>
      <c r="G143" s="1">
        <f t="shared" si="18"/>
        <v>82.28683099831386</v>
      </c>
      <c r="H143" s="1">
        <f t="shared" si="18"/>
        <v>-547.1841812712742</v>
      </c>
      <c r="I143" s="8"/>
      <c r="J143" s="92"/>
      <c r="K143" s="64"/>
      <c r="L143" s="92"/>
      <c r="M143" s="64"/>
      <c r="N143" s="64"/>
      <c r="O143" s="64"/>
    </row>
    <row r="144" spans="1:15" ht="12.75">
      <c r="A144" s="3" t="s">
        <v>55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36">
        <f>H137*B16</f>
        <v>3344.0649771375024</v>
      </c>
      <c r="I144" s="8"/>
      <c r="J144" s="92"/>
      <c r="K144" s="64"/>
      <c r="L144" s="92"/>
      <c r="M144" s="64"/>
      <c r="N144" s="64"/>
      <c r="O144" s="64"/>
    </row>
    <row r="145" spans="1:15" ht="12.75">
      <c r="A145" s="3" t="s">
        <v>20</v>
      </c>
      <c r="B145" s="1">
        <f aca="true" t="shared" si="19" ref="B145:H145">B117</f>
        <v>0</v>
      </c>
      <c r="C145" s="1">
        <f t="shared" si="19"/>
        <v>58.16389699999998</v>
      </c>
      <c r="D145" s="1">
        <f t="shared" si="19"/>
        <v>223.97839420000014</v>
      </c>
      <c r="E145" s="1">
        <f t="shared" si="19"/>
        <v>420.7037682320009</v>
      </c>
      <c r="F145" s="1">
        <f t="shared" si="19"/>
        <v>653.3500320730251</v>
      </c>
      <c r="G145" s="1">
        <f t="shared" si="19"/>
        <v>931.396845452806</v>
      </c>
      <c r="H145" s="1">
        <f t="shared" si="19"/>
        <v>0</v>
      </c>
      <c r="I145" s="8"/>
      <c r="J145" s="92"/>
      <c r="K145" s="64"/>
      <c r="L145" s="92"/>
      <c r="M145" s="64"/>
      <c r="N145" s="64"/>
      <c r="O145" s="64"/>
    </row>
    <row r="146" spans="1:15" ht="12.75">
      <c r="A146" s="39" t="s">
        <v>19</v>
      </c>
      <c r="B146" s="40">
        <f aca="true" t="shared" si="20" ref="B146:H146">SUM(B140:B145)</f>
        <v>8389.5</v>
      </c>
      <c r="C146" s="40">
        <f t="shared" si="20"/>
        <v>4788.340047000001</v>
      </c>
      <c r="D146" s="40">
        <f t="shared" si="20"/>
        <v>4709.876224200001</v>
      </c>
      <c r="E146" s="40">
        <f t="shared" si="20"/>
        <v>5350.033207512001</v>
      </c>
      <c r="F146" s="40">
        <f t="shared" si="20"/>
        <v>6077.322086587586</v>
      </c>
      <c r="G146" s="40">
        <f t="shared" si="20"/>
        <v>6896.097495421644</v>
      </c>
      <c r="H146" s="40">
        <f t="shared" si="20"/>
        <v>1884.9071604141045</v>
      </c>
      <c r="I146" s="8"/>
      <c r="J146" s="93"/>
      <c r="K146" s="64"/>
      <c r="L146" s="92"/>
      <c r="M146" s="64"/>
      <c r="N146" s="64"/>
      <c r="O146" s="64"/>
    </row>
    <row r="147" spans="1:15" ht="12.75">
      <c r="A147" s="27"/>
      <c r="B147" s="63"/>
      <c r="C147" s="63"/>
      <c r="D147" s="63"/>
      <c r="E147" s="63"/>
      <c r="F147" s="63"/>
      <c r="G147" s="63"/>
      <c r="H147" s="63"/>
      <c r="I147" s="8"/>
      <c r="J147" s="64"/>
      <c r="K147" s="64"/>
      <c r="L147" s="64"/>
      <c r="M147" s="64"/>
      <c r="N147" s="64"/>
      <c r="O147" s="64"/>
    </row>
    <row r="148" spans="1:9" ht="12.75">
      <c r="A148" s="7" t="s">
        <v>119</v>
      </c>
      <c r="C148" s="63"/>
      <c r="D148" s="63"/>
      <c r="E148" s="63"/>
      <c r="F148" s="63"/>
      <c r="G148" s="63"/>
      <c r="H148" s="63"/>
      <c r="I148" s="8"/>
    </row>
    <row r="149" spans="1:9" ht="12.75">
      <c r="A149" s="3" t="s">
        <v>94</v>
      </c>
      <c r="B149" s="15">
        <f>(1-B18)*B49+B18*B20</f>
        <v>0.17499999999999993</v>
      </c>
      <c r="C149" s="63"/>
      <c r="D149" s="63"/>
      <c r="E149" s="63"/>
      <c r="F149" s="63"/>
      <c r="G149" s="63"/>
      <c r="H149" s="63"/>
      <c r="I149" s="8"/>
    </row>
    <row r="150" spans="1:9" ht="12.75">
      <c r="A150" s="3" t="s">
        <v>95</v>
      </c>
      <c r="B150" s="16">
        <f>(B149-B4)/(1+B4)</f>
        <v>0.06818181818181811</v>
      </c>
      <c r="C150" s="63"/>
      <c r="D150" s="63"/>
      <c r="E150" s="63"/>
      <c r="F150" s="63"/>
      <c r="G150" s="63"/>
      <c r="H150" s="63"/>
      <c r="I150" s="8"/>
    </row>
    <row r="151" spans="1:9" ht="12.75">
      <c r="A151" s="27"/>
      <c r="B151" s="63"/>
      <c r="C151" s="63"/>
      <c r="D151" s="63"/>
      <c r="E151" s="63"/>
      <c r="F151" s="63"/>
      <c r="G151" s="63"/>
      <c r="H151" s="63"/>
      <c r="I151" s="8"/>
    </row>
    <row r="152" spans="1:9" s="19" customFormat="1" ht="12.75">
      <c r="A152" s="56" t="s">
        <v>114</v>
      </c>
      <c r="B152" s="33"/>
      <c r="C152" s="33"/>
      <c r="D152" s="33"/>
      <c r="E152" s="33"/>
      <c r="F152" s="33"/>
      <c r="G152" s="33"/>
      <c r="H152" s="33"/>
      <c r="I152" s="64"/>
    </row>
    <row r="153" spans="1:12" s="7" customFormat="1" ht="12.75">
      <c r="A153" s="56" t="s">
        <v>105</v>
      </c>
      <c r="B153" s="33">
        <f aca="true" t="shared" si="21" ref="B153:H153">B138-B146</f>
        <v>-8389.5</v>
      </c>
      <c r="C153" s="33">
        <f t="shared" si="21"/>
        <v>1963.9351529999994</v>
      </c>
      <c r="D153" s="33">
        <f t="shared" si="21"/>
        <v>2106.8360958000003</v>
      </c>
      <c r="E153" s="33">
        <f t="shared" si="21"/>
        <v>2665.1531540880032</v>
      </c>
      <c r="F153" s="33">
        <f t="shared" si="21"/>
        <v>3347.659818071619</v>
      </c>
      <c r="G153" s="33">
        <f t="shared" si="21"/>
        <v>4187.324519123839</v>
      </c>
      <c r="H153" s="33">
        <f t="shared" si="21"/>
        <v>4009.2260640159</v>
      </c>
      <c r="J153" s="87" t="s">
        <v>140</v>
      </c>
      <c r="L153" s="27"/>
    </row>
    <row r="154" spans="1:12" ht="12.75">
      <c r="A154" s="9" t="s">
        <v>94</v>
      </c>
      <c r="B154" s="42">
        <f>B149</f>
        <v>0.17499999999999993</v>
      </c>
      <c r="L154" s="19"/>
    </row>
    <row r="155" spans="1:18" s="7" customFormat="1" ht="12.75">
      <c r="A155" s="7" t="s">
        <v>60</v>
      </c>
      <c r="B155" s="43">
        <f>NPV(B154,C153:H153)+B153</f>
        <v>1600.1523630781157</v>
      </c>
      <c r="J155" s="82">
        <f>B155-$B$11</f>
        <v>-99.84763692188426</v>
      </c>
      <c r="L155" s="79">
        <f>B153-$B$11</f>
        <v>-10089.5</v>
      </c>
      <c r="M155" s="79">
        <f aca="true" t="shared" si="22" ref="M155:R155">C153</f>
        <v>1963.9351529999994</v>
      </c>
      <c r="N155" s="79">
        <f t="shared" si="22"/>
        <v>2106.8360958000003</v>
      </c>
      <c r="O155" s="79">
        <f t="shared" si="22"/>
        <v>2665.1531540880032</v>
      </c>
      <c r="P155" s="79">
        <f t="shared" si="22"/>
        <v>3347.659818071619</v>
      </c>
      <c r="Q155" s="79">
        <f t="shared" si="22"/>
        <v>4187.324519123839</v>
      </c>
      <c r="R155" s="79">
        <f t="shared" si="22"/>
        <v>4009.2260640159</v>
      </c>
    </row>
    <row r="156" spans="1:12" s="7" customFormat="1" ht="12.75">
      <c r="A156" s="7" t="s">
        <v>31</v>
      </c>
      <c r="B156" s="47">
        <f>IRR(B153:H153)</f>
        <v>0.2360195771277518</v>
      </c>
      <c r="J156" s="88">
        <f>IRR(L155:R155)</f>
        <v>0.17168881217983611</v>
      </c>
      <c r="L156" s="27"/>
    </row>
    <row r="157" ht="12.75">
      <c r="L157" s="19"/>
    </row>
    <row r="158" spans="1:8" ht="12.75">
      <c r="A158" s="56" t="s">
        <v>115</v>
      </c>
      <c r="B158" s="33"/>
      <c r="C158" s="33"/>
      <c r="D158" s="33"/>
      <c r="E158" s="33"/>
      <c r="F158" s="33"/>
      <c r="G158" s="33"/>
      <c r="H158" s="33"/>
    </row>
    <row r="159" spans="1:8" ht="12.75">
      <c r="A159" s="56" t="s">
        <v>116</v>
      </c>
      <c r="B159" s="33">
        <f aca="true" t="shared" si="23" ref="B159:H159">B153+IF($B$22=1,B67,B78)</f>
        <v>-4194.75</v>
      </c>
      <c r="C159" s="33">
        <f t="shared" si="23"/>
        <v>495.77265299999976</v>
      </c>
      <c r="D159" s="33">
        <f t="shared" si="23"/>
        <v>764.5160958000006</v>
      </c>
      <c r="E159" s="33">
        <f t="shared" si="23"/>
        <v>1448.6756540880033</v>
      </c>
      <c r="F159" s="33">
        <f t="shared" si="23"/>
        <v>2257.024818071619</v>
      </c>
      <c r="G159" s="33">
        <f t="shared" si="23"/>
        <v>3222.5320191238393</v>
      </c>
      <c r="H159" s="33">
        <f t="shared" si="23"/>
        <v>4009.2260640159</v>
      </c>
    </row>
    <row r="160" spans="1:2" ht="15.75">
      <c r="A160" s="60" t="s">
        <v>77</v>
      </c>
      <c r="B160" s="61">
        <f>B49</f>
        <v>0.19999999999999996</v>
      </c>
    </row>
    <row r="161" spans="1:18" ht="12.75">
      <c r="A161" s="59" t="s">
        <v>60</v>
      </c>
      <c r="B161" s="43">
        <f>NPV(B160,C159:H159)+B159</f>
        <v>1313.8640245277775</v>
      </c>
      <c r="J161" s="82">
        <f>B161-$B$11</f>
        <v>-386.1359754722225</v>
      </c>
      <c r="L161" s="79">
        <f>B159-$B$11</f>
        <v>-5894.75</v>
      </c>
      <c r="M161" s="79">
        <f aca="true" t="shared" si="24" ref="M161:R161">C159</f>
        <v>495.77265299999976</v>
      </c>
      <c r="N161" s="79">
        <f t="shared" si="24"/>
        <v>764.5160958000006</v>
      </c>
      <c r="O161" s="79">
        <f t="shared" si="24"/>
        <v>1448.6756540880033</v>
      </c>
      <c r="P161" s="79">
        <f t="shared" si="24"/>
        <v>2257.024818071619</v>
      </c>
      <c r="Q161" s="79">
        <f t="shared" si="24"/>
        <v>3222.5320191238393</v>
      </c>
      <c r="R161" s="79">
        <f t="shared" si="24"/>
        <v>4009.2260640159</v>
      </c>
    </row>
    <row r="162" spans="1:10" ht="12.75">
      <c r="A162" s="59" t="s">
        <v>31</v>
      </c>
      <c r="B162" s="47">
        <f>IRR(B159:H159)</f>
        <v>0.2830669754901456</v>
      </c>
      <c r="J162" s="88">
        <f>IRR(L161:R161)</f>
        <v>0.18067074420863305</v>
      </c>
    </row>
    <row r="164" ht="12.75">
      <c r="A164" s="7" t="s">
        <v>113</v>
      </c>
    </row>
    <row r="165" spans="1:8" ht="12.75">
      <c r="A165" s="34"/>
      <c r="B165" s="35">
        <v>0</v>
      </c>
      <c r="C165" s="35">
        <v>1</v>
      </c>
      <c r="D165" s="35">
        <v>2</v>
      </c>
      <c r="E165" s="35">
        <v>3</v>
      </c>
      <c r="F165" s="35">
        <v>4</v>
      </c>
      <c r="G165" s="35">
        <v>5</v>
      </c>
      <c r="H165" s="35">
        <v>6</v>
      </c>
    </row>
    <row r="166" spans="1:10" ht="12.75">
      <c r="A166" s="3" t="s">
        <v>102</v>
      </c>
      <c r="B166" s="36"/>
      <c r="C166" s="36"/>
      <c r="D166" s="36"/>
      <c r="E166" s="8"/>
      <c r="F166" s="8"/>
      <c r="G166" s="8"/>
      <c r="H166" s="8"/>
      <c r="I166" s="8"/>
      <c r="J166" s="8"/>
    </row>
    <row r="167" spans="1:10" ht="12.75">
      <c r="A167" s="8" t="s">
        <v>0</v>
      </c>
      <c r="B167" s="36"/>
      <c r="C167" s="36">
        <f aca="true" t="shared" si="25" ref="C167:H167">C135/C54</f>
        <v>5183.999999999999</v>
      </c>
      <c r="D167" s="36">
        <f t="shared" si="25"/>
        <v>5546.88</v>
      </c>
      <c r="E167" s="36">
        <f t="shared" si="25"/>
        <v>5935.161600000001</v>
      </c>
      <c r="F167" s="36">
        <f t="shared" si="25"/>
        <v>6350.6229120000025</v>
      </c>
      <c r="G167" s="36">
        <f t="shared" si="25"/>
        <v>6795.166515840001</v>
      </c>
      <c r="H167" s="36">
        <f t="shared" si="25"/>
        <v>0</v>
      </c>
      <c r="I167" s="8"/>
      <c r="J167" s="8"/>
    </row>
    <row r="168" spans="1:10" ht="12.75">
      <c r="A168" s="8" t="s">
        <v>78</v>
      </c>
      <c r="B168" s="36"/>
      <c r="C168" s="36">
        <f aca="true" t="shared" si="26" ref="C168:H168">C136/C54</f>
        <v>954.4319999999999</v>
      </c>
      <c r="D168" s="36">
        <f t="shared" si="26"/>
        <v>86.76654545454574</v>
      </c>
      <c r="E168" s="36">
        <f t="shared" si="26"/>
        <v>86.76654545454551</v>
      </c>
      <c r="F168" s="36">
        <f t="shared" si="26"/>
        <v>86.76654545454554</v>
      </c>
      <c r="G168" s="36">
        <f t="shared" si="26"/>
        <v>86.76654545454541</v>
      </c>
      <c r="H168" s="36">
        <f t="shared" si="26"/>
        <v>-867.6654545454544</v>
      </c>
      <c r="I168" s="8"/>
      <c r="J168" s="8"/>
    </row>
    <row r="169" spans="1:10" ht="12.75">
      <c r="A169" s="8" t="s">
        <v>42</v>
      </c>
      <c r="B169" s="36"/>
      <c r="C169" s="36"/>
      <c r="D169" s="36"/>
      <c r="E169" s="36"/>
      <c r="F169" s="36"/>
      <c r="G169" s="36"/>
      <c r="H169" s="36">
        <f>H137/H54</f>
        <v>4194.750000000001</v>
      </c>
      <c r="I169" s="8"/>
      <c r="J169" s="8"/>
    </row>
    <row r="170" spans="1:10" ht="12.75">
      <c r="A170" s="57" t="s">
        <v>29</v>
      </c>
      <c r="B170" s="41">
        <f aca="true" t="shared" si="27" ref="B170:H170">SUM(B167:B169)</f>
        <v>0</v>
      </c>
      <c r="C170" s="41">
        <f t="shared" si="27"/>
        <v>6138.431999999999</v>
      </c>
      <c r="D170" s="41">
        <f t="shared" si="27"/>
        <v>5633.646545454546</v>
      </c>
      <c r="E170" s="41">
        <f t="shared" si="27"/>
        <v>6021.928145454547</v>
      </c>
      <c r="F170" s="41">
        <f t="shared" si="27"/>
        <v>6437.389457454548</v>
      </c>
      <c r="G170" s="41">
        <f t="shared" si="27"/>
        <v>6881.933061294547</v>
      </c>
      <c r="H170" s="41">
        <f t="shared" si="27"/>
        <v>3327.0845454545465</v>
      </c>
      <c r="I170" s="8"/>
      <c r="J170" s="8"/>
    </row>
    <row r="171" spans="1:10" ht="12.75">
      <c r="A171" s="3" t="s">
        <v>103</v>
      </c>
      <c r="B171" s="36"/>
      <c r="C171" s="36"/>
      <c r="D171" s="36"/>
      <c r="E171" s="8"/>
      <c r="F171" s="8"/>
      <c r="G171" s="8"/>
      <c r="H171" s="8"/>
      <c r="I171" s="8"/>
      <c r="J171" s="8"/>
    </row>
    <row r="172" spans="1:10" ht="12.75">
      <c r="A172" s="8" t="s">
        <v>47</v>
      </c>
      <c r="B172" s="36">
        <f>B140/B54</f>
        <v>8389.5</v>
      </c>
      <c r="C172" s="36"/>
      <c r="D172" s="36"/>
      <c r="E172" s="36"/>
      <c r="F172" s="36"/>
      <c r="G172" s="36"/>
      <c r="H172" s="36"/>
      <c r="I172" s="8"/>
      <c r="J172" s="8"/>
    </row>
    <row r="173" spans="1:10" ht="12.75">
      <c r="A173" s="8" t="s">
        <v>11</v>
      </c>
      <c r="B173" s="36"/>
      <c r="C173" s="36">
        <f aca="true" t="shared" si="28" ref="C173:H173">C141/C54</f>
        <v>3608.960136363636</v>
      </c>
      <c r="D173" s="36">
        <f t="shared" si="28"/>
        <v>3596.133214876033</v>
      </c>
      <c r="E173" s="36">
        <f t="shared" si="28"/>
        <v>3584.4723771600297</v>
      </c>
      <c r="F173" s="36">
        <f t="shared" si="28"/>
        <v>3577.309700430298</v>
      </c>
      <c r="G173" s="36">
        <f t="shared" si="28"/>
        <v>3567.360091300271</v>
      </c>
      <c r="H173" s="36">
        <f t="shared" si="28"/>
        <v>0</v>
      </c>
      <c r="I173" s="8"/>
      <c r="J173" s="8"/>
    </row>
    <row r="174" spans="1:10" ht="12.75">
      <c r="A174" s="8" t="s">
        <v>36</v>
      </c>
      <c r="B174" s="36"/>
      <c r="C174" s="36">
        <f aca="true" t="shared" si="29" ref="C174:H174">C142/C54</f>
        <v>431.99999999999994</v>
      </c>
      <c r="D174" s="36">
        <f t="shared" si="29"/>
        <v>69.51272727272733</v>
      </c>
      <c r="E174" s="36">
        <f t="shared" si="29"/>
        <v>74.37861818181827</v>
      </c>
      <c r="F174" s="36">
        <f t="shared" si="29"/>
        <v>79.58512145454563</v>
      </c>
      <c r="G174" s="36">
        <f t="shared" si="29"/>
        <v>85.15607995636356</v>
      </c>
      <c r="H174" s="36">
        <f t="shared" si="29"/>
        <v>-514.785342109091</v>
      </c>
      <c r="I174" s="8"/>
      <c r="J174" s="8"/>
    </row>
    <row r="175" spans="1:10" ht="12.75">
      <c r="A175" s="3" t="s">
        <v>122</v>
      </c>
      <c r="B175" s="36"/>
      <c r="C175" s="36">
        <f aca="true" t="shared" si="30" ref="C175:H175">C143/C54</f>
        <v>259.2</v>
      </c>
      <c r="D175" s="36">
        <f t="shared" si="30"/>
        <v>41.707636363636425</v>
      </c>
      <c r="E175" s="36">
        <f t="shared" si="30"/>
        <v>44.627170909091035</v>
      </c>
      <c r="F175" s="36">
        <f t="shared" si="30"/>
        <v>47.75107287272728</v>
      </c>
      <c r="G175" s="36">
        <f t="shared" si="30"/>
        <v>51.09364797381813</v>
      </c>
      <c r="H175" s="36">
        <f t="shared" si="30"/>
        <v>-308.87120526545453</v>
      </c>
      <c r="I175" s="8"/>
      <c r="J175" s="8"/>
    </row>
    <row r="176" spans="9:10" ht="12.75">
      <c r="I176" s="8"/>
      <c r="J176" s="8"/>
    </row>
    <row r="177" spans="1:10" ht="12.75">
      <c r="A177" s="8" t="s">
        <v>52</v>
      </c>
      <c r="B177" s="36"/>
      <c r="C177" s="36"/>
      <c r="D177" s="36"/>
      <c r="E177" s="36"/>
      <c r="F177" s="36"/>
      <c r="G177" s="36"/>
      <c r="H177" s="36">
        <f>H144/H54</f>
        <v>1887.6375000000005</v>
      </c>
      <c r="I177" s="8"/>
      <c r="J177" s="8"/>
    </row>
    <row r="178" spans="1:10" ht="12.75">
      <c r="A178" s="8" t="s">
        <v>20</v>
      </c>
      <c r="B178" s="36">
        <f aca="true" t="shared" si="31" ref="B178:H178">B145/B54</f>
        <v>0</v>
      </c>
      <c r="C178" s="36">
        <f t="shared" si="31"/>
        <v>52.87626999999998</v>
      </c>
      <c r="D178" s="36">
        <f t="shared" si="31"/>
        <v>185.106110909091</v>
      </c>
      <c r="E178" s="36">
        <f t="shared" si="31"/>
        <v>316.0809678677692</v>
      </c>
      <c r="F178" s="36">
        <f t="shared" si="31"/>
        <v>446.2468629690765</v>
      </c>
      <c r="G178" s="36">
        <f t="shared" si="31"/>
        <v>578.3241615716796</v>
      </c>
      <c r="H178" s="36">
        <f t="shared" si="31"/>
        <v>0</v>
      </c>
      <c r="I178" s="8"/>
      <c r="J178" s="8"/>
    </row>
    <row r="179" spans="1:10" ht="12.75">
      <c r="A179" s="57" t="s">
        <v>19</v>
      </c>
      <c r="B179" s="41">
        <f>SUM(B172:B178)</f>
        <v>8389.5</v>
      </c>
      <c r="C179" s="41">
        <f aca="true" t="shared" si="32" ref="C179:H179">SUM(C172:C178)</f>
        <v>4353.036406363636</v>
      </c>
      <c r="D179" s="41">
        <f t="shared" si="32"/>
        <v>3892.459689421488</v>
      </c>
      <c r="E179" s="41">
        <f t="shared" si="32"/>
        <v>4019.5591341187082</v>
      </c>
      <c r="F179" s="41">
        <f t="shared" si="32"/>
        <v>4150.892757726648</v>
      </c>
      <c r="G179" s="41">
        <f t="shared" si="32"/>
        <v>4281.933980802132</v>
      </c>
      <c r="H179" s="41">
        <f t="shared" si="32"/>
        <v>1063.980952625455</v>
      </c>
      <c r="I179" s="8"/>
      <c r="J179" s="8"/>
    </row>
    <row r="180" spans="1:10" ht="12.75">
      <c r="A180" s="65"/>
      <c r="B180" s="66"/>
      <c r="C180" s="66"/>
      <c r="D180" s="66"/>
      <c r="E180" s="66"/>
      <c r="F180" s="66"/>
      <c r="G180" s="66"/>
      <c r="H180" s="66"/>
      <c r="I180" s="8"/>
      <c r="J180" s="8"/>
    </row>
    <row r="181" spans="1:10" ht="12.75">
      <c r="A181" s="56" t="s">
        <v>114</v>
      </c>
      <c r="B181" s="33"/>
      <c r="C181" s="33"/>
      <c r="D181" s="33"/>
      <c r="E181" s="33"/>
      <c r="F181" s="33"/>
      <c r="G181" s="33"/>
      <c r="H181" s="33"/>
      <c r="I181" s="8"/>
      <c r="J181" s="8"/>
    </row>
    <row r="182" spans="1:10" ht="12.75">
      <c r="A182" s="56" t="s">
        <v>104</v>
      </c>
      <c r="B182" s="33">
        <f>B170-B179</f>
        <v>-8389.5</v>
      </c>
      <c r="C182" s="33">
        <f aca="true" t="shared" si="33" ref="C182:H182">C170-C179</f>
        <v>1785.3955936363627</v>
      </c>
      <c r="D182" s="33">
        <f t="shared" si="33"/>
        <v>1741.1868560330581</v>
      </c>
      <c r="E182" s="33">
        <f t="shared" si="33"/>
        <v>2002.3690113358389</v>
      </c>
      <c r="F182" s="33">
        <f t="shared" si="33"/>
        <v>2286.4966997279007</v>
      </c>
      <c r="G182" s="33">
        <f t="shared" si="33"/>
        <v>2599.9990804924146</v>
      </c>
      <c r="H182" s="33">
        <f t="shared" si="33"/>
        <v>2263.103592829091</v>
      </c>
      <c r="I182" s="8"/>
      <c r="J182" s="8"/>
    </row>
    <row r="183" spans="1:10" ht="12.75">
      <c r="A183" s="9" t="s">
        <v>95</v>
      </c>
      <c r="B183" s="42">
        <f>B150</f>
        <v>0.06818181818181811</v>
      </c>
      <c r="I183" s="8"/>
      <c r="J183" s="8"/>
    </row>
    <row r="184" spans="1:10" ht="12.75">
      <c r="A184" s="7" t="s">
        <v>60</v>
      </c>
      <c r="B184" s="43">
        <f>NPV(B183,C182:H182)+B182</f>
        <v>1600.1523630781103</v>
      </c>
      <c r="C184" s="7"/>
      <c r="D184" s="7"/>
      <c r="E184" s="7"/>
      <c r="F184" s="7"/>
      <c r="G184" s="7"/>
      <c r="H184" s="7"/>
      <c r="I184" s="8"/>
      <c r="J184" s="8"/>
    </row>
    <row r="185" spans="1:10" ht="12.75">
      <c r="A185" s="7" t="s">
        <v>21</v>
      </c>
      <c r="B185" s="47">
        <f>IRR(B182:H182)</f>
        <v>0.12365416102357285</v>
      </c>
      <c r="C185" s="7"/>
      <c r="D185" s="7"/>
      <c r="E185" s="7"/>
      <c r="F185" s="7"/>
      <c r="G185" s="7"/>
      <c r="H185" s="7"/>
      <c r="I185" s="8"/>
      <c r="J185" s="8"/>
    </row>
    <row r="186" spans="9:10" ht="12.75">
      <c r="I186" s="8"/>
      <c r="J186" s="8"/>
    </row>
    <row r="187" spans="1:10" ht="12.75">
      <c r="A187" s="56" t="s">
        <v>115</v>
      </c>
      <c r="B187" s="33"/>
      <c r="C187" s="33"/>
      <c r="D187" s="33"/>
      <c r="E187" s="33"/>
      <c r="F187" s="33"/>
      <c r="G187" s="33"/>
      <c r="H187" s="33"/>
      <c r="I187" s="8"/>
      <c r="J187" s="8"/>
    </row>
    <row r="188" spans="1:10" ht="12.75">
      <c r="A188" s="56" t="s">
        <v>117</v>
      </c>
      <c r="B188" s="33">
        <f aca="true" t="shared" si="34" ref="B188:H188">B182+IF($B$22=1,B67/B54,B78/B54)</f>
        <v>-4194.75</v>
      </c>
      <c r="C188" s="33">
        <f t="shared" si="34"/>
        <v>450.7024118181812</v>
      </c>
      <c r="D188" s="33">
        <f t="shared" si="34"/>
        <v>631.8314841322322</v>
      </c>
      <c r="E188" s="33">
        <f t="shared" si="34"/>
        <v>1088.41146062209</v>
      </c>
      <c r="F188" s="33">
        <f t="shared" si="34"/>
        <v>1541.5783198358172</v>
      </c>
      <c r="G188" s="33">
        <f t="shared" si="34"/>
        <v>2000.9388449148648</v>
      </c>
      <c r="H188" s="33">
        <f t="shared" si="34"/>
        <v>2263.103592829091</v>
      </c>
      <c r="I188" s="8"/>
      <c r="J188" s="8"/>
    </row>
    <row r="189" spans="1:10" ht="15.75">
      <c r="A189" s="60" t="s">
        <v>118</v>
      </c>
      <c r="B189" s="61">
        <f>(1+B49)/(1+B4)-1</f>
        <v>0.09090909090909083</v>
      </c>
      <c r="I189" s="8"/>
      <c r="J189" s="8"/>
    </row>
    <row r="190" spans="1:10" ht="12.75">
      <c r="A190" s="59" t="s">
        <v>60</v>
      </c>
      <c r="B190" s="43">
        <f>NPV(B189,C188:H188)+B188</f>
        <v>1313.8640245277775</v>
      </c>
      <c r="I190" s="8"/>
      <c r="J190" s="8"/>
    </row>
    <row r="191" spans="1:10" ht="12.75">
      <c r="A191" s="59" t="s">
        <v>21</v>
      </c>
      <c r="B191" s="47">
        <f>IRR(B188:H188)</f>
        <v>0.16642452317319645</v>
      </c>
      <c r="I191" s="8"/>
      <c r="J191" s="8"/>
    </row>
    <row r="192" spans="1:10" ht="12.75">
      <c r="A192" s="65"/>
      <c r="B192" s="66"/>
      <c r="C192" s="66"/>
      <c r="D192" s="66"/>
      <c r="E192" s="66"/>
      <c r="F192" s="66"/>
      <c r="G192" s="66"/>
      <c r="H192" s="66"/>
      <c r="I192" s="8"/>
      <c r="J192" s="8"/>
    </row>
    <row r="193" spans="1:10" ht="12.7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2.7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2.7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2.7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2.7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2.7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2.7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2.7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2.7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2.7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2.7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2.7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2.7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2.7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2.7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2.7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2.7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2.7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2.7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2.7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2.7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2.7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2.7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2.7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2.7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2.7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2.7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2.7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2.7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2.7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2.7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2.7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2.7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2.7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2.7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2.7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2.7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2.7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2.7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2.7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2.7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2.7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2.7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2.7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2.7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2.7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2.7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2.7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2.7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2.7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2.7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2.7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2.7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2.7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2.7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2.7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2.7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2.7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2.7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2.7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2.7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2.7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2.7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2.7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2.7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2.7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2.7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2.7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2.7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2.7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2.7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2.7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2.7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2.75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12.75">
      <c r="A267" s="8"/>
      <c r="B267" s="8"/>
      <c r="C267" s="8"/>
      <c r="D267" s="8"/>
      <c r="E267" s="8"/>
      <c r="F267" s="8"/>
      <c r="G267" s="8"/>
      <c r="H267" s="8"/>
      <c r="I267" s="8"/>
      <c r="J267" s="8"/>
    </row>
  </sheetData>
  <sheetProtection/>
  <printOptions gridLines="1" headings="1"/>
  <pageMargins left="1.5" right="1.25" top="1.25" bottom="1.25" header="0.5" footer="0.5"/>
  <pageSetup blackAndWhite="1" fitToHeight="1" fitToWidth="1" horizontalDpi="600" verticalDpi="600" orientation="landscape" paperSize="9" scal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270"/>
  <sheetViews>
    <sheetView tabSelected="1" zoomScalePageLayoutView="0" workbookViewId="0" topLeftCell="A145">
      <selection activeCell="B152" sqref="B152"/>
    </sheetView>
  </sheetViews>
  <sheetFormatPr defaultColWidth="9.140625" defaultRowHeight="12.75"/>
  <cols>
    <col min="1" max="1" width="41.28125" style="3" customWidth="1"/>
    <col min="2" max="8" width="11.140625" style="3" customWidth="1"/>
    <col min="9" max="9" width="2.8515625" style="3" customWidth="1"/>
    <col min="10" max="10" width="10.28125" style="3" bestFit="1" customWidth="1"/>
    <col min="11" max="11" width="2.7109375" style="3" customWidth="1"/>
    <col min="12" max="12" width="10.421875" style="3" customWidth="1"/>
    <col min="13" max="16384" width="9.140625" style="3" customWidth="1"/>
  </cols>
  <sheetData>
    <row r="1" ht="12.75">
      <c r="A1" s="7" t="s">
        <v>83</v>
      </c>
    </row>
    <row r="2" spans="1:8" ht="13.5" thickBot="1">
      <c r="A2" s="2" t="s">
        <v>56</v>
      </c>
      <c r="B2" s="67">
        <v>2013</v>
      </c>
      <c r="C2" s="67">
        <v>2014</v>
      </c>
      <c r="D2" s="67">
        <v>2015</v>
      </c>
      <c r="E2" s="67">
        <v>2016</v>
      </c>
      <c r="F2" s="67">
        <v>2017</v>
      </c>
      <c r="G2" s="67">
        <v>2018</v>
      </c>
      <c r="H2" s="67">
        <v>2019</v>
      </c>
    </row>
    <row r="3" ht="13.5" thickTop="1">
      <c r="A3" s="2" t="s">
        <v>57</v>
      </c>
    </row>
    <row r="4" spans="1:3" ht="12.75">
      <c r="A4" s="3" t="s">
        <v>10</v>
      </c>
      <c r="B4" s="4">
        <v>0.1</v>
      </c>
      <c r="C4" s="5"/>
    </row>
    <row r="5" spans="1:3" ht="12.75">
      <c r="A5" s="3" t="s">
        <v>34</v>
      </c>
      <c r="B5" s="46">
        <v>21000</v>
      </c>
      <c r="C5" s="3" t="s">
        <v>79</v>
      </c>
    </row>
    <row r="6" spans="1:3" ht="12.75">
      <c r="A6" s="7" t="s">
        <v>99</v>
      </c>
      <c r="B6" s="8"/>
      <c r="C6" s="9"/>
    </row>
    <row r="7" spans="1:3" ht="12.75">
      <c r="A7" s="3" t="s">
        <v>38</v>
      </c>
      <c r="B7" s="46">
        <v>47000</v>
      </c>
      <c r="C7" s="3" t="s">
        <v>23</v>
      </c>
    </row>
    <row r="8" spans="1:3" ht="12.75">
      <c r="A8" s="3" t="s">
        <v>33</v>
      </c>
      <c r="B8" s="10">
        <v>0.7</v>
      </c>
      <c r="C8" s="9"/>
    </row>
    <row r="9" spans="1:3" ht="12.75">
      <c r="A9" s="3" t="s">
        <v>82</v>
      </c>
      <c r="B9" s="8">
        <v>5</v>
      </c>
      <c r="C9" s="3" t="s">
        <v>2</v>
      </c>
    </row>
    <row r="10" spans="1:3" ht="12.75">
      <c r="A10" s="3" t="s">
        <v>86</v>
      </c>
      <c r="B10" s="8">
        <v>1</v>
      </c>
      <c r="C10" s="3" t="s">
        <v>2</v>
      </c>
    </row>
    <row r="11" spans="1:3" ht="12.75">
      <c r="A11" s="80" t="s">
        <v>141</v>
      </c>
      <c r="B11" s="81">
        <v>1200</v>
      </c>
      <c r="C11" s="80" t="s">
        <v>41</v>
      </c>
    </row>
    <row r="12" ht="12.75">
      <c r="A12" s="7" t="s">
        <v>49</v>
      </c>
    </row>
    <row r="13" spans="1:3" ht="12.75">
      <c r="A13" s="3" t="s">
        <v>48</v>
      </c>
      <c r="B13" s="3">
        <v>10</v>
      </c>
      <c r="C13" s="3" t="s">
        <v>9</v>
      </c>
    </row>
    <row r="14" spans="1:3" ht="12.75">
      <c r="A14" s="3" t="s">
        <v>49</v>
      </c>
      <c r="B14" s="3">
        <v>5</v>
      </c>
      <c r="C14" s="3" t="s">
        <v>9</v>
      </c>
    </row>
    <row r="15" spans="1:3" ht="12.75">
      <c r="A15" s="3" t="s">
        <v>51</v>
      </c>
      <c r="B15" s="3">
        <v>1</v>
      </c>
      <c r="C15" s="3" t="s">
        <v>9</v>
      </c>
    </row>
    <row r="16" spans="1:3" ht="12.75">
      <c r="A16" s="3" t="s">
        <v>52</v>
      </c>
      <c r="B16" s="6">
        <v>0.45</v>
      </c>
      <c r="C16" s="3" t="s">
        <v>53</v>
      </c>
    </row>
    <row r="17" ht="12.75">
      <c r="A17" s="7" t="s">
        <v>7</v>
      </c>
    </row>
    <row r="18" spans="1:3" ht="12.75">
      <c r="A18" s="3" t="s">
        <v>39</v>
      </c>
      <c r="B18" s="12">
        <v>0.5</v>
      </c>
      <c r="C18" s="3" t="s">
        <v>46</v>
      </c>
    </row>
    <row r="19" spans="1:2" ht="12.75">
      <c r="A19" s="3" t="s">
        <v>111</v>
      </c>
      <c r="B19" s="12">
        <f>(1+15%)/(1+10%)-1</f>
        <v>0.04545454545454519</v>
      </c>
    </row>
    <row r="20" spans="1:2" ht="12.75">
      <c r="A20" s="3" t="s">
        <v>110</v>
      </c>
      <c r="B20" s="6">
        <f>(1+B19)*(1+B4)-1</f>
        <v>0.1499999999999999</v>
      </c>
    </row>
    <row r="21" spans="1:3" ht="12.75">
      <c r="A21" s="3" t="s">
        <v>8</v>
      </c>
      <c r="B21" s="13">
        <v>5</v>
      </c>
      <c r="C21" s="14" t="s">
        <v>9</v>
      </c>
    </row>
    <row r="22" spans="1:3" ht="12.75">
      <c r="A22" s="3" t="s">
        <v>126</v>
      </c>
      <c r="B22" s="13">
        <v>1</v>
      </c>
      <c r="C22" s="14"/>
    </row>
    <row r="23" spans="1:3" ht="12.75">
      <c r="A23" s="3" t="s">
        <v>125</v>
      </c>
      <c r="B23" s="13"/>
      <c r="C23" s="14"/>
    </row>
    <row r="24" ht="12.75">
      <c r="A24" s="7" t="s">
        <v>0</v>
      </c>
    </row>
    <row r="25" spans="1:3" ht="12.75">
      <c r="A25" s="3" t="s">
        <v>61</v>
      </c>
      <c r="B25" s="3">
        <v>15</v>
      </c>
      <c r="C25" s="3" t="s">
        <v>45</v>
      </c>
    </row>
    <row r="26" spans="1:3" ht="12.75">
      <c r="A26" s="3" t="s">
        <v>62</v>
      </c>
      <c r="B26" s="3">
        <v>8</v>
      </c>
      <c r="C26" s="3" t="s">
        <v>88</v>
      </c>
    </row>
    <row r="27" spans="1:5" ht="12.75">
      <c r="A27" s="3" t="s">
        <v>3</v>
      </c>
      <c r="B27" s="3">
        <v>360</v>
      </c>
      <c r="C27" s="3" t="s">
        <v>44</v>
      </c>
      <c r="E27" s="45"/>
    </row>
    <row r="28" spans="1:2" ht="12.75">
      <c r="A28" s="3" t="s">
        <v>80</v>
      </c>
      <c r="B28" s="6">
        <v>0.07</v>
      </c>
    </row>
    <row r="29" spans="1:3" ht="12.75">
      <c r="A29" s="3" t="s">
        <v>81</v>
      </c>
      <c r="B29" s="3">
        <v>60</v>
      </c>
      <c r="C29" s="3" t="s">
        <v>63</v>
      </c>
    </row>
    <row r="30" spans="1:3" ht="12.75">
      <c r="A30" s="3" t="s">
        <v>64</v>
      </c>
      <c r="B30" s="46">
        <v>5000</v>
      </c>
      <c r="C30" s="3" t="s">
        <v>66</v>
      </c>
    </row>
    <row r="31" spans="1:2" ht="12.75">
      <c r="A31" s="3" t="s">
        <v>84</v>
      </c>
      <c r="B31" s="48">
        <v>0.1</v>
      </c>
    </row>
    <row r="32" spans="1:2" ht="12.75">
      <c r="A32" s="3" t="s">
        <v>65</v>
      </c>
      <c r="B32" s="6">
        <v>0.5</v>
      </c>
    </row>
    <row r="33" ht="12.75">
      <c r="A33" s="7" t="s">
        <v>11</v>
      </c>
    </row>
    <row r="34" spans="1:3" ht="12.75">
      <c r="A34" s="3" t="s">
        <v>70</v>
      </c>
      <c r="B34" s="3">
        <v>0.32</v>
      </c>
      <c r="C34" s="3" t="s">
        <v>73</v>
      </c>
    </row>
    <row r="35" spans="1:3" ht="12.75">
      <c r="A35" s="3" t="s">
        <v>71</v>
      </c>
      <c r="B35" s="46">
        <v>21500</v>
      </c>
      <c r="C35" s="3" t="s">
        <v>72</v>
      </c>
    </row>
    <row r="36" spans="1:3" ht="12.75">
      <c r="A36" s="3" t="s">
        <v>67</v>
      </c>
      <c r="B36" s="46">
        <v>8000000</v>
      </c>
      <c r="C36" s="3" t="s">
        <v>66</v>
      </c>
    </row>
    <row r="37" spans="1:3" ht="12.75">
      <c r="A37" s="3" t="s">
        <v>68</v>
      </c>
      <c r="B37" s="46">
        <v>5000000</v>
      </c>
      <c r="C37" s="3" t="s">
        <v>66</v>
      </c>
    </row>
    <row r="38" spans="1:3" ht="12.75">
      <c r="A38" s="3" t="s">
        <v>12</v>
      </c>
      <c r="B38" s="46">
        <v>12000000</v>
      </c>
      <c r="C38" s="3" t="s">
        <v>74</v>
      </c>
    </row>
    <row r="39" spans="1:2" ht="12.75">
      <c r="A39" s="3" t="s">
        <v>75</v>
      </c>
      <c r="B39" s="11">
        <v>0.0185</v>
      </c>
    </row>
    <row r="40" spans="1:2" ht="12.75">
      <c r="A40" s="3" t="s">
        <v>76</v>
      </c>
      <c r="B40" s="11">
        <v>0.0191</v>
      </c>
    </row>
    <row r="41" spans="1:3" ht="12.75">
      <c r="A41" s="3" t="s">
        <v>24</v>
      </c>
      <c r="B41" s="46">
        <v>935</v>
      </c>
      <c r="C41" s="3" t="s">
        <v>41</v>
      </c>
    </row>
    <row r="42" ht="12.75">
      <c r="A42" s="7" t="s">
        <v>4</v>
      </c>
    </row>
    <row r="43" spans="1:3" ht="12.75">
      <c r="A43" s="3" t="s">
        <v>134</v>
      </c>
      <c r="B43" s="6">
        <v>0.05</v>
      </c>
      <c r="C43" s="3" t="s">
        <v>32</v>
      </c>
    </row>
    <row r="44" spans="1:3" ht="12.75">
      <c r="A44" s="3" t="s">
        <v>5</v>
      </c>
      <c r="B44" s="6">
        <v>0.25</v>
      </c>
      <c r="C44" s="3" t="s">
        <v>93</v>
      </c>
    </row>
    <row r="45" spans="1:3" ht="12.75">
      <c r="A45" s="3" t="s">
        <v>43</v>
      </c>
      <c r="B45" s="6">
        <v>0</v>
      </c>
      <c r="C45" s="3" t="s">
        <v>32</v>
      </c>
    </row>
    <row r="46" spans="1:3" ht="12.75">
      <c r="A46" s="3" t="s">
        <v>6</v>
      </c>
      <c r="B46" s="6">
        <v>0.5</v>
      </c>
      <c r="C46" s="3" t="s">
        <v>54</v>
      </c>
    </row>
    <row r="47" ht="12.75">
      <c r="A47" s="7" t="s">
        <v>58</v>
      </c>
    </row>
    <row r="48" spans="1:2" ht="12.75">
      <c r="A48" s="3" t="s">
        <v>132</v>
      </c>
      <c r="B48" s="6">
        <v>0.22</v>
      </c>
    </row>
    <row r="49" spans="1:2" ht="12.75">
      <c r="A49" s="3" t="s">
        <v>131</v>
      </c>
      <c r="B49" s="6">
        <f>1.2/1.1*(1+B4)-1</f>
        <v>0.19999999999999996</v>
      </c>
    </row>
    <row r="51" spans="2:8" ht="13.5" thickBot="1">
      <c r="B51" s="67">
        <v>2013</v>
      </c>
      <c r="C51" s="67">
        <v>2014</v>
      </c>
      <c r="D51" s="67">
        <v>2015</v>
      </c>
      <c r="E51" s="67">
        <v>2016</v>
      </c>
      <c r="F51" s="67">
        <v>2017</v>
      </c>
      <c r="G51" s="67">
        <v>2018</v>
      </c>
      <c r="H51" s="67">
        <v>2019</v>
      </c>
    </row>
    <row r="52" spans="1:8" ht="13.5" thickTop="1">
      <c r="A52" s="7" t="s">
        <v>120</v>
      </c>
      <c r="B52" s="7"/>
      <c r="C52" s="7"/>
      <c r="D52" s="7"/>
      <c r="E52" s="7"/>
      <c r="F52" s="7"/>
      <c r="G52" s="7"/>
      <c r="H52" s="7"/>
    </row>
    <row r="53" spans="1:8" ht="13.5" thickBot="1">
      <c r="A53" s="17"/>
      <c r="B53" s="18">
        <v>0</v>
      </c>
      <c r="C53" s="18">
        <v>1</v>
      </c>
      <c r="D53" s="18">
        <v>2</v>
      </c>
      <c r="E53" s="18">
        <v>3</v>
      </c>
      <c r="F53" s="18">
        <v>4</v>
      </c>
      <c r="G53" s="18">
        <v>5</v>
      </c>
      <c r="H53" s="18">
        <v>6</v>
      </c>
    </row>
    <row r="54" spans="1:8" ht="13.5" thickTop="1">
      <c r="A54" s="19" t="s">
        <v>121</v>
      </c>
      <c r="B54" s="69">
        <f aca="true" t="shared" si="0" ref="B54:H54">(1+$B$4)^B53</f>
        <v>1</v>
      </c>
      <c r="C54" s="69">
        <f t="shared" si="0"/>
        <v>1.1</v>
      </c>
      <c r="D54" s="69">
        <f t="shared" si="0"/>
        <v>1.2100000000000002</v>
      </c>
      <c r="E54" s="69">
        <f t="shared" si="0"/>
        <v>1.3310000000000004</v>
      </c>
      <c r="F54" s="69">
        <f t="shared" si="0"/>
        <v>1.4641000000000004</v>
      </c>
      <c r="G54" s="69">
        <f t="shared" si="0"/>
        <v>1.6105100000000006</v>
      </c>
      <c r="H54" s="69">
        <f t="shared" si="0"/>
        <v>1.7715610000000008</v>
      </c>
    </row>
    <row r="55" spans="1:8" ht="12.75">
      <c r="A55" s="19"/>
      <c r="B55" s="68"/>
      <c r="C55" s="68"/>
      <c r="D55" s="68"/>
      <c r="E55" s="68"/>
      <c r="F55" s="68"/>
      <c r="G55" s="68"/>
      <c r="H55" s="68"/>
    </row>
    <row r="56" spans="1:4" ht="12.75">
      <c r="A56" s="19"/>
      <c r="B56" s="22" t="s">
        <v>35</v>
      </c>
      <c r="C56" s="23"/>
      <c r="D56" s="23"/>
    </row>
    <row r="57" spans="1:2" ht="13.5" thickBot="1">
      <c r="A57" s="7" t="s">
        <v>30</v>
      </c>
      <c r="B57" s="24">
        <v>0</v>
      </c>
    </row>
    <row r="58" spans="1:2" ht="13.5" thickTop="1">
      <c r="A58" s="3" t="s">
        <v>138</v>
      </c>
      <c r="B58" s="1">
        <f>B9*B7*(1+B8)*B5/10^6</f>
        <v>8389.5</v>
      </c>
    </row>
    <row r="59" spans="1:2" ht="12.75">
      <c r="A59" s="94" t="s">
        <v>142</v>
      </c>
      <c r="B59" s="95">
        <f>B11</f>
        <v>1200</v>
      </c>
    </row>
    <row r="60" spans="1:2" ht="12.75">
      <c r="A60" s="3" t="s">
        <v>139</v>
      </c>
      <c r="B60" s="1">
        <f>B58+B59</f>
        <v>9589.5</v>
      </c>
    </row>
    <row r="61" ht="12.75">
      <c r="B61" s="1"/>
    </row>
    <row r="62" spans="1:3" ht="12.75">
      <c r="A62" s="27" t="s">
        <v>127</v>
      </c>
      <c r="B62" s="22" t="s">
        <v>35</v>
      </c>
      <c r="C62" s="19"/>
    </row>
    <row r="63" spans="1:8" ht="13.5" thickBot="1">
      <c r="A63" s="17"/>
      <c r="B63" s="18">
        <v>0</v>
      </c>
      <c r="C63" s="18">
        <v>1</v>
      </c>
      <c r="D63" s="18">
        <v>2</v>
      </c>
      <c r="E63" s="18">
        <v>3</v>
      </c>
      <c r="F63" s="18">
        <v>4</v>
      </c>
      <c r="G63" s="18">
        <v>5</v>
      </c>
      <c r="H63" s="18">
        <v>6</v>
      </c>
    </row>
    <row r="64" spans="1:7" ht="13.5" thickTop="1">
      <c r="A64" s="3" t="s">
        <v>14</v>
      </c>
      <c r="B64" s="1"/>
      <c r="C64" s="1">
        <f>B68</f>
        <v>4194.75</v>
      </c>
      <c r="D64" s="1">
        <f>C68</f>
        <v>3355.8</v>
      </c>
      <c r="E64" s="1">
        <f>D68</f>
        <v>2516.8500000000004</v>
      </c>
      <c r="F64" s="1">
        <f>E68</f>
        <v>1677.9000000000003</v>
      </c>
      <c r="G64" s="1">
        <f>F68</f>
        <v>838.9500000000003</v>
      </c>
    </row>
    <row r="65" spans="1:7" ht="12.75">
      <c r="A65" s="3" t="s">
        <v>108</v>
      </c>
      <c r="B65" s="44">
        <f>B58*B18</f>
        <v>4194.75</v>
      </c>
      <c r="C65" s="1"/>
      <c r="D65" s="1"/>
      <c r="E65" s="1"/>
      <c r="F65" s="1"/>
      <c r="G65" s="1"/>
    </row>
    <row r="66" spans="1:7" ht="12.75">
      <c r="A66" s="3" t="s">
        <v>109</v>
      </c>
      <c r="B66" s="1">
        <f aca="true" t="shared" si="1" ref="B66:G66">B64*$B$20</f>
        <v>0</v>
      </c>
      <c r="C66" s="1">
        <f t="shared" si="1"/>
        <v>629.2124999999996</v>
      </c>
      <c r="D66" s="1">
        <f t="shared" si="1"/>
        <v>503.3699999999997</v>
      </c>
      <c r="E66" s="1">
        <f t="shared" si="1"/>
        <v>377.5274999999998</v>
      </c>
      <c r="F66" s="1">
        <f t="shared" si="1"/>
        <v>251.6849999999999</v>
      </c>
      <c r="G66" s="1">
        <f t="shared" si="1"/>
        <v>125.84249999999997</v>
      </c>
    </row>
    <row r="67" spans="1:7" ht="12.75">
      <c r="A67" s="3" t="s">
        <v>129</v>
      </c>
      <c r="B67" s="1"/>
      <c r="C67" s="1">
        <f>$B$68/$B$21</f>
        <v>838.95</v>
      </c>
      <c r="D67" s="1">
        <f>$B$68/$B$21</f>
        <v>838.95</v>
      </c>
      <c r="E67" s="1">
        <f>$B$68/$B$21</f>
        <v>838.95</v>
      </c>
      <c r="F67" s="1">
        <f>$B$68/$B$21</f>
        <v>838.95</v>
      </c>
      <c r="G67" s="1">
        <f>$B$68/$B$21</f>
        <v>838.95</v>
      </c>
    </row>
    <row r="68" spans="1:8" ht="12.75">
      <c r="A68" s="21" t="s">
        <v>15</v>
      </c>
      <c r="B68" s="30">
        <f aca="true" t="shared" si="2" ref="B68:G68">B64+B65-B67</f>
        <v>4194.75</v>
      </c>
      <c r="C68" s="30">
        <f t="shared" si="2"/>
        <v>3355.8</v>
      </c>
      <c r="D68" s="30">
        <f t="shared" si="2"/>
        <v>2516.8500000000004</v>
      </c>
      <c r="E68" s="30">
        <f t="shared" si="2"/>
        <v>1677.9000000000003</v>
      </c>
      <c r="F68" s="30">
        <f t="shared" si="2"/>
        <v>838.9500000000003</v>
      </c>
      <c r="G68" s="30">
        <f t="shared" si="2"/>
        <v>0</v>
      </c>
      <c r="H68" s="21"/>
    </row>
    <row r="69" spans="1:7" ht="12.75">
      <c r="A69" s="19" t="s">
        <v>106</v>
      </c>
      <c r="B69" s="31">
        <f aca="true" t="shared" si="3" ref="B69:G69">B65-B66-B67</f>
        <v>4194.75</v>
      </c>
      <c r="C69" s="31">
        <f t="shared" si="3"/>
        <v>-1468.1624999999997</v>
      </c>
      <c r="D69" s="31">
        <f t="shared" si="3"/>
        <v>-1342.3199999999997</v>
      </c>
      <c r="E69" s="31">
        <f t="shared" si="3"/>
        <v>-1216.4775</v>
      </c>
      <c r="F69" s="31">
        <f t="shared" si="3"/>
        <v>-1090.635</v>
      </c>
      <c r="G69" s="31">
        <f t="shared" si="3"/>
        <v>-964.7925</v>
      </c>
    </row>
    <row r="70" spans="1:2" ht="12.75">
      <c r="A70" s="3" t="s">
        <v>107</v>
      </c>
      <c r="B70" s="62">
        <f>IRR(B69:G69)</f>
        <v>0.1499999999999999</v>
      </c>
    </row>
    <row r="71" ht="12.75">
      <c r="B71" s="62"/>
    </row>
    <row r="72" spans="1:3" ht="12.75">
      <c r="A72" s="27" t="s">
        <v>128</v>
      </c>
      <c r="B72" s="22" t="s">
        <v>35</v>
      </c>
      <c r="C72" s="19"/>
    </row>
    <row r="73" spans="1:8" ht="13.5" thickBot="1">
      <c r="A73" s="17"/>
      <c r="B73" s="18">
        <v>0</v>
      </c>
      <c r="C73" s="18">
        <v>1</v>
      </c>
      <c r="D73" s="18">
        <v>2</v>
      </c>
      <c r="E73" s="18">
        <v>3</v>
      </c>
      <c r="F73" s="18">
        <v>4</v>
      </c>
      <c r="G73" s="18">
        <v>5</v>
      </c>
      <c r="H73" s="18">
        <v>6</v>
      </c>
    </row>
    <row r="74" spans="1:7" ht="13.5" thickTop="1">
      <c r="A74" s="3" t="s">
        <v>14</v>
      </c>
      <c r="B74" s="1"/>
      <c r="C74" s="1">
        <f>B79</f>
        <v>4194.75</v>
      </c>
      <c r="D74" s="1">
        <f>C79</f>
        <v>3572.6033363120036</v>
      </c>
      <c r="E74" s="1">
        <f>D79</f>
        <v>2857.134673070808</v>
      </c>
      <c r="F74" s="1">
        <f>E79</f>
        <v>2034.3457103434328</v>
      </c>
      <c r="G74" s="1">
        <f>F79</f>
        <v>1088.1384032069516</v>
      </c>
    </row>
    <row r="75" spans="1:7" ht="12.75">
      <c r="A75" s="3" t="s">
        <v>108</v>
      </c>
      <c r="B75" s="44">
        <f>B58*B18</f>
        <v>4194.75</v>
      </c>
      <c r="C75" s="1"/>
      <c r="D75" s="1"/>
      <c r="E75" s="1"/>
      <c r="F75" s="1"/>
      <c r="G75" s="1"/>
    </row>
    <row r="76" spans="1:7" ht="12.75">
      <c r="A76" s="3" t="s">
        <v>109</v>
      </c>
      <c r="B76" s="1">
        <f aca="true" t="shared" si="4" ref="B76:G76">B74*$B$20</f>
        <v>0</v>
      </c>
      <c r="C76" s="1">
        <f t="shared" si="4"/>
        <v>629.2124999999996</v>
      </c>
      <c r="D76" s="1">
        <f t="shared" si="4"/>
        <v>535.8905004468003</v>
      </c>
      <c r="E76" s="1">
        <f t="shared" si="4"/>
        <v>428.5702009606209</v>
      </c>
      <c r="F76" s="1">
        <f t="shared" si="4"/>
        <v>305.15185655151475</v>
      </c>
      <c r="G76" s="1">
        <f t="shared" si="4"/>
        <v>163.22076048104265</v>
      </c>
    </row>
    <row r="77" spans="1:7" ht="12.75">
      <c r="A77" s="3" t="s">
        <v>40</v>
      </c>
      <c r="B77" s="1"/>
      <c r="C77" s="1">
        <f>PMT(B20,B21,-C74)</f>
        <v>1251.359163687996</v>
      </c>
      <c r="D77" s="1">
        <f>C77</f>
        <v>1251.359163687996</v>
      </c>
      <c r="E77" s="1">
        <f>D77</f>
        <v>1251.359163687996</v>
      </c>
      <c r="F77" s="1">
        <f>E77</f>
        <v>1251.359163687996</v>
      </c>
      <c r="G77" s="1">
        <f>F77</f>
        <v>1251.359163687996</v>
      </c>
    </row>
    <row r="78" spans="1:7" ht="12.75">
      <c r="A78" s="3" t="s">
        <v>130</v>
      </c>
      <c r="B78" s="1">
        <f aca="true" t="shared" si="5" ref="B78:G78">B77-B76</f>
        <v>0</v>
      </c>
      <c r="C78" s="1">
        <f t="shared" si="5"/>
        <v>622.1466636879964</v>
      </c>
      <c r="D78" s="1">
        <f t="shared" si="5"/>
        <v>715.4686632411957</v>
      </c>
      <c r="E78" s="1">
        <f t="shared" si="5"/>
        <v>822.7889627273751</v>
      </c>
      <c r="F78" s="1">
        <f t="shared" si="5"/>
        <v>946.2073071364812</v>
      </c>
      <c r="G78" s="1">
        <f t="shared" si="5"/>
        <v>1088.1384032069534</v>
      </c>
    </row>
    <row r="79" spans="1:8" ht="12.75">
      <c r="A79" s="21" t="s">
        <v>15</v>
      </c>
      <c r="B79" s="30">
        <f aca="true" t="shared" si="6" ref="B79:G79">B74+B75-B78</f>
        <v>4194.75</v>
      </c>
      <c r="C79" s="30">
        <f t="shared" si="6"/>
        <v>3572.6033363120036</v>
      </c>
      <c r="D79" s="30">
        <f t="shared" si="6"/>
        <v>2857.134673070808</v>
      </c>
      <c r="E79" s="30">
        <f t="shared" si="6"/>
        <v>2034.3457103434328</v>
      </c>
      <c r="F79" s="30">
        <f t="shared" si="6"/>
        <v>1088.1384032069516</v>
      </c>
      <c r="G79" s="30">
        <f t="shared" si="6"/>
        <v>-1.8189894035458565E-12</v>
      </c>
      <c r="H79" s="21"/>
    </row>
    <row r="80" spans="1:7" ht="12.75">
      <c r="A80" s="19" t="s">
        <v>106</v>
      </c>
      <c r="B80" s="31">
        <f aca="true" t="shared" si="7" ref="B80:G80">B75-B76-B78</f>
        <v>4194.75</v>
      </c>
      <c r="C80" s="31">
        <f t="shared" si="7"/>
        <v>-1251.359163687996</v>
      </c>
      <c r="D80" s="31">
        <f t="shared" si="7"/>
        <v>-1251.359163687996</v>
      </c>
      <c r="E80" s="31">
        <f t="shared" si="7"/>
        <v>-1251.359163687996</v>
      </c>
      <c r="F80" s="31">
        <f t="shared" si="7"/>
        <v>-1251.359163687996</v>
      </c>
      <c r="G80" s="31">
        <f t="shared" si="7"/>
        <v>-1251.359163687996</v>
      </c>
    </row>
    <row r="81" spans="1:2" ht="12.75">
      <c r="A81" s="3" t="s">
        <v>107</v>
      </c>
      <c r="B81" s="62">
        <f>IRR(B80:G80)</f>
        <v>0.15000000000000013</v>
      </c>
    </row>
    <row r="82" ht="12.75">
      <c r="B82" s="62"/>
    </row>
    <row r="83" spans="1:2" ht="12.75">
      <c r="A83" s="7" t="s">
        <v>123</v>
      </c>
      <c r="B83" s="62"/>
    </row>
    <row r="84" spans="1:8" ht="13.5" thickBot="1">
      <c r="A84" s="17"/>
      <c r="B84" s="18">
        <v>0</v>
      </c>
      <c r="C84" s="18">
        <v>1</v>
      </c>
      <c r="D84" s="18">
        <v>2</v>
      </c>
      <c r="E84" s="18">
        <v>3</v>
      </c>
      <c r="F84" s="18">
        <v>4</v>
      </c>
      <c r="G84" s="18">
        <v>5</v>
      </c>
      <c r="H84" s="18">
        <v>6</v>
      </c>
    </row>
    <row r="85" spans="1:7" ht="13.5" thickTop="1">
      <c r="A85" s="3" t="s">
        <v>26</v>
      </c>
      <c r="B85" s="1"/>
      <c r="C85" s="1">
        <f>B88</f>
        <v>8389.5</v>
      </c>
      <c r="D85" s="1">
        <f>C88</f>
        <v>7550.55</v>
      </c>
      <c r="E85" s="1">
        <f>D88</f>
        <v>6711.6</v>
      </c>
      <c r="F85" s="1">
        <f>E88</f>
        <v>5872.650000000001</v>
      </c>
      <c r="G85" s="1">
        <f>F88</f>
        <v>5033.700000000001</v>
      </c>
    </row>
    <row r="86" spans="1:7" ht="12.75">
      <c r="A86" s="3" t="s">
        <v>27</v>
      </c>
      <c r="B86" s="1"/>
      <c r="C86" s="1">
        <f>$C$85/$B$13</f>
        <v>838.95</v>
      </c>
      <c r="D86" s="1">
        <f>$C$85/$B$13</f>
        <v>838.95</v>
      </c>
      <c r="E86" s="1">
        <f>$C$85/$B$13</f>
        <v>838.95</v>
      </c>
      <c r="F86" s="1">
        <f>$C$85/$B$13</f>
        <v>838.95</v>
      </c>
      <c r="G86" s="1">
        <f>$C$85/$B$13</f>
        <v>838.95</v>
      </c>
    </row>
    <row r="87" spans="1:7" ht="12.75">
      <c r="A87" s="3" t="s">
        <v>16</v>
      </c>
      <c r="B87" s="1"/>
      <c r="C87" s="1">
        <f>C86</f>
        <v>838.95</v>
      </c>
      <c r="D87" s="1">
        <f>C87+D86</f>
        <v>1677.9</v>
      </c>
      <c r="E87" s="1">
        <f>D87+E86</f>
        <v>2516.8500000000004</v>
      </c>
      <c r="F87" s="1">
        <f>E87+F86</f>
        <v>3355.8</v>
      </c>
      <c r="G87" s="1">
        <f>F87+G86</f>
        <v>4194.75</v>
      </c>
    </row>
    <row r="88" spans="1:8" ht="12.75">
      <c r="A88" s="21" t="s">
        <v>28</v>
      </c>
      <c r="B88" s="30">
        <f>B58</f>
        <v>8389.5</v>
      </c>
      <c r="C88" s="30">
        <f>C85-C86</f>
        <v>7550.55</v>
      </c>
      <c r="D88" s="30">
        <f>D85-D86</f>
        <v>6711.6</v>
      </c>
      <c r="E88" s="30">
        <f>E85-E86</f>
        <v>5872.650000000001</v>
      </c>
      <c r="F88" s="30">
        <f>F85-F86</f>
        <v>5033.700000000001</v>
      </c>
      <c r="G88" s="30">
        <f>G85-G86</f>
        <v>4194.750000000001</v>
      </c>
      <c r="H88" s="21"/>
    </row>
    <row r="89" ht="12.75">
      <c r="B89" s="1"/>
    </row>
    <row r="90" ht="12.75">
      <c r="B90" s="1"/>
    </row>
    <row r="91" spans="1:3" ht="12.75">
      <c r="A91" s="3" t="s">
        <v>87</v>
      </c>
      <c r="B91" s="8">
        <f>(B9-B10)*B25*B26</f>
        <v>480</v>
      </c>
      <c r="C91" s="3" t="s">
        <v>45</v>
      </c>
    </row>
    <row r="92" ht="12.75">
      <c r="B92" s="1"/>
    </row>
    <row r="93" spans="1:2" ht="12.75">
      <c r="A93" s="7" t="s">
        <v>0</v>
      </c>
      <c r="B93" s="22" t="s">
        <v>35</v>
      </c>
    </row>
    <row r="94" spans="1:8" ht="13.5" thickBot="1">
      <c r="A94" s="17"/>
      <c r="B94" s="18">
        <v>0</v>
      </c>
      <c r="C94" s="18">
        <v>1</v>
      </c>
      <c r="D94" s="18">
        <v>2</v>
      </c>
      <c r="E94" s="18">
        <v>3</v>
      </c>
      <c r="F94" s="18">
        <v>4</v>
      </c>
      <c r="G94" s="18">
        <v>5</v>
      </c>
      <c r="H94" s="18">
        <v>6</v>
      </c>
    </row>
    <row r="95" spans="1:8" ht="13.5" thickTop="1">
      <c r="A95" s="3" t="s">
        <v>85</v>
      </c>
      <c r="B95" s="1">
        <f>B30</f>
        <v>5000</v>
      </c>
      <c r="C95" s="1">
        <f>B95*(1+$B$31)</f>
        <v>5500</v>
      </c>
      <c r="D95" s="1">
        <f>C95*(1+$B$31)</f>
        <v>6050.000000000001</v>
      </c>
      <c r="E95" s="1">
        <f>D95*(1+$B$31)</f>
        <v>6655.000000000002</v>
      </c>
      <c r="F95" s="1">
        <f>E95*(1+$B$31)</f>
        <v>7320.500000000003</v>
      </c>
      <c r="G95" s="1">
        <f>F95*(1+$B$31)</f>
        <v>8052.550000000004</v>
      </c>
      <c r="H95" s="1"/>
    </row>
    <row r="96" spans="1:8" ht="12.75">
      <c r="A96" s="3" t="s">
        <v>92</v>
      </c>
      <c r="B96" s="1"/>
      <c r="C96" s="1">
        <f>C95*$B$32</f>
        <v>2750</v>
      </c>
      <c r="D96" s="1">
        <f>D95*$B$32</f>
        <v>3025.0000000000005</v>
      </c>
      <c r="E96" s="1">
        <f>E95*$B$32</f>
        <v>3327.500000000001</v>
      </c>
      <c r="F96" s="1">
        <f>F95*$B$32</f>
        <v>3660.2500000000014</v>
      </c>
      <c r="G96" s="1">
        <f>G95*$B$32</f>
        <v>4026.275000000002</v>
      </c>
      <c r="H96" s="1"/>
    </row>
    <row r="97" spans="1:8" ht="12.75">
      <c r="A97" s="3" t="s">
        <v>89</v>
      </c>
      <c r="B97" s="1"/>
      <c r="C97" s="1">
        <f>$B$29*(1+$B$28)^(C94-1)</f>
        <v>60</v>
      </c>
      <c r="D97" s="1">
        <f>$B$29*(1+$B$28)^(D94-1)</f>
        <v>64.2</v>
      </c>
      <c r="E97" s="1">
        <f>$B$29*(1+$B$28)^(E94-1)</f>
        <v>68.694</v>
      </c>
      <c r="F97" s="1">
        <f>$B$29*(1+$B$28)^(F94-1)</f>
        <v>73.50258000000001</v>
      </c>
      <c r="G97" s="1">
        <f>$B$29*(1+$B$28)^(G94-1)</f>
        <v>78.6477606</v>
      </c>
      <c r="H97" s="1"/>
    </row>
    <row r="98" spans="1:8" ht="12.75">
      <c r="A98" s="3" t="s">
        <v>90</v>
      </c>
      <c r="B98" s="1"/>
      <c r="C98" s="1">
        <f>C95*C97*$B$26*($B$9-$B$10)*$B$27/10^6</f>
        <v>3801.6</v>
      </c>
      <c r="D98" s="1">
        <f>D95*D97*$B$26*($B$9-$B$10)*$B$27/10^6</f>
        <v>4474.483200000001</v>
      </c>
      <c r="E98" s="1">
        <f>E95*E97*$B$26*($B$9-$B$10)*$B$27/10^6</f>
        <v>5266.466726400002</v>
      </c>
      <c r="F98" s="1">
        <f>F95*F97*$B$26*($B$9-$B$10)*$B$27/10^6</f>
        <v>6198.631336972804</v>
      </c>
      <c r="G98" s="1">
        <f>G95*G97*$B$26*($B$9-$B$10)*$B$27/10^6</f>
        <v>7295.789083616989</v>
      </c>
      <c r="H98" s="1"/>
    </row>
    <row r="99" spans="1:8" ht="12.75">
      <c r="A99" s="3" t="s">
        <v>91</v>
      </c>
      <c r="B99" s="1"/>
      <c r="C99" s="1">
        <f>C96*C97*$B$26*($B$9-$B$10)*$B$27/10^6</f>
        <v>1900.8</v>
      </c>
      <c r="D99" s="1">
        <f>D96*D97*$B$26*($B$9-$B$10)*$B$27/10^6</f>
        <v>2237.2416000000003</v>
      </c>
      <c r="E99" s="1">
        <f>E96*E97*$B$26*($B$9-$B$10)*$B$27/10^6</f>
        <v>2633.233363200001</v>
      </c>
      <c r="F99" s="1">
        <f>F96*F97*$B$26*($B$9-$B$10)*$B$27/10^6</f>
        <v>3099.315668486402</v>
      </c>
      <c r="G99" s="1">
        <f>G96*G97*$B$26*($B$9-$B$10)*$B$27/10^6</f>
        <v>3647.8945418084945</v>
      </c>
      <c r="H99" s="1"/>
    </row>
    <row r="100" spans="1:8" ht="12.75">
      <c r="A100" s="56" t="s">
        <v>0</v>
      </c>
      <c r="B100" s="25"/>
      <c r="C100" s="58">
        <f>(C95+C96)*C97*$B$26*($B$9-$B$10)*$B$27/10^6</f>
        <v>5702.4</v>
      </c>
      <c r="D100" s="58">
        <f>(D95+D96)*D97*$B$26*($B$9-$B$10)*$B$27/10^6</f>
        <v>6711.724800000001</v>
      </c>
      <c r="E100" s="58">
        <f>(E95+E96)*E97*$B$26*($B$9-$B$10)*$B$27/10^6</f>
        <v>7899.7000896000045</v>
      </c>
      <c r="F100" s="58">
        <f>(F95+F96)*F97*$B$26*($B$9-$B$10)*$B$27/10^6</f>
        <v>9297.947005459206</v>
      </c>
      <c r="G100" s="58">
        <f>(G95+G96)*G97*$B$26*($B$9-$B$10)*$B$27/10^6</f>
        <v>10943.683625425483</v>
      </c>
      <c r="H100" s="25"/>
    </row>
    <row r="101" spans="1:4" ht="12.75">
      <c r="A101" s="19"/>
      <c r="B101" s="19"/>
      <c r="C101" s="19"/>
      <c r="D101" s="23"/>
    </row>
    <row r="102" spans="1:2" ht="12.75">
      <c r="A102" s="7" t="s">
        <v>11</v>
      </c>
      <c r="B102" s="22" t="s">
        <v>35</v>
      </c>
    </row>
    <row r="103" spans="1:8" ht="13.5" thickBot="1">
      <c r="A103" s="17"/>
      <c r="B103" s="18">
        <v>0</v>
      </c>
      <c r="C103" s="18">
        <v>1</v>
      </c>
      <c r="D103" s="18">
        <v>2</v>
      </c>
      <c r="E103" s="18">
        <v>3</v>
      </c>
      <c r="F103" s="18">
        <v>4</v>
      </c>
      <c r="G103" s="18">
        <v>5</v>
      </c>
      <c r="H103" s="18">
        <v>6</v>
      </c>
    </row>
    <row r="104" spans="1:11" ht="13.5" thickTop="1">
      <c r="A104" s="3" t="s">
        <v>22</v>
      </c>
      <c r="B104" s="1"/>
      <c r="C104" s="1">
        <f>$B$34*$B$35*$B$91*$B$27*C54/10^6</f>
        <v>1307.7504</v>
      </c>
      <c r="D104" s="1">
        <f>$B$34*$B$35*$B$91*$B$27*D54/10^6</f>
        <v>1438.5254400000003</v>
      </c>
      <c r="E104" s="1">
        <f>$B$34*$B$35*$B$91*$B$27*E54/10^6</f>
        <v>1582.3779840000004</v>
      </c>
      <c r="F104" s="1">
        <f>$B$34*$B$35*$B$91*$B$27*F54/10^6</f>
        <v>1740.6157824000006</v>
      </c>
      <c r="G104" s="1">
        <f>$B$34*$B$35*$B$91*$B$27*G54/10^6</f>
        <v>1914.6773606400006</v>
      </c>
      <c r="H104" s="26"/>
      <c r="I104" s="70"/>
      <c r="J104" s="70"/>
      <c r="K104" s="70"/>
    </row>
    <row r="105" spans="1:8" ht="12.75">
      <c r="A105" s="3" t="s">
        <v>69</v>
      </c>
      <c r="B105" s="1"/>
      <c r="C105" s="1">
        <f>($B$36+$B$37)*12*($B$9-$B$10)*C54/10^6</f>
        <v>686.4</v>
      </c>
      <c r="D105" s="1">
        <f>($B$36+$B$37)*12*($B$9-$B$10)*D54/10^6</f>
        <v>755.0400000000001</v>
      </c>
      <c r="E105" s="1">
        <f>($B$36+$B$37)*12*($B$9-$B$10)*E54/10^6</f>
        <v>830.5440000000002</v>
      </c>
      <c r="F105" s="1">
        <f>($B$36+$B$37)*12*($B$9-$B$10)*F54/10^6</f>
        <v>913.5984000000002</v>
      </c>
      <c r="G105" s="1">
        <f>($B$36+$B$37)*12*($B$9-$B$10)*G54/10^6</f>
        <v>1004.9582400000004</v>
      </c>
      <c r="H105" s="26"/>
    </row>
    <row r="106" spans="1:11" ht="12.75">
      <c r="A106" s="3" t="s">
        <v>12</v>
      </c>
      <c r="B106" s="1"/>
      <c r="C106" s="1">
        <f>$B$38*$B$9*12*C54/10^6</f>
        <v>792.0000000000001</v>
      </c>
      <c r="D106" s="1">
        <f>$B$38*$B$9*12*D54/10^6</f>
        <v>871.2000000000002</v>
      </c>
      <c r="E106" s="1">
        <f>$B$38*$B$9*12*E54/10^6</f>
        <v>958.3200000000003</v>
      </c>
      <c r="F106" s="1">
        <f>$B$38*$B$9*12*F54/10^6</f>
        <v>1054.1520000000003</v>
      </c>
      <c r="G106" s="1">
        <f>$B$38*$B$9*12*G54/10^6</f>
        <v>1159.5672000000004</v>
      </c>
      <c r="I106" s="70"/>
      <c r="J106" s="70"/>
      <c r="K106" s="70"/>
    </row>
    <row r="107" spans="1:11" ht="12.75">
      <c r="A107" s="3" t="s">
        <v>13</v>
      </c>
      <c r="B107" s="1"/>
      <c r="C107" s="1">
        <f>$B$39*$B$58</f>
        <v>155.20575</v>
      </c>
      <c r="D107" s="1">
        <f>$B$39*$B$58</f>
        <v>155.20575</v>
      </c>
      <c r="E107" s="1">
        <f>$B$39*$B$58</f>
        <v>155.20575</v>
      </c>
      <c r="F107" s="1">
        <f>$B$40*$B$58</f>
        <v>160.23945</v>
      </c>
      <c r="G107" s="1">
        <f>$B$40*$B$58</f>
        <v>160.23945</v>
      </c>
      <c r="J107" s="70"/>
      <c r="K107" s="70"/>
    </row>
    <row r="108" spans="1:7" ht="12.75">
      <c r="A108" s="3" t="s">
        <v>37</v>
      </c>
      <c r="B108" s="1"/>
      <c r="C108" s="1">
        <f>$B$41*C54</f>
        <v>1028.5</v>
      </c>
      <c r="D108" s="1">
        <f>$B$41*D54</f>
        <v>1131.3500000000001</v>
      </c>
      <c r="E108" s="1">
        <f>$B$41*E54</f>
        <v>1244.4850000000004</v>
      </c>
      <c r="F108" s="1">
        <f>$B$41*F54</f>
        <v>1368.9335000000003</v>
      </c>
      <c r="G108" s="1">
        <f>$B$41*G54</f>
        <v>1505.8268500000006</v>
      </c>
    </row>
    <row r="109" spans="1:10" s="7" customFormat="1" ht="12.75">
      <c r="A109" s="27" t="s">
        <v>124</v>
      </c>
      <c r="B109" s="28"/>
      <c r="C109" s="28">
        <f>SUM(C104:C108)</f>
        <v>3969.85615</v>
      </c>
      <c r="D109" s="28">
        <f>SUM(D104:D108)</f>
        <v>4351.321190000001</v>
      </c>
      <c r="E109" s="33">
        <f>SUM(E104:E108)</f>
        <v>4770.932734000001</v>
      </c>
      <c r="F109" s="33">
        <f>SUM(F104:F108)</f>
        <v>5237.539132400001</v>
      </c>
      <c r="G109" s="33">
        <f>SUM(G104:G108)</f>
        <v>5745.269100640002</v>
      </c>
      <c r="H109" s="56"/>
      <c r="J109" s="3"/>
    </row>
    <row r="110" spans="1:4" ht="12.75">
      <c r="A110" s="29"/>
      <c r="B110" s="29"/>
      <c r="C110" s="29"/>
      <c r="D110" s="29"/>
    </row>
    <row r="111" spans="1:8" ht="12.75">
      <c r="A111" s="7" t="s">
        <v>101</v>
      </c>
      <c r="B111" s="22" t="s">
        <v>35</v>
      </c>
      <c r="H111" s="22"/>
    </row>
    <row r="112" spans="1:8" ht="13.5" thickBot="1">
      <c r="A112" s="17"/>
      <c r="B112" s="18">
        <v>0</v>
      </c>
      <c r="C112" s="18">
        <v>1</v>
      </c>
      <c r="D112" s="18">
        <v>2</v>
      </c>
      <c r="E112" s="18">
        <v>3</v>
      </c>
      <c r="F112" s="18">
        <v>4</v>
      </c>
      <c r="G112" s="18">
        <v>5</v>
      </c>
      <c r="H112" s="18">
        <v>6</v>
      </c>
    </row>
    <row r="113" spans="1:7" ht="13.5" thickTop="1">
      <c r="A113" s="3" t="s">
        <v>0</v>
      </c>
      <c r="B113" s="1"/>
      <c r="C113" s="1">
        <f>C100</f>
        <v>5702.4</v>
      </c>
      <c r="D113" s="1">
        <f>D100</f>
        <v>6711.724800000001</v>
      </c>
      <c r="E113" s="1">
        <f>E100</f>
        <v>7899.7000896000045</v>
      </c>
      <c r="F113" s="1">
        <f>F100</f>
        <v>9297.947005459206</v>
      </c>
      <c r="G113" s="1">
        <f>G100</f>
        <v>10943.683625425483</v>
      </c>
    </row>
    <row r="114" spans="1:7" ht="12.75">
      <c r="A114" s="3" t="s">
        <v>11</v>
      </c>
      <c r="B114" s="1"/>
      <c r="C114" s="1">
        <f>C109</f>
        <v>3969.85615</v>
      </c>
      <c r="D114" s="1">
        <f>D109</f>
        <v>4351.321190000001</v>
      </c>
      <c r="E114" s="1">
        <f>E109</f>
        <v>4770.932734000001</v>
      </c>
      <c r="F114" s="1">
        <f>F109</f>
        <v>5237.539132400001</v>
      </c>
      <c r="G114" s="1">
        <f>G109</f>
        <v>5745.269100640002</v>
      </c>
    </row>
    <row r="115" spans="1:7" ht="12.75">
      <c r="A115" s="3" t="s">
        <v>123</v>
      </c>
      <c r="B115" s="1"/>
      <c r="C115" s="1">
        <f>C86</f>
        <v>838.95</v>
      </c>
      <c r="D115" s="1">
        <f>D86</f>
        <v>838.95</v>
      </c>
      <c r="E115" s="1">
        <f>E86</f>
        <v>838.95</v>
      </c>
      <c r="F115" s="1">
        <f>F86</f>
        <v>838.95</v>
      </c>
      <c r="G115" s="1">
        <f>G86</f>
        <v>838.95</v>
      </c>
    </row>
    <row r="116" spans="1:7" ht="12.75">
      <c r="A116" s="3" t="s">
        <v>1</v>
      </c>
      <c r="B116" s="1"/>
      <c r="C116" s="1">
        <f>C113-C114-C115</f>
        <v>893.5938499999995</v>
      </c>
      <c r="D116" s="1">
        <f>D113-D114-D115</f>
        <v>1521.4536100000003</v>
      </c>
      <c r="E116" s="1">
        <f>E113-E114-E115</f>
        <v>2289.817355600004</v>
      </c>
      <c r="F116" s="1">
        <f>F113-F114-F115</f>
        <v>3221.4578730592048</v>
      </c>
      <c r="G116" s="1">
        <f>G113-G114-G115</f>
        <v>4359.464524785481</v>
      </c>
    </row>
    <row r="117" spans="1:7" ht="12.75">
      <c r="A117" s="3" t="s">
        <v>17</v>
      </c>
      <c r="B117" s="1"/>
      <c r="C117" s="1">
        <f>IF($B$22=1,C66,C76)</f>
        <v>629.2124999999996</v>
      </c>
      <c r="D117" s="1">
        <f>IF($B$22=1,D66,D76)</f>
        <v>503.3699999999997</v>
      </c>
      <c r="E117" s="1">
        <f>IF($B$22=1,E66,E76)</f>
        <v>377.5274999999998</v>
      </c>
      <c r="F117" s="1">
        <f>IF($B$22=1,F66,F76)</f>
        <v>251.6849999999999</v>
      </c>
      <c r="G117" s="1">
        <f>IF($B$22=1,G66,G76)</f>
        <v>125.84249999999997</v>
      </c>
    </row>
    <row r="118" spans="1:7" ht="12.75">
      <c r="A118" s="3" t="s">
        <v>18</v>
      </c>
      <c r="B118" s="1"/>
      <c r="C118" s="1">
        <f>C116-C117</f>
        <v>264.3813499999999</v>
      </c>
      <c r="D118" s="1">
        <f>D116-D117</f>
        <v>1018.0836100000006</v>
      </c>
      <c r="E118" s="1">
        <f>E116-E117</f>
        <v>1912.289855600004</v>
      </c>
      <c r="F118" s="1">
        <f>F116-F117</f>
        <v>2969.772873059205</v>
      </c>
      <c r="G118" s="1">
        <f>G116-G117</f>
        <v>4233.622024785482</v>
      </c>
    </row>
    <row r="119" spans="1:7" ht="12.75">
      <c r="A119" s="7" t="s">
        <v>133</v>
      </c>
      <c r="B119" s="28"/>
      <c r="C119" s="28">
        <f>IF(C118&lt;0,0,C118*$B$48)</f>
        <v>58.16389699999998</v>
      </c>
      <c r="D119" s="28">
        <f>IF(D118&lt;0,0,D118*$B$48)</f>
        <v>223.97839420000014</v>
      </c>
      <c r="E119" s="28">
        <f>IF(E118&lt;0,0,E118*$B$48)</f>
        <v>420.7037682320009</v>
      </c>
      <c r="F119" s="28">
        <f>IF(F118&lt;0,0,F118*$B$48)</f>
        <v>653.3500320730251</v>
      </c>
      <c r="G119" s="28">
        <f>IF(G118&lt;0,0,G118*$B$48)</f>
        <v>931.396845452806</v>
      </c>
    </row>
    <row r="120" spans="1:8" s="7" customFormat="1" ht="12.75">
      <c r="A120" s="21" t="s">
        <v>59</v>
      </c>
      <c r="B120" s="33"/>
      <c r="C120" s="30">
        <f>C118-C119</f>
        <v>206.21745299999992</v>
      </c>
      <c r="D120" s="30">
        <f>D118-D119</f>
        <v>794.1052158000005</v>
      </c>
      <c r="E120" s="30">
        <f>E118-E119</f>
        <v>1491.586087368003</v>
      </c>
      <c r="F120" s="30">
        <f>F118-F119</f>
        <v>2316.42284098618</v>
      </c>
      <c r="G120" s="30">
        <f>G118-G119</f>
        <v>3302.225179332676</v>
      </c>
      <c r="H120" s="56"/>
    </row>
    <row r="122" spans="1:2" ht="12.75">
      <c r="A122" s="7" t="s">
        <v>4</v>
      </c>
      <c r="B122" s="22" t="s">
        <v>35</v>
      </c>
    </row>
    <row r="123" spans="1:8" ht="13.5" thickBot="1">
      <c r="A123" s="17"/>
      <c r="B123" s="18">
        <v>0</v>
      </c>
      <c r="C123" s="18">
        <v>1</v>
      </c>
      <c r="D123" s="18">
        <v>2</v>
      </c>
      <c r="E123" s="18">
        <v>3</v>
      </c>
      <c r="F123" s="18">
        <v>4</v>
      </c>
      <c r="G123" s="18">
        <v>5</v>
      </c>
      <c r="H123" s="18">
        <v>6</v>
      </c>
    </row>
    <row r="124" spans="1:8" ht="13.5" thickTop="1">
      <c r="A124" s="3" t="s">
        <v>134</v>
      </c>
      <c r="B124" s="26"/>
      <c r="C124" s="1">
        <f aca="true" t="shared" si="8" ref="C124:H124">C100*$B$43</f>
        <v>285.12</v>
      </c>
      <c r="D124" s="1">
        <f t="shared" si="8"/>
        <v>335.5862400000001</v>
      </c>
      <c r="E124" s="1">
        <f t="shared" si="8"/>
        <v>394.98500448000027</v>
      </c>
      <c r="F124" s="1">
        <f t="shared" si="8"/>
        <v>464.8973502729603</v>
      </c>
      <c r="G124" s="1">
        <f t="shared" si="8"/>
        <v>547.1841812712742</v>
      </c>
      <c r="H124" s="1">
        <f t="shared" si="8"/>
        <v>0</v>
      </c>
    </row>
    <row r="125" spans="1:8" ht="12.75">
      <c r="A125" s="3" t="s">
        <v>5</v>
      </c>
      <c r="B125" s="1"/>
      <c r="C125" s="1">
        <f aca="true" t="shared" si="9" ref="C125:H125">C99*$B$44</f>
        <v>475.2</v>
      </c>
      <c r="D125" s="1">
        <f t="shared" si="9"/>
        <v>559.3104000000001</v>
      </c>
      <c r="E125" s="1">
        <f t="shared" si="9"/>
        <v>658.3083408000002</v>
      </c>
      <c r="F125" s="1">
        <f t="shared" si="9"/>
        <v>774.8289171216005</v>
      </c>
      <c r="G125" s="1">
        <f t="shared" si="9"/>
        <v>911.9736354521236</v>
      </c>
      <c r="H125" s="1">
        <f t="shared" si="9"/>
        <v>0</v>
      </c>
    </row>
    <row r="126" spans="1:8" ht="12.75">
      <c r="A126" s="21" t="s">
        <v>6</v>
      </c>
      <c r="B126" s="30"/>
      <c r="C126" s="30">
        <f aca="true" t="shared" si="10" ref="C126:H126">(C106+C104)*$B$46</f>
        <v>1049.8752</v>
      </c>
      <c r="D126" s="30">
        <f t="shared" si="10"/>
        <v>1154.8627200000003</v>
      </c>
      <c r="E126" s="30">
        <f t="shared" si="10"/>
        <v>1270.3489920000004</v>
      </c>
      <c r="F126" s="30">
        <f t="shared" si="10"/>
        <v>1397.3838912000006</v>
      </c>
      <c r="G126" s="30">
        <f t="shared" si="10"/>
        <v>1537.1222803200005</v>
      </c>
      <c r="H126" s="30">
        <f t="shared" si="10"/>
        <v>0</v>
      </c>
    </row>
    <row r="127" spans="2:5" ht="12.75">
      <c r="B127" s="1"/>
      <c r="C127" s="31"/>
      <c r="D127" s="31"/>
      <c r="E127" s="31"/>
    </row>
    <row r="128" spans="1:2" ht="12.75">
      <c r="A128" s="7" t="s">
        <v>100</v>
      </c>
      <c r="B128" s="22" t="s">
        <v>35</v>
      </c>
    </row>
    <row r="129" spans="1:8" ht="13.5" thickBot="1">
      <c r="A129" s="17"/>
      <c r="B129" s="18">
        <v>0</v>
      </c>
      <c r="C129" s="18">
        <v>1</v>
      </c>
      <c r="D129" s="18">
        <v>2</v>
      </c>
      <c r="E129" s="18">
        <v>3</v>
      </c>
      <c r="F129" s="18">
        <v>4</v>
      </c>
      <c r="G129" s="18">
        <v>5</v>
      </c>
      <c r="H129" s="18">
        <v>6</v>
      </c>
    </row>
    <row r="130" spans="1:8" ht="13.5" thickTop="1">
      <c r="A130" s="3" t="s">
        <v>122</v>
      </c>
      <c r="B130" s="1"/>
      <c r="C130" s="31">
        <f aca="true" t="shared" si="11" ref="C130:H132">C124-B124</f>
        <v>285.12</v>
      </c>
      <c r="D130" s="31">
        <f t="shared" si="11"/>
        <v>50.466240000000084</v>
      </c>
      <c r="E130" s="31">
        <f t="shared" si="11"/>
        <v>59.39876448000018</v>
      </c>
      <c r="F130" s="31">
        <f t="shared" si="11"/>
        <v>69.91234579296002</v>
      </c>
      <c r="G130" s="31">
        <f t="shared" si="11"/>
        <v>82.28683099831386</v>
      </c>
      <c r="H130" s="71">
        <f t="shared" si="11"/>
        <v>-547.1841812712742</v>
      </c>
    </row>
    <row r="131" spans="1:8" ht="12.75">
      <c r="A131" s="3" t="s">
        <v>36</v>
      </c>
      <c r="B131" s="1"/>
      <c r="C131" s="31">
        <f t="shared" si="11"/>
        <v>475.2</v>
      </c>
      <c r="D131" s="31">
        <f t="shared" si="11"/>
        <v>84.11040000000008</v>
      </c>
      <c r="E131" s="31">
        <f t="shared" si="11"/>
        <v>98.99794080000015</v>
      </c>
      <c r="F131" s="31">
        <f t="shared" si="11"/>
        <v>116.52057632160029</v>
      </c>
      <c r="G131" s="31">
        <f t="shared" si="11"/>
        <v>137.14471833052312</v>
      </c>
      <c r="H131" s="71">
        <f t="shared" si="11"/>
        <v>-911.9736354521236</v>
      </c>
    </row>
    <row r="132" spans="1:8" ht="12.75">
      <c r="A132" s="3" t="s">
        <v>78</v>
      </c>
      <c r="B132" s="31"/>
      <c r="C132" s="31">
        <f t="shared" si="11"/>
        <v>1049.8752</v>
      </c>
      <c r="D132" s="31">
        <f t="shared" si="11"/>
        <v>104.98752000000036</v>
      </c>
      <c r="E132" s="31">
        <f t="shared" si="11"/>
        <v>115.4862720000001</v>
      </c>
      <c r="F132" s="31">
        <f t="shared" si="11"/>
        <v>127.03489920000015</v>
      </c>
      <c r="G132" s="31">
        <f t="shared" si="11"/>
        <v>139.73838911999997</v>
      </c>
      <c r="H132" s="71">
        <f t="shared" si="11"/>
        <v>-1537.1222803200005</v>
      </c>
    </row>
    <row r="133" spans="2:4" ht="12.75">
      <c r="B133" s="31"/>
      <c r="C133" s="31"/>
      <c r="D133" s="31"/>
    </row>
    <row r="134" ht="12.75">
      <c r="A134" s="7" t="s">
        <v>112</v>
      </c>
    </row>
    <row r="135" spans="1:16" ht="12.75">
      <c r="A135" s="34"/>
      <c r="B135" s="35">
        <v>0</v>
      </c>
      <c r="C135" s="35">
        <v>1</v>
      </c>
      <c r="D135" s="35">
        <v>2</v>
      </c>
      <c r="E135" s="35">
        <v>3</v>
      </c>
      <c r="F135" s="35">
        <v>4</v>
      </c>
      <c r="G135" s="35">
        <v>5</v>
      </c>
      <c r="H135" s="35">
        <v>6</v>
      </c>
      <c r="J135" s="90"/>
      <c r="K135" s="64"/>
      <c r="L135" s="91"/>
      <c r="M135" s="64"/>
      <c r="N135" s="64"/>
      <c r="O135" s="64"/>
      <c r="P135" s="64"/>
    </row>
    <row r="136" spans="1:16" ht="12.75">
      <c r="A136" s="3" t="s">
        <v>102</v>
      </c>
      <c r="B136" s="1"/>
      <c r="C136" s="1"/>
      <c r="D136" s="1"/>
      <c r="J136" s="64"/>
      <c r="K136" s="64"/>
      <c r="L136" s="64"/>
      <c r="M136" s="64"/>
      <c r="N136" s="64"/>
      <c r="O136" s="64"/>
      <c r="P136" s="64"/>
    </row>
    <row r="137" spans="1:16" ht="12.75">
      <c r="A137" s="3" t="s">
        <v>0</v>
      </c>
      <c r="B137" s="1">
        <f aca="true" t="shared" si="12" ref="B137:H137">B113</f>
        <v>0</v>
      </c>
      <c r="C137" s="1">
        <f t="shared" si="12"/>
        <v>5702.4</v>
      </c>
      <c r="D137" s="1">
        <f t="shared" si="12"/>
        <v>6711.724800000001</v>
      </c>
      <c r="E137" s="1">
        <f t="shared" si="12"/>
        <v>7899.7000896000045</v>
      </c>
      <c r="F137" s="1">
        <f t="shared" si="12"/>
        <v>9297.947005459206</v>
      </c>
      <c r="G137" s="1">
        <f t="shared" si="12"/>
        <v>10943.683625425483</v>
      </c>
      <c r="H137" s="1">
        <f t="shared" si="12"/>
        <v>0</v>
      </c>
      <c r="J137" s="92"/>
      <c r="K137" s="64"/>
      <c r="L137" s="92"/>
      <c r="M137" s="64"/>
      <c r="N137" s="64"/>
      <c r="O137" s="64"/>
      <c r="P137" s="64"/>
    </row>
    <row r="138" spans="1:16" ht="12.75">
      <c r="A138" s="3" t="s">
        <v>78</v>
      </c>
      <c r="B138" s="1">
        <f aca="true" t="shared" si="13" ref="B138:H138">B132</f>
        <v>0</v>
      </c>
      <c r="C138" s="1">
        <f t="shared" si="13"/>
        <v>1049.8752</v>
      </c>
      <c r="D138" s="1">
        <f t="shared" si="13"/>
        <v>104.98752000000036</v>
      </c>
      <c r="E138" s="1">
        <f t="shared" si="13"/>
        <v>115.4862720000001</v>
      </c>
      <c r="F138" s="1">
        <f t="shared" si="13"/>
        <v>127.03489920000015</v>
      </c>
      <c r="G138" s="1">
        <f t="shared" si="13"/>
        <v>139.73838911999997</v>
      </c>
      <c r="H138" s="1">
        <f t="shared" si="13"/>
        <v>-1537.1222803200005</v>
      </c>
      <c r="I138" s="8"/>
      <c r="J138" s="92"/>
      <c r="K138" s="64"/>
      <c r="L138" s="92"/>
      <c r="M138" s="64"/>
      <c r="N138" s="64"/>
      <c r="O138" s="64"/>
      <c r="P138" s="64"/>
    </row>
    <row r="139" spans="1:16" ht="12.75">
      <c r="A139" s="3" t="s">
        <v>42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38">
        <f>G88*H54</f>
        <v>7431.2555047500055</v>
      </c>
      <c r="I139" s="8"/>
      <c r="J139" s="92"/>
      <c r="K139" s="64"/>
      <c r="L139" s="92"/>
      <c r="M139" s="64"/>
      <c r="N139" s="64"/>
      <c r="O139" s="64"/>
      <c r="P139" s="64"/>
    </row>
    <row r="140" spans="1:16" ht="12.75">
      <c r="A140" s="3" t="s">
        <v>135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82">
        <f>B11*(1+B152)^H135</f>
        <v>3157.9732409179655</v>
      </c>
      <c r="I140" s="8"/>
      <c r="J140" s="92"/>
      <c r="K140" s="64"/>
      <c r="L140" s="92"/>
      <c r="M140" s="64"/>
      <c r="N140" s="64"/>
      <c r="O140" s="64"/>
      <c r="P140" s="64"/>
    </row>
    <row r="141" spans="1:16" ht="12.75">
      <c r="A141" s="39" t="s">
        <v>29</v>
      </c>
      <c r="B141" s="40">
        <f aca="true" t="shared" si="14" ref="B141:G141">SUM(B137:B139)</f>
        <v>0</v>
      </c>
      <c r="C141" s="40">
        <f t="shared" si="14"/>
        <v>6752.2752</v>
      </c>
      <c r="D141" s="40">
        <f t="shared" si="14"/>
        <v>6816.7123200000015</v>
      </c>
      <c r="E141" s="40">
        <f t="shared" si="14"/>
        <v>8015.186361600005</v>
      </c>
      <c r="F141" s="40">
        <f t="shared" si="14"/>
        <v>9424.981904659206</v>
      </c>
      <c r="G141" s="40">
        <f t="shared" si="14"/>
        <v>11083.422014545484</v>
      </c>
      <c r="H141" s="41">
        <f>SUM(H137:H140)</f>
        <v>9052.10646534797</v>
      </c>
      <c r="I141" s="8"/>
      <c r="J141" s="93"/>
      <c r="K141" s="64"/>
      <c r="L141" s="92"/>
      <c r="M141" s="64"/>
      <c r="N141" s="64"/>
      <c r="O141" s="64"/>
      <c r="P141" s="64"/>
    </row>
    <row r="142" spans="1:16" ht="12.75">
      <c r="A142" s="3" t="s">
        <v>103</v>
      </c>
      <c r="B142" s="1"/>
      <c r="C142" s="1"/>
      <c r="D142" s="1"/>
      <c r="H142" s="8"/>
      <c r="I142" s="8"/>
      <c r="J142" s="64"/>
      <c r="K142" s="64"/>
      <c r="L142" s="92"/>
      <c r="M142" s="64"/>
      <c r="N142" s="64"/>
      <c r="O142" s="64"/>
      <c r="P142" s="64"/>
    </row>
    <row r="143" spans="1:16" ht="12.75">
      <c r="A143" s="3" t="s">
        <v>47</v>
      </c>
      <c r="B143" s="1">
        <f>B60</f>
        <v>9589.5</v>
      </c>
      <c r="C143" s="1">
        <f aca="true" t="shared" si="15" ref="C143:H143">C58</f>
        <v>0</v>
      </c>
      <c r="D143" s="1">
        <f t="shared" si="15"/>
        <v>0</v>
      </c>
      <c r="E143" s="1">
        <f t="shared" si="15"/>
        <v>0</v>
      </c>
      <c r="F143" s="1">
        <f t="shared" si="15"/>
        <v>0</v>
      </c>
      <c r="G143" s="1">
        <f t="shared" si="15"/>
        <v>0</v>
      </c>
      <c r="H143" s="1">
        <f t="shared" si="15"/>
        <v>0</v>
      </c>
      <c r="I143" s="8"/>
      <c r="J143" s="92"/>
      <c r="K143" s="64"/>
      <c r="L143" s="92"/>
      <c r="M143" s="64"/>
      <c r="N143" s="64"/>
      <c r="O143" s="64"/>
      <c r="P143" s="64"/>
    </row>
    <row r="144" spans="1:16" ht="12.75">
      <c r="A144" s="3" t="s">
        <v>11</v>
      </c>
      <c r="B144" s="1">
        <f aca="true" t="shared" si="16" ref="B144:H144">B109</f>
        <v>0</v>
      </c>
      <c r="C144" s="1">
        <f t="shared" si="16"/>
        <v>3969.85615</v>
      </c>
      <c r="D144" s="1">
        <f t="shared" si="16"/>
        <v>4351.321190000001</v>
      </c>
      <c r="E144" s="1">
        <f t="shared" si="16"/>
        <v>4770.932734000001</v>
      </c>
      <c r="F144" s="1">
        <f t="shared" si="16"/>
        <v>5237.539132400001</v>
      </c>
      <c r="G144" s="1">
        <f t="shared" si="16"/>
        <v>5745.269100640002</v>
      </c>
      <c r="H144" s="36">
        <f t="shared" si="16"/>
        <v>0</v>
      </c>
      <c r="I144" s="8"/>
      <c r="J144" s="92"/>
      <c r="K144" s="64"/>
      <c r="L144" s="92"/>
      <c r="M144" s="64"/>
      <c r="N144" s="64"/>
      <c r="O144" s="64"/>
      <c r="P144" s="64"/>
    </row>
    <row r="145" spans="1:16" ht="12.75">
      <c r="A145" s="3" t="s">
        <v>36</v>
      </c>
      <c r="B145" s="1">
        <f aca="true" t="shared" si="17" ref="B145:H145">B131</f>
        <v>0</v>
      </c>
      <c r="C145" s="1">
        <f t="shared" si="17"/>
        <v>475.2</v>
      </c>
      <c r="D145" s="1">
        <f t="shared" si="17"/>
        <v>84.11040000000008</v>
      </c>
      <c r="E145" s="1">
        <f t="shared" si="17"/>
        <v>98.99794080000015</v>
      </c>
      <c r="F145" s="1">
        <f t="shared" si="17"/>
        <v>116.52057632160029</v>
      </c>
      <c r="G145" s="1">
        <f t="shared" si="17"/>
        <v>137.14471833052312</v>
      </c>
      <c r="H145" s="1">
        <f t="shared" si="17"/>
        <v>-911.9736354521236</v>
      </c>
      <c r="I145" s="8"/>
      <c r="J145" s="92"/>
      <c r="K145" s="64"/>
      <c r="L145" s="92"/>
      <c r="M145" s="64"/>
      <c r="N145" s="64"/>
      <c r="O145" s="64"/>
      <c r="P145" s="64"/>
    </row>
    <row r="146" spans="1:16" ht="12.75">
      <c r="A146" s="3" t="s">
        <v>122</v>
      </c>
      <c r="B146" s="1">
        <f aca="true" t="shared" si="18" ref="B146:H146">B130</f>
        <v>0</v>
      </c>
      <c r="C146" s="1">
        <f t="shared" si="18"/>
        <v>285.12</v>
      </c>
      <c r="D146" s="1">
        <f t="shared" si="18"/>
        <v>50.466240000000084</v>
      </c>
      <c r="E146" s="1">
        <f t="shared" si="18"/>
        <v>59.39876448000018</v>
      </c>
      <c r="F146" s="1">
        <f t="shared" si="18"/>
        <v>69.91234579296002</v>
      </c>
      <c r="G146" s="1">
        <f t="shared" si="18"/>
        <v>82.28683099831386</v>
      </c>
      <c r="H146" s="1">
        <f t="shared" si="18"/>
        <v>-547.1841812712742</v>
      </c>
      <c r="I146" s="8"/>
      <c r="J146" s="92"/>
      <c r="K146" s="64"/>
      <c r="L146" s="92"/>
      <c r="M146" s="64"/>
      <c r="N146" s="64"/>
      <c r="O146" s="64"/>
      <c r="P146" s="64"/>
    </row>
    <row r="147" spans="1:16" ht="12.75">
      <c r="A147" s="3" t="s">
        <v>55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36">
        <f>H139*B16</f>
        <v>3344.0649771375024</v>
      </c>
      <c r="I147" s="8"/>
      <c r="J147" s="92"/>
      <c r="K147" s="64"/>
      <c r="L147" s="92"/>
      <c r="M147" s="64"/>
      <c r="N147" s="64"/>
      <c r="O147" s="64"/>
      <c r="P147" s="64"/>
    </row>
    <row r="148" spans="1:16" ht="12.75">
      <c r="A148" s="3" t="s">
        <v>20</v>
      </c>
      <c r="B148" s="1">
        <f aca="true" t="shared" si="19" ref="B148:H148">B119</f>
        <v>0</v>
      </c>
      <c r="C148" s="1">
        <f t="shared" si="19"/>
        <v>58.16389699999998</v>
      </c>
      <c r="D148" s="1">
        <f t="shared" si="19"/>
        <v>223.97839420000014</v>
      </c>
      <c r="E148" s="1">
        <f t="shared" si="19"/>
        <v>420.7037682320009</v>
      </c>
      <c r="F148" s="1">
        <f t="shared" si="19"/>
        <v>653.3500320730251</v>
      </c>
      <c r="G148" s="1">
        <f t="shared" si="19"/>
        <v>931.396845452806</v>
      </c>
      <c r="H148" s="1">
        <f t="shared" si="19"/>
        <v>0</v>
      </c>
      <c r="I148" s="8"/>
      <c r="J148" s="92"/>
      <c r="K148" s="64"/>
      <c r="L148" s="92"/>
      <c r="M148" s="64"/>
      <c r="N148" s="64"/>
      <c r="O148" s="64"/>
      <c r="P148" s="64"/>
    </row>
    <row r="149" spans="1:16" ht="12.75">
      <c r="A149" s="39" t="s">
        <v>19</v>
      </c>
      <c r="B149" s="40">
        <f aca="true" t="shared" si="20" ref="B149:H149">SUM(B143:B148)</f>
        <v>9589.5</v>
      </c>
      <c r="C149" s="40">
        <f t="shared" si="20"/>
        <v>4788.340047000001</v>
      </c>
      <c r="D149" s="40">
        <f t="shared" si="20"/>
        <v>4709.876224200001</v>
      </c>
      <c r="E149" s="40">
        <f t="shared" si="20"/>
        <v>5350.033207512001</v>
      </c>
      <c r="F149" s="40">
        <f t="shared" si="20"/>
        <v>6077.322086587586</v>
      </c>
      <c r="G149" s="40">
        <f t="shared" si="20"/>
        <v>6896.097495421644</v>
      </c>
      <c r="H149" s="40">
        <f t="shared" si="20"/>
        <v>1884.9071604141045</v>
      </c>
      <c r="I149" s="8"/>
      <c r="J149" s="93"/>
      <c r="K149" s="64"/>
      <c r="L149" s="92"/>
      <c r="M149" s="64"/>
      <c r="N149" s="64"/>
      <c r="O149" s="64"/>
      <c r="P149" s="64"/>
    </row>
    <row r="150" spans="1:16" ht="12.75">
      <c r="A150" s="27"/>
      <c r="B150" s="63"/>
      <c r="C150" s="63"/>
      <c r="D150" s="63"/>
      <c r="E150" s="63"/>
      <c r="F150" s="63"/>
      <c r="G150" s="63"/>
      <c r="H150" s="63"/>
      <c r="I150" s="8"/>
      <c r="J150" s="64"/>
      <c r="K150" s="64"/>
      <c r="L150" s="64"/>
      <c r="M150" s="64"/>
      <c r="N150" s="64"/>
      <c r="O150" s="64"/>
      <c r="P150" s="64"/>
    </row>
    <row r="151" spans="1:9" ht="12.75">
      <c r="A151" s="7" t="s">
        <v>119</v>
      </c>
      <c r="C151" s="63"/>
      <c r="D151" s="63"/>
      <c r="E151" s="63"/>
      <c r="F151" s="63"/>
      <c r="G151" s="63"/>
      <c r="H151" s="63"/>
      <c r="I151" s="8"/>
    </row>
    <row r="152" spans="1:9" ht="12.75">
      <c r="A152" s="3" t="s">
        <v>94</v>
      </c>
      <c r="B152" s="15">
        <f>(1-B18)*B49+B18*B20</f>
        <v>0.17499999999999993</v>
      </c>
      <c r="C152" s="63"/>
      <c r="D152" s="63"/>
      <c r="E152" s="63"/>
      <c r="F152" s="63"/>
      <c r="G152" s="63"/>
      <c r="H152" s="63"/>
      <c r="I152" s="8"/>
    </row>
    <row r="153" spans="1:9" ht="12.75">
      <c r="A153" s="3" t="s">
        <v>95</v>
      </c>
      <c r="B153" s="16">
        <f>(B152-B4)/(1+B4)</f>
        <v>0.06818181818181811</v>
      </c>
      <c r="C153" s="63"/>
      <c r="D153" s="63"/>
      <c r="E153" s="63"/>
      <c r="F153" s="63"/>
      <c r="G153" s="63"/>
      <c r="H153" s="63"/>
      <c r="I153" s="8"/>
    </row>
    <row r="154" spans="1:9" ht="12.75">
      <c r="A154" s="27"/>
      <c r="B154" s="63"/>
      <c r="C154" s="63"/>
      <c r="D154" s="63"/>
      <c r="E154" s="63"/>
      <c r="F154" s="63"/>
      <c r="G154" s="63"/>
      <c r="H154" s="63"/>
      <c r="I154" s="8"/>
    </row>
    <row r="155" spans="1:9" s="19" customFormat="1" ht="12.75">
      <c r="A155" s="56" t="s">
        <v>114</v>
      </c>
      <c r="B155" s="33"/>
      <c r="C155" s="33"/>
      <c r="D155" s="33"/>
      <c r="E155" s="33"/>
      <c r="F155" s="33"/>
      <c r="G155" s="33"/>
      <c r="H155" s="33"/>
      <c r="I155" s="64"/>
    </row>
    <row r="156" spans="1:8" s="7" customFormat="1" ht="12.75">
      <c r="A156" s="56" t="s">
        <v>105</v>
      </c>
      <c r="B156" s="33">
        <f aca="true" t="shared" si="21" ref="B156:H156">B141-B149</f>
        <v>-9589.5</v>
      </c>
      <c r="C156" s="33">
        <f t="shared" si="21"/>
        <v>1963.9351529999994</v>
      </c>
      <c r="D156" s="33">
        <f t="shared" si="21"/>
        <v>2106.8360958000003</v>
      </c>
      <c r="E156" s="33">
        <f t="shared" si="21"/>
        <v>2665.1531540880032</v>
      </c>
      <c r="F156" s="33">
        <f t="shared" si="21"/>
        <v>3347.659818071619</v>
      </c>
      <c r="G156" s="33">
        <f t="shared" si="21"/>
        <v>4187.324519123839</v>
      </c>
      <c r="H156" s="33">
        <f t="shared" si="21"/>
        <v>7167.199304933865</v>
      </c>
    </row>
    <row r="157" spans="1:12" ht="12.75">
      <c r="A157" s="9" t="s">
        <v>94</v>
      </c>
      <c r="B157" s="42">
        <f>B152</f>
        <v>0.17499999999999993</v>
      </c>
      <c r="L157" s="19"/>
    </row>
    <row r="158" spans="1:12" s="7" customFormat="1" ht="12.75">
      <c r="A158" s="7" t="s">
        <v>60</v>
      </c>
      <c r="B158" s="43">
        <f>NPV(B157,C156:H156)+B156</f>
        <v>1600.1523630781157</v>
      </c>
      <c r="J158" s="93"/>
      <c r="K158" s="65"/>
      <c r="L158" s="92"/>
    </row>
    <row r="159" spans="1:2" s="7" customFormat="1" ht="12.75">
      <c r="A159" s="7" t="s">
        <v>31</v>
      </c>
      <c r="B159" s="47">
        <f>IRR(B156:H156)</f>
        <v>0.22475605006247523</v>
      </c>
    </row>
    <row r="161" spans="1:8" ht="12.75">
      <c r="A161" s="56" t="s">
        <v>115</v>
      </c>
      <c r="B161" s="33"/>
      <c r="C161" s="33"/>
      <c r="D161" s="33"/>
      <c r="E161" s="33"/>
      <c r="F161" s="33"/>
      <c r="G161" s="33"/>
      <c r="H161" s="33"/>
    </row>
    <row r="162" spans="1:8" ht="12.75">
      <c r="A162" s="56" t="s">
        <v>116</v>
      </c>
      <c r="B162" s="33">
        <f aca="true" t="shared" si="22" ref="B162:H162">B156+IF($B$22=1,B69,B80)</f>
        <v>-5394.75</v>
      </c>
      <c r="C162" s="33">
        <f t="shared" si="22"/>
        <v>495.77265299999976</v>
      </c>
      <c r="D162" s="33">
        <f t="shared" si="22"/>
        <v>764.5160958000006</v>
      </c>
      <c r="E162" s="33">
        <f t="shared" si="22"/>
        <v>1448.6756540880033</v>
      </c>
      <c r="F162" s="33">
        <f t="shared" si="22"/>
        <v>2257.024818071619</v>
      </c>
      <c r="G162" s="33">
        <f t="shared" si="22"/>
        <v>3222.5320191238393</v>
      </c>
      <c r="H162" s="33">
        <f t="shared" si="22"/>
        <v>7167.199304933865</v>
      </c>
    </row>
    <row r="163" spans="1:2" ht="15.75">
      <c r="A163" s="60" t="s">
        <v>77</v>
      </c>
      <c r="B163" s="61">
        <f>B49</f>
        <v>0.19999999999999996</v>
      </c>
    </row>
    <row r="164" spans="1:2" ht="12.75">
      <c r="A164" s="59" t="s">
        <v>60</v>
      </c>
      <c r="B164" s="43">
        <f>NPV(B163,C162:H162)+B162</f>
        <v>1171.4628733219988</v>
      </c>
    </row>
    <row r="165" spans="1:2" ht="12.75">
      <c r="A165" s="59" t="s">
        <v>31</v>
      </c>
      <c r="B165" s="47">
        <f>IRR(B162:H162)</f>
        <v>0.2548859249913318</v>
      </c>
    </row>
    <row r="167" ht="12.75">
      <c r="A167" s="7" t="s">
        <v>113</v>
      </c>
    </row>
    <row r="168" spans="1:8" ht="12.75">
      <c r="A168" s="34"/>
      <c r="B168" s="35">
        <v>0</v>
      </c>
      <c r="C168" s="35">
        <v>1</v>
      </c>
      <c r="D168" s="35">
        <v>2</v>
      </c>
      <c r="E168" s="35">
        <v>3</v>
      </c>
      <c r="F168" s="35">
        <v>4</v>
      </c>
      <c r="G168" s="35">
        <v>5</v>
      </c>
      <c r="H168" s="35">
        <v>6</v>
      </c>
    </row>
    <row r="169" spans="1:10" ht="12.75">
      <c r="A169" s="3" t="s">
        <v>102</v>
      </c>
      <c r="B169" s="36"/>
      <c r="C169" s="36"/>
      <c r="D169" s="36"/>
      <c r="E169" s="8"/>
      <c r="F169" s="8"/>
      <c r="G169" s="8"/>
      <c r="H169" s="8"/>
      <c r="I169" s="8"/>
      <c r="J169" s="8"/>
    </row>
    <row r="170" spans="1:10" ht="12.75">
      <c r="A170" s="8" t="s">
        <v>0</v>
      </c>
      <c r="B170" s="36"/>
      <c r="C170" s="36">
        <f aca="true" t="shared" si="23" ref="C170:H170">C137/C54</f>
        <v>5183.999999999999</v>
      </c>
      <c r="D170" s="36">
        <f t="shared" si="23"/>
        <v>5546.88</v>
      </c>
      <c r="E170" s="36">
        <f t="shared" si="23"/>
        <v>5935.161600000001</v>
      </c>
      <c r="F170" s="36">
        <f t="shared" si="23"/>
        <v>6350.6229120000025</v>
      </c>
      <c r="G170" s="36">
        <f t="shared" si="23"/>
        <v>6795.166515840001</v>
      </c>
      <c r="H170" s="36">
        <f t="shared" si="23"/>
        <v>0</v>
      </c>
      <c r="I170" s="8"/>
      <c r="J170" s="8"/>
    </row>
    <row r="171" spans="1:10" ht="12.75">
      <c r="A171" s="8" t="s">
        <v>78</v>
      </c>
      <c r="B171" s="36"/>
      <c r="C171" s="36">
        <f aca="true" t="shared" si="24" ref="C171:H171">C138/C54</f>
        <v>954.4319999999999</v>
      </c>
      <c r="D171" s="36">
        <f t="shared" si="24"/>
        <v>86.76654545454574</v>
      </c>
      <c r="E171" s="36">
        <f t="shared" si="24"/>
        <v>86.76654545454551</v>
      </c>
      <c r="F171" s="36">
        <f t="shared" si="24"/>
        <v>86.76654545454554</v>
      </c>
      <c r="G171" s="36">
        <f t="shared" si="24"/>
        <v>86.76654545454541</v>
      </c>
      <c r="H171" s="36">
        <f t="shared" si="24"/>
        <v>-867.6654545454544</v>
      </c>
      <c r="I171" s="8"/>
      <c r="J171" s="8"/>
    </row>
    <row r="172" spans="1:10" ht="12.75">
      <c r="A172" s="8" t="s">
        <v>42</v>
      </c>
      <c r="B172" s="36"/>
      <c r="C172" s="36"/>
      <c r="D172" s="36"/>
      <c r="E172" s="36"/>
      <c r="F172" s="36"/>
      <c r="G172" s="36"/>
      <c r="H172" s="36">
        <f>H139/H54</f>
        <v>4194.750000000001</v>
      </c>
      <c r="I172" s="8"/>
      <c r="J172" s="8"/>
    </row>
    <row r="173" spans="1:10" ht="12.75">
      <c r="A173" s="57" t="s">
        <v>29</v>
      </c>
      <c r="B173" s="41">
        <f aca="true" t="shared" si="25" ref="B173:H173">SUM(B170:B172)</f>
        <v>0</v>
      </c>
      <c r="C173" s="41">
        <f t="shared" si="25"/>
        <v>6138.431999999999</v>
      </c>
      <c r="D173" s="41">
        <f t="shared" si="25"/>
        <v>5633.646545454546</v>
      </c>
      <c r="E173" s="41">
        <f t="shared" si="25"/>
        <v>6021.928145454547</v>
      </c>
      <c r="F173" s="41">
        <f t="shared" si="25"/>
        <v>6437.389457454548</v>
      </c>
      <c r="G173" s="41">
        <f t="shared" si="25"/>
        <v>6881.933061294547</v>
      </c>
      <c r="H173" s="41">
        <f t="shared" si="25"/>
        <v>3327.0845454545465</v>
      </c>
      <c r="I173" s="8"/>
      <c r="J173" s="8"/>
    </row>
    <row r="174" spans="1:10" ht="12.75">
      <c r="A174" s="3" t="s">
        <v>103</v>
      </c>
      <c r="B174" s="36"/>
      <c r="C174" s="36"/>
      <c r="D174" s="36"/>
      <c r="E174" s="8"/>
      <c r="F174" s="8"/>
      <c r="G174" s="8"/>
      <c r="H174" s="8"/>
      <c r="I174" s="8"/>
      <c r="J174" s="8"/>
    </row>
    <row r="175" spans="1:10" ht="12.75">
      <c r="A175" s="8" t="s">
        <v>47</v>
      </c>
      <c r="B175" s="36">
        <f>B143/B54</f>
        <v>9589.5</v>
      </c>
      <c r="C175" s="36"/>
      <c r="D175" s="36"/>
      <c r="E175" s="36"/>
      <c r="F175" s="36"/>
      <c r="G175" s="36"/>
      <c r="H175" s="36"/>
      <c r="I175" s="8"/>
      <c r="J175" s="8"/>
    </row>
    <row r="176" spans="1:10" ht="12.75">
      <c r="A176" s="8" t="s">
        <v>11</v>
      </c>
      <c r="B176" s="36"/>
      <c r="C176" s="36">
        <f aca="true" t="shared" si="26" ref="C176:H176">C144/C54</f>
        <v>3608.960136363636</v>
      </c>
      <c r="D176" s="36">
        <f t="shared" si="26"/>
        <v>3596.133214876033</v>
      </c>
      <c r="E176" s="36">
        <f t="shared" si="26"/>
        <v>3584.4723771600297</v>
      </c>
      <c r="F176" s="36">
        <f t="shared" si="26"/>
        <v>3577.309700430298</v>
      </c>
      <c r="G176" s="36">
        <f t="shared" si="26"/>
        <v>3567.360091300271</v>
      </c>
      <c r="H176" s="36">
        <f t="shared" si="26"/>
        <v>0</v>
      </c>
      <c r="I176" s="8"/>
      <c r="J176" s="8"/>
    </row>
    <row r="177" spans="1:10" ht="12.75">
      <c r="A177" s="8" t="s">
        <v>36</v>
      </c>
      <c r="B177" s="36"/>
      <c r="C177" s="36">
        <f aca="true" t="shared" si="27" ref="C177:H177">C145/C54</f>
        <v>431.99999999999994</v>
      </c>
      <c r="D177" s="36">
        <f t="shared" si="27"/>
        <v>69.51272727272733</v>
      </c>
      <c r="E177" s="36">
        <f t="shared" si="27"/>
        <v>74.37861818181827</v>
      </c>
      <c r="F177" s="36">
        <f t="shared" si="27"/>
        <v>79.58512145454563</v>
      </c>
      <c r="G177" s="36">
        <f t="shared" si="27"/>
        <v>85.15607995636356</v>
      </c>
      <c r="H177" s="36">
        <f t="shared" si="27"/>
        <v>-514.785342109091</v>
      </c>
      <c r="I177" s="8"/>
      <c r="J177" s="8"/>
    </row>
    <row r="178" spans="1:10" ht="12.75">
      <c r="A178" s="3" t="s">
        <v>122</v>
      </c>
      <c r="B178" s="36"/>
      <c r="C178" s="36">
        <f aca="true" t="shared" si="28" ref="C178:H178">C146/C54</f>
        <v>259.2</v>
      </c>
      <c r="D178" s="36">
        <f t="shared" si="28"/>
        <v>41.707636363636425</v>
      </c>
      <c r="E178" s="36">
        <f t="shared" si="28"/>
        <v>44.627170909091035</v>
      </c>
      <c r="F178" s="36">
        <f t="shared" si="28"/>
        <v>47.75107287272728</v>
      </c>
      <c r="G178" s="36">
        <f t="shared" si="28"/>
        <v>51.09364797381813</v>
      </c>
      <c r="H178" s="36">
        <f t="shared" si="28"/>
        <v>-308.87120526545453</v>
      </c>
      <c r="I178" s="8"/>
      <c r="J178" s="8"/>
    </row>
    <row r="179" spans="9:10" ht="12.75">
      <c r="I179" s="8"/>
      <c r="J179" s="8"/>
    </row>
    <row r="180" spans="1:10" ht="12.75">
      <c r="A180" s="8" t="s">
        <v>52</v>
      </c>
      <c r="B180" s="36"/>
      <c r="C180" s="36"/>
      <c r="D180" s="36"/>
      <c r="E180" s="36"/>
      <c r="F180" s="36"/>
      <c r="G180" s="36"/>
      <c r="H180" s="36">
        <f>H147/H54</f>
        <v>1887.6375000000005</v>
      </c>
      <c r="I180" s="8"/>
      <c r="J180" s="8"/>
    </row>
    <row r="181" spans="1:10" ht="12.75">
      <c r="A181" s="8" t="s">
        <v>20</v>
      </c>
      <c r="B181" s="36">
        <f aca="true" t="shared" si="29" ref="B181:H181">B148/B54</f>
        <v>0</v>
      </c>
      <c r="C181" s="36">
        <f t="shared" si="29"/>
        <v>52.87626999999998</v>
      </c>
      <c r="D181" s="36">
        <f t="shared" si="29"/>
        <v>185.106110909091</v>
      </c>
      <c r="E181" s="36">
        <f t="shared" si="29"/>
        <v>316.0809678677692</v>
      </c>
      <c r="F181" s="36">
        <f t="shared" si="29"/>
        <v>446.2468629690765</v>
      </c>
      <c r="G181" s="36">
        <f t="shared" si="29"/>
        <v>578.3241615716796</v>
      </c>
      <c r="H181" s="36">
        <f t="shared" si="29"/>
        <v>0</v>
      </c>
      <c r="I181" s="8"/>
      <c r="J181" s="8"/>
    </row>
    <row r="182" spans="1:10" ht="12.75">
      <c r="A182" s="57" t="s">
        <v>19</v>
      </c>
      <c r="B182" s="41">
        <f>SUM(B175:B181)</f>
        <v>9589.5</v>
      </c>
      <c r="C182" s="41">
        <f aca="true" t="shared" si="30" ref="C182:H182">SUM(C175:C181)</f>
        <v>4353.036406363636</v>
      </c>
      <c r="D182" s="41">
        <f t="shared" si="30"/>
        <v>3892.459689421488</v>
      </c>
      <c r="E182" s="41">
        <f t="shared" si="30"/>
        <v>4019.5591341187082</v>
      </c>
      <c r="F182" s="41">
        <f t="shared" si="30"/>
        <v>4150.892757726648</v>
      </c>
      <c r="G182" s="41">
        <f t="shared" si="30"/>
        <v>4281.933980802132</v>
      </c>
      <c r="H182" s="41">
        <f t="shared" si="30"/>
        <v>1063.980952625455</v>
      </c>
      <c r="I182" s="8"/>
      <c r="J182" s="8"/>
    </row>
    <row r="183" spans="1:10" ht="12.75">
      <c r="A183" s="65"/>
      <c r="B183" s="66"/>
      <c r="C183" s="66"/>
      <c r="D183" s="66"/>
      <c r="E183" s="66"/>
      <c r="F183" s="66"/>
      <c r="G183" s="66"/>
      <c r="H183" s="66"/>
      <c r="I183" s="8"/>
      <c r="J183" s="8"/>
    </row>
    <row r="184" spans="1:10" ht="12.75">
      <c r="A184" s="56" t="s">
        <v>114</v>
      </c>
      <c r="B184" s="33"/>
      <c r="C184" s="33"/>
      <c r="D184" s="33"/>
      <c r="E184" s="33"/>
      <c r="F184" s="33"/>
      <c r="G184" s="33"/>
      <c r="H184" s="33"/>
      <c r="I184" s="8"/>
      <c r="J184" s="8"/>
    </row>
    <row r="185" spans="1:10" ht="12.75">
      <c r="A185" s="56" t="s">
        <v>104</v>
      </c>
      <c r="B185" s="33">
        <f>B173-B182</f>
        <v>-9589.5</v>
      </c>
      <c r="C185" s="33">
        <f aca="true" t="shared" si="31" ref="C185:H185">C173-C182</f>
        <v>1785.3955936363627</v>
      </c>
      <c r="D185" s="33">
        <f t="shared" si="31"/>
        <v>1741.1868560330581</v>
      </c>
      <c r="E185" s="33">
        <f t="shared" si="31"/>
        <v>2002.3690113358389</v>
      </c>
      <c r="F185" s="33">
        <f t="shared" si="31"/>
        <v>2286.4966997279007</v>
      </c>
      <c r="G185" s="33">
        <f t="shared" si="31"/>
        <v>2599.9990804924146</v>
      </c>
      <c r="H185" s="33">
        <f t="shared" si="31"/>
        <v>2263.103592829091</v>
      </c>
      <c r="I185" s="8"/>
      <c r="J185" s="8"/>
    </row>
    <row r="186" spans="1:10" ht="12.75">
      <c r="A186" s="9" t="s">
        <v>95</v>
      </c>
      <c r="B186" s="42">
        <f>B153</f>
        <v>0.06818181818181811</v>
      </c>
      <c r="I186" s="8"/>
      <c r="J186" s="8"/>
    </row>
    <row r="187" spans="1:10" ht="12.75">
      <c r="A187" s="7" t="s">
        <v>60</v>
      </c>
      <c r="B187" s="43">
        <f>NPV(B186,C185:H185)+B185</f>
        <v>400.1523630781103</v>
      </c>
      <c r="C187" s="7"/>
      <c r="D187" s="7"/>
      <c r="E187" s="7"/>
      <c r="F187" s="7"/>
      <c r="G187" s="7"/>
      <c r="H187" s="7"/>
      <c r="I187" s="8"/>
      <c r="J187" s="8"/>
    </row>
    <row r="188" spans="1:10" ht="12.75">
      <c r="A188" s="7" t="s">
        <v>21</v>
      </c>
      <c r="B188" s="47">
        <f>IRR(B185:H185)</f>
        <v>0.08071863138369717</v>
      </c>
      <c r="C188" s="7"/>
      <c r="D188" s="7"/>
      <c r="E188" s="7"/>
      <c r="F188" s="7"/>
      <c r="G188" s="7"/>
      <c r="H188" s="7"/>
      <c r="I188" s="8"/>
      <c r="J188" s="8"/>
    </row>
    <row r="189" spans="9:10" ht="12.75">
      <c r="I189" s="8"/>
      <c r="J189" s="8"/>
    </row>
    <row r="190" spans="1:10" ht="12.75">
      <c r="A190" s="56" t="s">
        <v>115</v>
      </c>
      <c r="B190" s="33"/>
      <c r="C190" s="33"/>
      <c r="D190" s="33"/>
      <c r="E190" s="33"/>
      <c r="F190" s="33"/>
      <c r="G190" s="33"/>
      <c r="H190" s="33"/>
      <c r="I190" s="8"/>
      <c r="J190" s="8"/>
    </row>
    <row r="191" spans="1:10" ht="12.75">
      <c r="A191" s="56" t="s">
        <v>117</v>
      </c>
      <c r="B191" s="33">
        <f aca="true" t="shared" si="32" ref="B191:H191">B185+IF($B$22=1,B69/B54,B80/B54)</f>
        <v>-5394.75</v>
      </c>
      <c r="C191" s="33">
        <f t="shared" si="32"/>
        <v>450.7024118181812</v>
      </c>
      <c r="D191" s="33">
        <f t="shared" si="32"/>
        <v>631.8314841322322</v>
      </c>
      <c r="E191" s="33">
        <f t="shared" si="32"/>
        <v>1088.41146062209</v>
      </c>
      <c r="F191" s="33">
        <f t="shared" si="32"/>
        <v>1541.5783198358172</v>
      </c>
      <c r="G191" s="33">
        <f t="shared" si="32"/>
        <v>2000.9388449148648</v>
      </c>
      <c r="H191" s="33">
        <f t="shared" si="32"/>
        <v>2263.103592829091</v>
      </c>
      <c r="I191" s="8"/>
      <c r="J191" s="8"/>
    </row>
    <row r="192" spans="1:10" ht="15.75">
      <c r="A192" s="60" t="s">
        <v>118</v>
      </c>
      <c r="B192" s="61">
        <f>(1+B49)/(1+B4)-1</f>
        <v>0.09090909090909083</v>
      </c>
      <c r="I192" s="8"/>
      <c r="J192" s="8"/>
    </row>
    <row r="193" spans="1:10" ht="12.75">
      <c r="A193" s="59" t="s">
        <v>60</v>
      </c>
      <c r="B193" s="43">
        <f>NPV(B192,C191:H191)+B191</f>
        <v>113.86402452777747</v>
      </c>
      <c r="I193" s="8"/>
      <c r="J193" s="8"/>
    </row>
    <row r="194" spans="1:10" ht="12.75">
      <c r="A194" s="59" t="s">
        <v>21</v>
      </c>
      <c r="B194" s="47">
        <f>IRR(B191:H191)</f>
        <v>0.09641798016601277</v>
      </c>
      <c r="I194" s="8"/>
      <c r="J194" s="8"/>
    </row>
    <row r="195" spans="1:10" ht="12.75">
      <c r="A195" s="65"/>
      <c r="B195" s="66"/>
      <c r="C195" s="66"/>
      <c r="D195" s="66"/>
      <c r="E195" s="66"/>
      <c r="F195" s="66"/>
      <c r="G195" s="66"/>
      <c r="H195" s="66"/>
      <c r="I195" s="8"/>
      <c r="J195" s="8"/>
    </row>
    <row r="196" spans="1:10" ht="12.7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2.7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2.7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2.7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2.7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2.7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2.7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2.7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2.7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2.7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2.7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2.7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2.7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2.7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2.7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2.7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2.7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2.7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2.7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2.7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2.7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2.7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2.7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2.7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2.7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2.7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2.7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2.7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2.7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2.7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2.7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2.7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2.7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2.7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2.7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2.7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2.7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2.7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2.7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2.7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2.7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2.7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2.7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2.7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2.7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2.7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2.7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2.7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2.7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2.7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2.7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2.7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2.7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2.7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2.7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2.7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2.7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2.7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2.7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2.7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2.7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2.7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2.7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2.7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2.7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2.7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2.7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2.7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2.7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2.7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2.75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12.75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ht="12.75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ht="12.75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ht="12.75">
      <c r="A270" s="8"/>
      <c r="B270" s="8"/>
      <c r="C270" s="8"/>
      <c r="D270" s="8"/>
      <c r="E270" s="8"/>
      <c r="F270" s="8"/>
      <c r="G270" s="8"/>
      <c r="H270" s="8"/>
      <c r="I270" s="8"/>
      <c r="J270" s="8"/>
    </row>
  </sheetData>
  <sheetProtection/>
  <printOptions gridLines="1" headings="1"/>
  <pageMargins left="1.5" right="1.25" top="1.25" bottom="1.25" header="0.5" footer="0.5"/>
  <pageSetup blackAndWhite="1" fitToHeight="1" fitToWidth="1" horizontalDpi="600" verticalDpi="600" orientation="landscape" paperSize="9" scale="12" r:id="rId1"/>
  <ignoredErrors>
    <ignoredError sqref="C119:G1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Fulbright Economics Teaching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Tan Binh</dc:creator>
  <cp:keywords/>
  <dc:description/>
  <cp:lastModifiedBy>xthanh</cp:lastModifiedBy>
  <cp:lastPrinted>2012-10-26T09:08:48Z</cp:lastPrinted>
  <dcterms:created xsi:type="dcterms:W3CDTF">1999-04-20T14:09:54Z</dcterms:created>
  <dcterms:modified xsi:type="dcterms:W3CDTF">2014-07-07T05:05:11Z</dcterms:modified>
  <cp:category/>
  <cp:version/>
  <cp:contentType/>
  <cp:contentStatus/>
</cp:coreProperties>
</file>