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440" windowHeight="11760" activeTab="0"/>
  </bookViews>
  <sheets>
    <sheet name="Intro" sheetId="1" r:id="rId1"/>
    <sheet name="Du an" sheetId="2" r:id="rId2"/>
    <sheet name="Du an (Practice)" sheetId="3" r:id="rId3"/>
    <sheet name="Du an (complex)" sheetId="4" r:id="rId4"/>
  </sheets>
  <definedNames/>
  <calcPr fullCalcOnLoad="1"/>
</workbook>
</file>

<file path=xl/sharedStrings.xml><?xml version="1.0" encoding="utf-8"?>
<sst xmlns="http://schemas.openxmlformats.org/spreadsheetml/2006/main" count="265" uniqueCount="71">
  <si>
    <t>THÔNG TIN ĐẦU VÀO</t>
  </si>
  <si>
    <t>Thuế suất thuế TNDN</t>
  </si>
  <si>
    <t>Chi phí vốn chủ sở hữu</t>
  </si>
  <si>
    <t>Chi phí nợ vay</t>
  </si>
  <si>
    <t>CHI PHÍ VỐN</t>
  </si>
  <si>
    <t>Chi phí nợ vay sau thuế</t>
  </si>
  <si>
    <t>Chi phí vốn bình quân trọng số, sau thuế (WACC)</t>
  </si>
  <si>
    <t>Chi phí vốn bình quân trọng số, thước thuế (WACC^)</t>
  </si>
  <si>
    <t>Năm</t>
  </si>
  <si>
    <t>Lợi nhuận trước lãi vay và thuế, EBIT</t>
  </si>
  <si>
    <t>EBIT(1-t)</t>
  </si>
  <si>
    <t>Ngân lưu chiết khấu, DCF</t>
  </si>
  <si>
    <t>Giá trị vốn chủ sở hữu</t>
  </si>
  <si>
    <t>Giá trị nợ</t>
  </si>
  <si>
    <t>CƠ CẤU VỐN</t>
  </si>
  <si>
    <t>Nợ vào cuối năm</t>
  </si>
  <si>
    <t>Vốn chủ sở hữu vào cuối năm</t>
  </si>
  <si>
    <t xml:space="preserve"> - Chi phí lãi vay</t>
  </si>
  <si>
    <t>Lợi nhuận trước thuế, EBT</t>
  </si>
  <si>
    <t>Lợi nhuận ròng</t>
  </si>
  <si>
    <t>Tổng chi phí đầu tư ban đầu</t>
  </si>
  <si>
    <t>Tốc độ tăng trưởng EBIT</t>
  </si>
  <si>
    <t>Vòng đời dự án</t>
  </si>
  <si>
    <t>Tỷ lệ nợ trên tổng giá trị dự án</t>
  </si>
  <si>
    <t>Thời gian khấu hao</t>
  </si>
  <si>
    <t xml:space="preserve"> + Khấu hao</t>
  </si>
  <si>
    <t>Giá trị thanh lý ròng (đã trừ chi phí và thuế)</t>
  </si>
  <si>
    <t xml:space="preserve"> + Giá trị thanh lý</t>
  </si>
  <si>
    <t>Ngân lưu tự do dự án, FCFP</t>
  </si>
  <si>
    <t>Giá trị dự án</t>
  </si>
  <si>
    <t>Ngân lưu ròng dự án, NCF</t>
  </si>
  <si>
    <t>Góp vốn chủ sở hữu</t>
  </si>
  <si>
    <t>Hệ số chiết khấu</t>
  </si>
  <si>
    <t xml:space="preserve"> - Thuế TNDN</t>
  </si>
  <si>
    <t>Lợi nhuận sau thuế</t>
  </si>
  <si>
    <t xml:space="preserve"> + Chi phí lãi vay</t>
  </si>
  <si>
    <t>LỊCH NỢ VAY</t>
  </si>
  <si>
    <t>Dư nợ đầu năm</t>
  </si>
  <si>
    <t>Giải ngân nợ</t>
  </si>
  <si>
    <t>Trả lãi vay</t>
  </si>
  <si>
    <t>Trả nợ gốc</t>
  </si>
  <si>
    <t>Dư nợ cuối năm</t>
  </si>
  <si>
    <t xml:space="preserve"> - Chi phí đầu tư</t>
  </si>
  <si>
    <t xml:space="preserve"> + Vay nợ mới/- Trả nợ gốc</t>
  </si>
  <si>
    <t>Ngân lưu ròng chủ đầu tư</t>
  </si>
  <si>
    <t>TÍNH TƯƠNG ĐỒNG CỦA CÁC PHƯƠNG PHÁP CHIẾT KHẤU NGÂN LƯU</t>
  </si>
  <si>
    <t>KHÁC NHAU TRONG THẨM ĐỊNH DỰ ÁN</t>
  </si>
  <si>
    <t>BẢNG TÍNH EXCEL</t>
  </si>
  <si>
    <t>Đây là bảng tính Excel do Nguyễn Xuân Thành, giảng viên chính sách công tại Chương trình Giảng dạy Kinh tế Fulbright soạn.</t>
  </si>
  <si>
    <t xml:space="preserve">NPV = </t>
  </si>
  <si>
    <t>NGÂN LƯU RÒNG CHỦ ĐẦU TƯ</t>
  </si>
  <si>
    <t>NGÂN LƯU RÒNG DỰ ÁN THEO QUAN ĐIỂM TỔNG ĐẦU TƯ</t>
  </si>
  <si>
    <t>NGÂN LƯU TỰ DO DỰ ÁN</t>
  </si>
  <si>
    <t>Hệ số beta vốn chủ sở hữu</t>
  </si>
  <si>
    <t>Lãi suất phi rủi ro</t>
  </si>
  <si>
    <t>Mức bù rủi ro thị trường</t>
  </si>
  <si>
    <t>Hệ số beta không vay nợ</t>
  </si>
  <si>
    <t>Chi phí vốn chủ sở hữu không vay nợ</t>
  </si>
  <si>
    <t>Tính KH</t>
  </si>
  <si>
    <t>Lá chắn thuế của nợ vay</t>
  </si>
  <si>
    <t xml:space="preserve"> + Giá trị kết thúc</t>
  </si>
  <si>
    <t>vô tận</t>
  </si>
  <si>
    <t xml:space="preserve">PV(TS) = </t>
  </si>
  <si>
    <t xml:space="preserve">NPV dự án không vay nợ = </t>
  </si>
  <si>
    <t>Ngân lưu tự do dự án không vay nợ</t>
  </si>
  <si>
    <t>NGÂN LƯU DỰ ÁN THEO GIÁ TRỊ HiỆN TẠI HIỆU CHỈNH, APV</t>
  </si>
  <si>
    <t>DỰ ÁN XI-MĂNG KHỔ SƠN: TÍNH TƯƠNG ĐỒNG CỦA</t>
  </si>
  <si>
    <t xml:space="preserve"> CÁC PHƯƠNG PHÁP CHIẾT KHẤU NGÂN LƯU KHÁC NHAU</t>
  </si>
  <si>
    <t>CÁC PHƯƠNG PHÁP CHIẾT KHẤU NGÂN LƯU KHÁC NHAU</t>
  </si>
  <si>
    <t>Giá trị nợ vào cuối năm</t>
  </si>
  <si>
    <t>Giá trị vốn chủ sở hữu vào cuối năm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</si>
</sst>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0.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0000%"/>
    <numFmt numFmtId="174" formatCode="0.000%"/>
    <numFmt numFmtId="175" formatCode="#,##0.000"/>
    <numFmt numFmtId="176" formatCode="0.0000000"/>
    <numFmt numFmtId="177" formatCode="0.000000"/>
    <numFmt numFmtId="178" formatCode="0.00000"/>
    <numFmt numFmtId="179" formatCode="0.0000%"/>
    <numFmt numFmtId="180" formatCode="0.000000000%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2"/>
      <name val="Arial"/>
      <family val="2"/>
    </font>
    <font>
      <b/>
      <i/>
      <sz val="10"/>
      <color indexed="8"/>
      <name val="Arial"/>
      <family val="2"/>
    </font>
    <font>
      <i/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B2B2B2"/>
      <name val="Arial"/>
      <family val="2"/>
    </font>
    <font>
      <b/>
      <i/>
      <sz val="10"/>
      <color theme="1"/>
      <name val="Arial"/>
      <family val="2"/>
    </font>
    <font>
      <i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Alignment="1">
      <alignment/>
    </xf>
    <xf numFmtId="4" fontId="3" fillId="0" borderId="0" xfId="44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2" fontId="3" fillId="0" borderId="0" xfId="0" applyNumberFormat="1" applyFont="1" applyAlignment="1">
      <alignment/>
    </xf>
    <xf numFmtId="165" fontId="3" fillId="0" borderId="0" xfId="44" applyNumberFormat="1" applyFont="1" applyAlignment="1">
      <alignment/>
    </xf>
    <xf numFmtId="4" fontId="2" fillId="32" borderId="13" xfId="44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44" applyNumberFormat="1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0" fillId="34" borderId="0" xfId="0" applyFont="1" applyFill="1" applyAlignment="1">
      <alignment horizontal="center"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9" fontId="3" fillId="35" borderId="0" xfId="0" applyNumberFormat="1" applyFont="1" applyFill="1" applyAlignment="1">
      <alignment/>
    </xf>
    <xf numFmtId="44" fontId="3" fillId="35" borderId="0" xfId="44" applyFont="1" applyFill="1" applyAlignment="1">
      <alignment/>
    </xf>
    <xf numFmtId="0" fontId="49" fillId="0" borderId="0" xfId="0" applyFont="1" applyAlignment="1">
      <alignment horizontal="center"/>
    </xf>
    <xf numFmtId="2" fontId="47" fillId="0" borderId="0" xfId="0" applyNumberFormat="1" applyFont="1" applyAlignment="1">
      <alignment/>
    </xf>
    <xf numFmtId="164" fontId="3" fillId="0" borderId="0" xfId="59" applyNumberFormat="1" applyFont="1" applyAlignment="1">
      <alignment/>
    </xf>
    <xf numFmtId="0" fontId="53" fillId="0" borderId="0" xfId="0" applyFont="1" applyAlignment="1">
      <alignment/>
    </xf>
    <xf numFmtId="10" fontId="53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0" fontId="47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0" fontId="49" fillId="0" borderId="0" xfId="0" applyFont="1" applyAlignment="1">
      <alignment horizontal="center"/>
    </xf>
    <xf numFmtId="174" fontId="5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44" applyNumberFormat="1" applyFont="1" applyAlignment="1">
      <alignment/>
    </xf>
    <xf numFmtId="0" fontId="4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19.57421875" style="28" customWidth="1"/>
  </cols>
  <sheetData>
    <row r="1" ht="17.25">
      <c r="A1" s="27" t="s">
        <v>47</v>
      </c>
    </row>
    <row r="2" ht="17.25">
      <c r="A2" s="27"/>
    </row>
    <row r="3" ht="15">
      <c r="A3" s="32" t="s">
        <v>66</v>
      </c>
    </row>
    <row r="4" ht="15">
      <c r="A4" s="32" t="s">
        <v>68</v>
      </c>
    </row>
    <row r="7" ht="12.75">
      <c r="A7" s="29" t="s">
        <v>48</v>
      </c>
    </row>
    <row r="8" ht="12.75">
      <c r="A8" s="29"/>
    </row>
    <row r="12" ht="12.75">
      <c r="A12" s="30"/>
    </row>
    <row r="25" ht="12.75">
      <c r="A25" s="31"/>
    </row>
    <row r="41" ht="12.75">
      <c r="A41" s="3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46.140625" style="0" customWidth="1"/>
    <col min="2" max="2" width="9.28125" style="0" bestFit="1" customWidth="1"/>
    <col min="8" max="8" width="2.57421875" style="24" customWidth="1"/>
    <col min="9" max="9" width="3.28125" style="0" customWidth="1"/>
    <col min="10" max="10" width="34.00390625" style="0" bestFit="1" customWidth="1"/>
    <col min="11" max="15" width="8.57421875" style="0" customWidth="1"/>
  </cols>
  <sheetData>
    <row r="1" spans="1:11" ht="15.75" customHeight="1">
      <c r="A1" s="54" t="s">
        <v>66</v>
      </c>
      <c r="B1" s="54"/>
      <c r="C1" s="54"/>
      <c r="D1" s="54"/>
      <c r="E1" s="54"/>
      <c r="F1" s="54"/>
      <c r="G1" s="54"/>
      <c r="J1" s="42" t="s">
        <v>54</v>
      </c>
      <c r="K1" s="43">
        <f>B15</f>
        <v>0.1</v>
      </c>
    </row>
    <row r="2" spans="1:11" ht="15.75" customHeight="1">
      <c r="A2" s="54" t="s">
        <v>67</v>
      </c>
      <c r="B2" s="54"/>
      <c r="C2" s="54"/>
      <c r="D2" s="54"/>
      <c r="E2" s="54"/>
      <c r="F2" s="54"/>
      <c r="G2" s="54"/>
      <c r="J2" s="42" t="s">
        <v>53</v>
      </c>
      <c r="K2" s="42">
        <f>K6*(1+(1-B11)*B12/(1-B12))</f>
        <v>1.250048</v>
      </c>
    </row>
    <row r="3" spans="1:11" ht="15.75" customHeight="1">
      <c r="A3" s="26"/>
      <c r="B3" s="26"/>
      <c r="C3" s="26"/>
      <c r="D3" s="26"/>
      <c r="E3" s="26"/>
      <c r="F3" s="26"/>
      <c r="G3" s="26"/>
      <c r="J3" s="42" t="s">
        <v>55</v>
      </c>
      <c r="K3" s="43">
        <v>0.04</v>
      </c>
    </row>
    <row r="4" spans="1:11" ht="12.75">
      <c r="A4" s="1" t="s">
        <v>0</v>
      </c>
      <c r="J4" s="42" t="s">
        <v>2</v>
      </c>
      <c r="K4" s="51">
        <f>K1+K2*K3</f>
        <v>0.15000192</v>
      </c>
    </row>
    <row r="5" spans="1:11" ht="12.75">
      <c r="A5" t="s">
        <v>20</v>
      </c>
      <c r="B5">
        <v>100</v>
      </c>
      <c r="J5" s="42"/>
      <c r="K5" s="43"/>
    </row>
    <row r="6" spans="1:11" ht="12.75">
      <c r="A6" t="s">
        <v>9</v>
      </c>
      <c r="B6">
        <v>20</v>
      </c>
      <c r="J6" s="42" t="s">
        <v>56</v>
      </c>
      <c r="K6" s="44">
        <v>0.8224</v>
      </c>
    </row>
    <row r="7" spans="1:11" ht="12.75">
      <c r="A7" t="s">
        <v>21</v>
      </c>
      <c r="B7" s="16">
        <v>0</v>
      </c>
      <c r="J7" s="42" t="s">
        <v>57</v>
      </c>
      <c r="K7" s="43">
        <f>K1+K6*K3</f>
        <v>0.13289600000000001</v>
      </c>
    </row>
    <row r="8" spans="1:4" ht="12.75">
      <c r="A8" t="s">
        <v>22</v>
      </c>
      <c r="B8">
        <v>5</v>
      </c>
      <c r="D8" s="48" t="s">
        <v>58</v>
      </c>
    </row>
    <row r="9" spans="1:11" ht="12.75">
      <c r="A9" t="s">
        <v>24</v>
      </c>
      <c r="B9">
        <v>5</v>
      </c>
      <c r="D9" s="49">
        <v>1</v>
      </c>
      <c r="K9" s="25"/>
    </row>
    <row r="10" spans="1:11" ht="12.75">
      <c r="A10" t="s">
        <v>26</v>
      </c>
      <c r="B10">
        <v>30</v>
      </c>
      <c r="K10" s="25"/>
    </row>
    <row r="11" spans="1:11" ht="12.75">
      <c r="A11" s="2" t="s">
        <v>1</v>
      </c>
      <c r="B11" s="3">
        <v>0.22</v>
      </c>
      <c r="K11" s="40"/>
    </row>
    <row r="12" spans="1:2" ht="12.75">
      <c r="A12" s="2" t="s">
        <v>23</v>
      </c>
      <c r="B12" s="3">
        <v>0.4</v>
      </c>
    </row>
    <row r="13" spans="1:2" ht="12.75">
      <c r="A13" s="34" t="s">
        <v>57</v>
      </c>
      <c r="B13" s="7">
        <v>0.13289600000000001</v>
      </c>
    </row>
    <row r="14" spans="1:2" ht="12.75">
      <c r="A14" s="2" t="s">
        <v>2</v>
      </c>
      <c r="B14" s="7">
        <f>B13+(1-B11)*B12/(1-B12)*(B13-B15)</f>
        <v>0.15000192</v>
      </c>
    </row>
    <row r="15" spans="1:2" ht="12.75">
      <c r="A15" s="2" t="s">
        <v>3</v>
      </c>
      <c r="B15" s="7">
        <v>0.1</v>
      </c>
    </row>
    <row r="17" spans="1:2" ht="12.75">
      <c r="A17" s="1" t="s">
        <v>4</v>
      </c>
      <c r="B17" s="4"/>
    </row>
    <row r="18" spans="1:2" ht="12.75">
      <c r="A18" s="2" t="s">
        <v>5</v>
      </c>
      <c r="B18" s="7">
        <f>B15*(1-$B$11)</f>
        <v>0.07800000000000001</v>
      </c>
    </row>
    <row r="19" spans="1:2" ht="12.75">
      <c r="A19" s="2" t="s">
        <v>6</v>
      </c>
      <c r="B19" s="41">
        <f>(1-B12)*B14+B12*B18</f>
        <v>0.121201152</v>
      </c>
    </row>
    <row r="20" spans="1:2" ht="12.75">
      <c r="A20" s="2" t="s">
        <v>7</v>
      </c>
      <c r="B20" s="7">
        <f>(1-B12)*B14+B12*B15</f>
        <v>0.130001152</v>
      </c>
    </row>
    <row r="22" spans="1:7" ht="12.75">
      <c r="A22" s="35" t="s">
        <v>52</v>
      </c>
      <c r="B22" s="36"/>
      <c r="C22" s="37"/>
      <c r="D22" s="36"/>
      <c r="E22" s="36"/>
      <c r="F22" s="36"/>
      <c r="G22" s="36"/>
    </row>
    <row r="23" spans="1:15" ht="13.5" thickBot="1">
      <c r="A23" s="5" t="s">
        <v>8</v>
      </c>
      <c r="B23" s="6">
        <v>0</v>
      </c>
      <c r="C23" s="6">
        <v>1</v>
      </c>
      <c r="D23" s="6">
        <v>2</v>
      </c>
      <c r="E23" s="6">
        <v>3</v>
      </c>
      <c r="F23" s="6">
        <v>4</v>
      </c>
      <c r="G23" s="6">
        <v>5</v>
      </c>
      <c r="K23" s="18"/>
      <c r="L23" s="18"/>
      <c r="M23" s="18"/>
      <c r="N23" s="18"/>
      <c r="O23" s="18"/>
    </row>
    <row r="24" spans="1:15" ht="13.5" thickTop="1">
      <c r="A24" t="s">
        <v>9</v>
      </c>
      <c r="C24" s="8">
        <f>$B$6</f>
        <v>20</v>
      </c>
      <c r="D24" s="18">
        <f>C24*(1+$B$7)</f>
        <v>20</v>
      </c>
      <c r="E24" s="18">
        <f>D24*(1+$B$7)</f>
        <v>20</v>
      </c>
      <c r="F24" s="18">
        <f>E24*(1+$B$7)</f>
        <v>20</v>
      </c>
      <c r="G24" s="18">
        <f>F24*(1+$B$7)</f>
        <v>20</v>
      </c>
      <c r="K24" s="18"/>
      <c r="L24" s="18"/>
      <c r="M24" s="18"/>
      <c r="N24" s="18"/>
      <c r="O24" s="18"/>
    </row>
    <row r="25" spans="1:15" ht="12.75">
      <c r="A25" s="17" t="s">
        <v>33</v>
      </c>
      <c r="C25" s="8">
        <f>C24*$B$11</f>
        <v>4.4</v>
      </c>
      <c r="D25" s="8">
        <f>D24*$B$11</f>
        <v>4.4</v>
      </c>
      <c r="E25" s="8">
        <f>E24*$B$11</f>
        <v>4.4</v>
      </c>
      <c r="F25" s="8">
        <f>F24*$B$11</f>
        <v>4.4</v>
      </c>
      <c r="G25" s="8">
        <f>G24*$B$11</f>
        <v>4.4</v>
      </c>
      <c r="K25" s="18"/>
      <c r="L25" s="18"/>
      <c r="M25" s="18"/>
      <c r="N25" s="18"/>
      <c r="O25" s="18"/>
    </row>
    <row r="26" spans="1:11" ht="12.75">
      <c r="A26" s="2" t="s">
        <v>10</v>
      </c>
      <c r="C26" s="18">
        <f>C24*(1-$B$11)</f>
        <v>15.600000000000001</v>
      </c>
      <c r="D26" s="18">
        <f>D24*(1-$B$11)</f>
        <v>15.600000000000001</v>
      </c>
      <c r="E26" s="18">
        <f>E24*(1-$B$11)</f>
        <v>15.600000000000001</v>
      </c>
      <c r="F26" s="18">
        <f>F24*(1-$B$11)</f>
        <v>15.600000000000001</v>
      </c>
      <c r="G26" s="18">
        <f>G24*(1-$B$11)</f>
        <v>15.600000000000001</v>
      </c>
      <c r="K26" s="18"/>
    </row>
    <row r="27" spans="1:7" ht="12.75">
      <c r="A27" s="17" t="s">
        <v>25</v>
      </c>
      <c r="C27" s="18">
        <f>$B$5/$B$9*$D$9</f>
        <v>20</v>
      </c>
      <c r="D27" s="18">
        <f>$B$5/$B$9*$D$9</f>
        <v>20</v>
      </c>
      <c r="E27" s="18">
        <f>$B$5/$B$9*$D$9</f>
        <v>20</v>
      </c>
      <c r="F27" s="18">
        <f>$B$5/$B$9*$D$9</f>
        <v>20</v>
      </c>
      <c r="G27" s="18">
        <f>$B$5/$B$9*$D$9</f>
        <v>20</v>
      </c>
    </row>
    <row r="28" spans="1:7" ht="12.75">
      <c r="A28" s="17" t="s">
        <v>27</v>
      </c>
      <c r="C28" s="18"/>
      <c r="D28" s="18"/>
      <c r="E28" s="18"/>
      <c r="F28" s="18"/>
      <c r="G28" s="18">
        <f>$B$10</f>
        <v>30</v>
      </c>
    </row>
    <row r="29" spans="1:15" ht="12.75">
      <c r="A29" s="17" t="s">
        <v>42</v>
      </c>
      <c r="B29" s="18">
        <f>$B$5</f>
        <v>100</v>
      </c>
      <c r="C29" s="18"/>
      <c r="D29" s="18"/>
      <c r="E29" s="18"/>
      <c r="F29" s="18"/>
      <c r="G29" s="18"/>
      <c r="K29" s="25"/>
      <c r="L29" s="25"/>
      <c r="M29" s="25"/>
      <c r="N29" s="25"/>
      <c r="O29" s="25"/>
    </row>
    <row r="30" spans="1:15" ht="12.75">
      <c r="A30" s="2" t="s">
        <v>28</v>
      </c>
      <c r="B30" s="18">
        <f aca="true" t="shared" si="0" ref="B30:G30">B26+B27+B28-B29</f>
        <v>-100</v>
      </c>
      <c r="C30" s="18">
        <f t="shared" si="0"/>
        <v>35.6</v>
      </c>
      <c r="D30" s="18">
        <f t="shared" si="0"/>
        <v>35.6</v>
      </c>
      <c r="E30" s="18">
        <f t="shared" si="0"/>
        <v>35.6</v>
      </c>
      <c r="F30" s="18">
        <f t="shared" si="0"/>
        <v>35.6</v>
      </c>
      <c r="G30" s="18">
        <f t="shared" si="0"/>
        <v>65.6</v>
      </c>
      <c r="K30" s="18"/>
      <c r="L30" s="18"/>
      <c r="M30" s="18"/>
      <c r="N30" s="18"/>
      <c r="O30" s="18"/>
    </row>
    <row r="31" spans="1:11" ht="12.75">
      <c r="A31" s="21" t="s">
        <v>32</v>
      </c>
      <c r="B31" s="18">
        <f aca="true" t="shared" si="1" ref="B31:G31">1/(1+$B$19)^B23</f>
        <v>1</v>
      </c>
      <c r="C31" s="18">
        <f>1/(1+$B$19)^C23</f>
        <v>0.891900617669005</v>
      </c>
      <c r="D31" s="18">
        <f t="shared" si="1"/>
        <v>0.7954867117983527</v>
      </c>
      <c r="E31" s="18">
        <f t="shared" si="1"/>
        <v>0.7094950896004365</v>
      </c>
      <c r="F31" s="18">
        <f t="shared" si="1"/>
        <v>0.6327991086477555</v>
      </c>
      <c r="G31" s="18">
        <f t="shared" si="1"/>
        <v>0.5643939158633289</v>
      </c>
      <c r="K31" s="18"/>
    </row>
    <row r="32" spans="1:7" ht="13.5" thickBot="1">
      <c r="A32" s="21" t="s">
        <v>11</v>
      </c>
      <c r="B32" s="18">
        <f aca="true" t="shared" si="2" ref="B32:G32">B30*B31</f>
        <v>-100</v>
      </c>
      <c r="C32" s="18">
        <f t="shared" si="2"/>
        <v>31.75166198901658</v>
      </c>
      <c r="D32" s="18">
        <f t="shared" si="2"/>
        <v>28.31932694002136</v>
      </c>
      <c r="E32" s="18">
        <f t="shared" si="2"/>
        <v>25.25802518977554</v>
      </c>
      <c r="F32" s="18">
        <f t="shared" si="2"/>
        <v>22.527648267860094</v>
      </c>
      <c r="G32" s="18">
        <f t="shared" si="2"/>
        <v>37.02424088063437</v>
      </c>
    </row>
    <row r="33" spans="1:10" ht="13.5" thickBot="1">
      <c r="A33" s="23" t="s">
        <v>49</v>
      </c>
      <c r="B33" s="15">
        <f>SUM(B32:G32)</f>
        <v>44.88090326730794</v>
      </c>
      <c r="C33" s="18"/>
      <c r="D33" s="18"/>
      <c r="E33" s="18"/>
      <c r="F33" s="18"/>
      <c r="G33" s="18"/>
      <c r="J33" s="25"/>
    </row>
    <row r="34" spans="1:7" ht="13.5" thickBot="1">
      <c r="A34" s="21"/>
      <c r="B34" s="18"/>
      <c r="C34" s="18"/>
      <c r="D34" s="18"/>
      <c r="E34" s="18"/>
      <c r="F34" s="18"/>
      <c r="G34" s="18"/>
    </row>
    <row r="35" spans="1:7" ht="13.5" thickBot="1">
      <c r="A35" s="1" t="s">
        <v>29</v>
      </c>
      <c r="B35" s="15">
        <f>SUM(C32:G32)</f>
        <v>144.88090326730796</v>
      </c>
      <c r="C35" s="9">
        <f>SUM(D32:G32)*(1+$B$19)</f>
        <v>126.84063564610625</v>
      </c>
      <c r="D35" s="10">
        <f>SUM(E32:G32)*(1+$B$19)^2</f>
        <v>106.61386680682656</v>
      </c>
      <c r="E35" s="10">
        <f>SUM(F32:G32)*(1+$B$19)^3</f>
        <v>83.93559028298851</v>
      </c>
      <c r="F35" s="10">
        <f>SUM(G32)*(1+$B$19)^4</f>
        <v>58.508680519086724</v>
      </c>
      <c r="G35" s="10">
        <v>0</v>
      </c>
    </row>
    <row r="36" spans="1:7" ht="13.5" thickBot="1">
      <c r="A36" s="1" t="s">
        <v>12</v>
      </c>
      <c r="B36" s="15">
        <f>(1-B12)*B35</f>
        <v>86.92854196038478</v>
      </c>
      <c r="C36" s="11"/>
      <c r="D36" s="11"/>
      <c r="E36" s="11"/>
      <c r="F36" s="11"/>
      <c r="G36" s="11"/>
    </row>
    <row r="37" spans="1:7" ht="13.5" thickBot="1">
      <c r="A37" s="1" t="s">
        <v>13</v>
      </c>
      <c r="B37" s="15">
        <f>B12*B35</f>
        <v>57.95236130692319</v>
      </c>
      <c r="C37" s="11"/>
      <c r="D37" s="11"/>
      <c r="E37" s="11"/>
      <c r="F37" s="11"/>
      <c r="G37" s="11"/>
    </row>
    <row r="38" spans="1:7" ht="13.5" thickBot="1">
      <c r="A38" s="1" t="s">
        <v>31</v>
      </c>
      <c r="B38" s="15">
        <f>B5-B37</f>
        <v>42.04763869307681</v>
      </c>
      <c r="C38" s="11"/>
      <c r="D38" s="11"/>
      <c r="E38" s="11"/>
      <c r="F38" s="11"/>
      <c r="G38" s="11"/>
    </row>
    <row r="40" ht="12.75">
      <c r="B40" s="20"/>
    </row>
    <row r="41" spans="1:7" ht="12.75">
      <c r="A41" s="1" t="s">
        <v>14</v>
      </c>
      <c r="B41" s="4"/>
      <c r="C41" s="2"/>
      <c r="D41" s="2"/>
      <c r="E41" s="2"/>
      <c r="F41" s="2"/>
      <c r="G41" s="2"/>
    </row>
    <row r="42" spans="1:7" ht="12.75">
      <c r="A42" s="2" t="s">
        <v>69</v>
      </c>
      <c r="B42" s="8">
        <f>B37</f>
        <v>57.95236130692319</v>
      </c>
      <c r="C42" s="8">
        <f>$B$12*C35</f>
        <v>50.7362542584425</v>
      </c>
      <c r="D42" s="8">
        <f>$B$12*D35</f>
        <v>42.64554672273063</v>
      </c>
      <c r="E42" s="8">
        <f>$B$12*E35</f>
        <v>33.574236113195404</v>
      </c>
      <c r="F42" s="8">
        <f>$B$12*F35</f>
        <v>23.403472207634692</v>
      </c>
      <c r="G42" s="8">
        <f>$B$12*G35</f>
        <v>0</v>
      </c>
    </row>
    <row r="43" spans="1:7" ht="12.75">
      <c r="A43" s="2" t="s">
        <v>70</v>
      </c>
      <c r="B43" s="8">
        <f aca="true" t="shared" si="3" ref="B43:G43">B35-B42</f>
        <v>86.92854196038476</v>
      </c>
      <c r="C43" s="8">
        <f t="shared" si="3"/>
        <v>76.10438138766375</v>
      </c>
      <c r="D43" s="8">
        <f t="shared" si="3"/>
        <v>63.968320084095936</v>
      </c>
      <c r="E43" s="8">
        <f t="shared" si="3"/>
        <v>50.36135416979311</v>
      </c>
      <c r="F43" s="8">
        <f t="shared" si="3"/>
        <v>35.10520831145203</v>
      </c>
      <c r="G43" s="8">
        <f t="shared" si="3"/>
        <v>0</v>
      </c>
    </row>
    <row r="44" spans="1:7" ht="12.75">
      <c r="A44" s="2"/>
      <c r="B44" s="8"/>
      <c r="C44" s="8"/>
      <c r="D44" s="8"/>
      <c r="E44" s="8"/>
      <c r="F44" s="8"/>
      <c r="G44" s="8"/>
    </row>
    <row r="45" spans="1:7" ht="12.75">
      <c r="A45" s="1" t="s">
        <v>36</v>
      </c>
      <c r="B45" s="8"/>
      <c r="C45" s="8"/>
      <c r="D45" s="8"/>
      <c r="E45" s="8"/>
      <c r="F45" s="8"/>
      <c r="G45" s="8"/>
    </row>
    <row r="46" spans="1:7" ht="12.75">
      <c r="A46" s="2" t="s">
        <v>37</v>
      </c>
      <c r="B46" s="8">
        <v>0</v>
      </c>
      <c r="C46" s="8">
        <f>B50</f>
        <v>57.95236130692319</v>
      </c>
      <c r="D46" s="8">
        <f>C50</f>
        <v>50.7362542584425</v>
      </c>
      <c r="E46" s="8">
        <f>D50</f>
        <v>42.64554672273063</v>
      </c>
      <c r="F46" s="8">
        <f>E50</f>
        <v>33.574236113195404</v>
      </c>
      <c r="G46" s="8">
        <f>F50</f>
        <v>23.403472207634692</v>
      </c>
    </row>
    <row r="47" spans="1:7" ht="12.75">
      <c r="A47" s="2" t="s">
        <v>38</v>
      </c>
      <c r="B47" s="8">
        <f>B50-B46</f>
        <v>57.95236130692319</v>
      </c>
      <c r="C47" s="8"/>
      <c r="D47" s="8"/>
      <c r="E47" s="8"/>
      <c r="F47" s="8"/>
      <c r="G47" s="8"/>
    </row>
    <row r="48" spans="1:7" ht="12.75">
      <c r="A48" s="2" t="s">
        <v>39</v>
      </c>
      <c r="B48" s="8">
        <f aca="true" t="shared" si="4" ref="B48:G48">B46*$B$15</f>
        <v>0</v>
      </c>
      <c r="C48" s="8">
        <f t="shared" si="4"/>
        <v>5.795236130692319</v>
      </c>
      <c r="D48" s="8">
        <f t="shared" si="4"/>
        <v>5.07362542584425</v>
      </c>
      <c r="E48" s="8">
        <f t="shared" si="4"/>
        <v>4.264554672273063</v>
      </c>
      <c r="F48" s="8">
        <f t="shared" si="4"/>
        <v>3.3574236113195406</v>
      </c>
      <c r="G48" s="8">
        <f t="shared" si="4"/>
        <v>2.3403472207634692</v>
      </c>
    </row>
    <row r="49" spans="1:7" ht="12.75">
      <c r="A49" s="2" t="s">
        <v>40</v>
      </c>
      <c r="B49" s="8"/>
      <c r="C49" s="8">
        <f>C46-C50</f>
        <v>7.216107048480687</v>
      </c>
      <c r="D49" s="8">
        <f>D46-D50</f>
        <v>8.090707535711871</v>
      </c>
      <c r="E49" s="8">
        <f>E46-E50</f>
        <v>9.071310609535225</v>
      </c>
      <c r="F49" s="8">
        <f>F46-F50</f>
        <v>10.170763905560712</v>
      </c>
      <c r="G49" s="8">
        <f>G46-G50</f>
        <v>23.403472207634692</v>
      </c>
    </row>
    <row r="50" spans="1:7" ht="12.75">
      <c r="A50" s="2" t="s">
        <v>41</v>
      </c>
      <c r="B50" s="8">
        <f aca="true" t="shared" si="5" ref="B50:G50">B42</f>
        <v>57.95236130692319</v>
      </c>
      <c r="C50" s="8">
        <f t="shared" si="5"/>
        <v>50.7362542584425</v>
      </c>
      <c r="D50" s="8">
        <f t="shared" si="5"/>
        <v>42.64554672273063</v>
      </c>
      <c r="E50" s="8">
        <f t="shared" si="5"/>
        <v>33.574236113195404</v>
      </c>
      <c r="F50" s="8">
        <f t="shared" si="5"/>
        <v>23.403472207634692</v>
      </c>
      <c r="G50" s="8">
        <f t="shared" si="5"/>
        <v>0</v>
      </c>
    </row>
    <row r="51" spans="1:7" ht="12.75">
      <c r="A51" s="2"/>
      <c r="B51" s="8"/>
      <c r="C51" s="8"/>
      <c r="D51" s="8"/>
      <c r="E51" s="8"/>
      <c r="F51" s="8"/>
      <c r="G51" s="8"/>
    </row>
    <row r="52" spans="1:7" ht="12.75">
      <c r="A52" s="35" t="s">
        <v>51</v>
      </c>
      <c r="B52" s="38"/>
      <c r="C52" s="36"/>
      <c r="D52" s="36"/>
      <c r="E52" s="36"/>
      <c r="F52" s="36"/>
      <c r="G52" s="36"/>
    </row>
    <row r="53" spans="1:7" ht="13.5" thickBot="1">
      <c r="A53" s="5" t="s">
        <v>8</v>
      </c>
      <c r="B53" s="6">
        <v>0</v>
      </c>
      <c r="C53" s="6">
        <v>1</v>
      </c>
      <c r="D53" s="6">
        <v>2</v>
      </c>
      <c r="E53" s="6">
        <v>3</v>
      </c>
      <c r="F53" s="6">
        <v>4</v>
      </c>
      <c r="G53" s="6">
        <v>5</v>
      </c>
    </row>
    <row r="54" spans="1:7" ht="13.5" thickTop="1">
      <c r="A54" s="2" t="s">
        <v>9</v>
      </c>
      <c r="B54" s="8"/>
      <c r="C54" s="8">
        <f>$B$6</f>
        <v>20</v>
      </c>
      <c r="D54" s="8">
        <f>C24*(1+$B$7)</f>
        <v>20</v>
      </c>
      <c r="E54" s="8">
        <f>D24*(1+$B$7)</f>
        <v>20</v>
      </c>
      <c r="F54" s="8">
        <f>E24*(1+$B$7)</f>
        <v>20</v>
      </c>
      <c r="G54" s="8">
        <f>F24*(1+$B$7)</f>
        <v>20</v>
      </c>
    </row>
    <row r="55" spans="1:7" ht="12.75">
      <c r="A55" s="12" t="s">
        <v>17</v>
      </c>
      <c r="B55" s="4"/>
      <c r="C55" s="13">
        <f>B42*$B$15</f>
        <v>5.795236130692319</v>
      </c>
      <c r="D55" s="13">
        <f>C42*$B$15</f>
        <v>5.07362542584425</v>
      </c>
      <c r="E55" s="13">
        <f>D42*$B$15</f>
        <v>4.264554672273063</v>
      </c>
      <c r="F55" s="13">
        <f>E42*$B$15</f>
        <v>3.3574236113195406</v>
      </c>
      <c r="G55" s="13">
        <f>F42*$B$15</f>
        <v>2.3403472207634692</v>
      </c>
    </row>
    <row r="56" spans="1:7" ht="12.75">
      <c r="A56" s="2" t="s">
        <v>18</v>
      </c>
      <c r="B56" s="4"/>
      <c r="C56" s="11">
        <f>C54-C55</f>
        <v>14.20476386930768</v>
      </c>
      <c r="D56" s="11">
        <f>D54-D55</f>
        <v>14.92637457415575</v>
      </c>
      <c r="E56" s="11">
        <f>E54-E55</f>
        <v>15.735445327726936</v>
      </c>
      <c r="F56" s="11">
        <f>F54-F55</f>
        <v>16.64257638868046</v>
      </c>
      <c r="G56" s="11">
        <f>G54-G55</f>
        <v>17.65965277923653</v>
      </c>
    </row>
    <row r="57" spans="1:7" ht="12.75">
      <c r="A57" s="12" t="s">
        <v>33</v>
      </c>
      <c r="B57" s="4"/>
      <c r="C57" s="11">
        <f>C56*$B$11</f>
        <v>3.1250480512476897</v>
      </c>
      <c r="D57" s="11">
        <f>D56*$B$11</f>
        <v>3.283802406314265</v>
      </c>
      <c r="E57" s="11">
        <f>E56*$B$11</f>
        <v>3.4617979720999257</v>
      </c>
      <c r="F57" s="11">
        <f>F56*$B$11</f>
        <v>3.6613668055097013</v>
      </c>
      <c r="G57" s="11">
        <f>G56*$B$11</f>
        <v>3.8851236114320367</v>
      </c>
    </row>
    <row r="58" spans="1:7" ht="12.75">
      <c r="A58" s="2" t="s">
        <v>34</v>
      </c>
      <c r="B58" s="4"/>
      <c r="C58" s="11">
        <f>C56-C57</f>
        <v>11.07971581805999</v>
      </c>
      <c r="D58" s="11">
        <f>D56-D57</f>
        <v>11.642572167841484</v>
      </c>
      <c r="E58" s="11">
        <f>E56-E57</f>
        <v>12.27364735562701</v>
      </c>
      <c r="F58" s="11">
        <f>F56-F57</f>
        <v>12.98120958317076</v>
      </c>
      <c r="G58" s="11">
        <f>G56-G57</f>
        <v>13.774529167804495</v>
      </c>
    </row>
    <row r="59" spans="1:7" ht="12.75">
      <c r="A59" s="12" t="s">
        <v>35</v>
      </c>
      <c r="B59" s="4"/>
      <c r="C59" s="11">
        <f>C55</f>
        <v>5.795236130692319</v>
      </c>
      <c r="D59" s="11">
        <f>D55</f>
        <v>5.07362542584425</v>
      </c>
      <c r="E59" s="11">
        <f>E55</f>
        <v>4.264554672273063</v>
      </c>
      <c r="F59" s="11">
        <f>F55</f>
        <v>3.3574236113195406</v>
      </c>
      <c r="G59" s="11">
        <f>G55</f>
        <v>2.3403472207634692</v>
      </c>
    </row>
    <row r="60" spans="1:7" ht="12.75">
      <c r="A60" s="17" t="s">
        <v>25</v>
      </c>
      <c r="B60" s="4"/>
      <c r="C60" s="18">
        <f>$B$5/$B$9*$D$9</f>
        <v>20</v>
      </c>
      <c r="D60" s="18">
        <f>$B$5/$B$9*$D$9</f>
        <v>20</v>
      </c>
      <c r="E60" s="18">
        <f>$B$5/$B$9*$D$9</f>
        <v>20</v>
      </c>
      <c r="F60" s="18">
        <f>$B$5/$B$9*$D$9</f>
        <v>20</v>
      </c>
      <c r="G60" s="18">
        <f>$B$5/$B$9*$D$9</f>
        <v>20</v>
      </c>
    </row>
    <row r="61" spans="1:7" ht="12.75">
      <c r="A61" s="17" t="s">
        <v>27</v>
      </c>
      <c r="B61" s="4"/>
      <c r="C61" s="11"/>
      <c r="D61" s="11"/>
      <c r="E61" s="11"/>
      <c r="F61" s="11"/>
      <c r="G61" s="18">
        <f>$B$10</f>
        <v>30</v>
      </c>
    </row>
    <row r="62" spans="1:7" ht="12.75">
      <c r="A62" s="17" t="s">
        <v>42</v>
      </c>
      <c r="B62" s="18">
        <f>$B$5</f>
        <v>100</v>
      </c>
      <c r="C62" s="11"/>
      <c r="D62" s="11"/>
      <c r="E62" s="11"/>
      <c r="F62" s="11"/>
      <c r="G62" s="18"/>
    </row>
    <row r="63" spans="1:7" ht="12.75">
      <c r="A63" s="2" t="s">
        <v>30</v>
      </c>
      <c r="B63" s="11">
        <f aca="true" t="shared" si="6" ref="B63:G63">B58+B59+B60+B61-B62</f>
        <v>-100</v>
      </c>
      <c r="C63" s="11">
        <f t="shared" si="6"/>
        <v>36.87495194875231</v>
      </c>
      <c r="D63" s="11">
        <f t="shared" si="6"/>
        <v>36.716197593685735</v>
      </c>
      <c r="E63" s="11">
        <f t="shared" si="6"/>
        <v>36.53820202790007</v>
      </c>
      <c r="F63" s="11">
        <f t="shared" si="6"/>
        <v>36.3386331944903</v>
      </c>
      <c r="G63" s="11">
        <f t="shared" si="6"/>
        <v>66.11487638856796</v>
      </c>
    </row>
    <row r="64" spans="1:7" ht="12.75">
      <c r="A64" s="21" t="s">
        <v>32</v>
      </c>
      <c r="B64" s="11">
        <f aca="true" t="shared" si="7" ref="B64:G64">1/(1+$B$20)^B53</f>
        <v>1</v>
      </c>
      <c r="C64" s="11">
        <f t="shared" si="7"/>
        <v>0.88495485002833</v>
      </c>
      <c r="D64" s="11">
        <f t="shared" si="7"/>
        <v>0.783145086588664</v>
      </c>
      <c r="E64" s="11">
        <f t="shared" si="7"/>
        <v>0.6930480426524945</v>
      </c>
      <c r="F64" s="11">
        <f t="shared" si="7"/>
        <v>0.613316226647966</v>
      </c>
      <c r="G64" s="11">
        <f t="shared" si="7"/>
        <v>0.542757169373192</v>
      </c>
    </row>
    <row r="65" spans="1:7" ht="13.5" thickBot="1">
      <c r="A65" s="21" t="s">
        <v>11</v>
      </c>
      <c r="B65" s="18">
        <f aca="true" t="shared" si="8" ref="B65:G65">B64*B63</f>
        <v>-100</v>
      </c>
      <c r="C65" s="18">
        <f t="shared" si="8"/>
        <v>32.63266757160998</v>
      </c>
      <c r="D65" s="18">
        <f t="shared" si="8"/>
        <v>28.75410974371351</v>
      </c>
      <c r="E65" s="18">
        <f t="shared" si="8"/>
        <v>25.32272939747755</v>
      </c>
      <c r="F65" s="18">
        <f t="shared" si="8"/>
        <v>22.287073392389313</v>
      </c>
      <c r="G65" s="18">
        <f t="shared" si="8"/>
        <v>35.88432316211763</v>
      </c>
    </row>
    <row r="66" spans="1:2" ht="13.5" thickBot="1">
      <c r="A66" s="23" t="s">
        <v>49</v>
      </c>
      <c r="B66" s="15">
        <f>SUM(B65:G65)</f>
        <v>44.88090326730798</v>
      </c>
    </row>
    <row r="67" spans="1:2" ht="13.5" thickBot="1">
      <c r="A67" s="19"/>
      <c r="B67" s="20"/>
    </row>
    <row r="68" spans="1:2" ht="13.5" thickBot="1">
      <c r="A68" s="1" t="s">
        <v>29</v>
      </c>
      <c r="B68" s="15">
        <f>SUM(C65:G65)</f>
        <v>144.88090326730799</v>
      </c>
    </row>
    <row r="70" spans="1:7" ht="12.75">
      <c r="A70" s="35" t="s">
        <v>50</v>
      </c>
      <c r="B70" s="38"/>
      <c r="C70" s="36"/>
      <c r="D70" s="36"/>
      <c r="E70" s="36"/>
      <c r="F70" s="36"/>
      <c r="G70" s="36"/>
    </row>
    <row r="71" spans="1:7" ht="13.5" thickBot="1">
      <c r="A71" s="5" t="s">
        <v>8</v>
      </c>
      <c r="B71" s="6">
        <v>0</v>
      </c>
      <c r="C71" s="6">
        <v>1</v>
      </c>
      <c r="D71" s="6">
        <v>2</v>
      </c>
      <c r="E71" s="6">
        <v>3</v>
      </c>
      <c r="F71" s="6">
        <v>4</v>
      </c>
      <c r="G71" s="6">
        <v>5</v>
      </c>
    </row>
    <row r="72" spans="1:7" ht="13.5" thickTop="1">
      <c r="A72" s="2" t="s">
        <v>9</v>
      </c>
      <c r="B72" s="14"/>
      <c r="C72" s="8">
        <f>$B$6</f>
        <v>20</v>
      </c>
      <c r="D72" s="8">
        <f>C72*(1+$B$7)</f>
        <v>20</v>
      </c>
      <c r="E72" s="8">
        <f>D72*(1+$B$7)</f>
        <v>20</v>
      </c>
      <c r="F72" s="8">
        <f>E72*(1+$B$7)</f>
        <v>20</v>
      </c>
      <c r="G72" s="8">
        <f>F72*(1+$B$7)</f>
        <v>20</v>
      </c>
    </row>
    <row r="73" spans="1:7" ht="12.75">
      <c r="A73" s="12" t="s">
        <v>17</v>
      </c>
      <c r="B73" s="14"/>
      <c r="C73" s="18">
        <f>B42*$B$15</f>
        <v>5.795236130692319</v>
      </c>
      <c r="D73" s="18">
        <f>C42*$B$15</f>
        <v>5.07362542584425</v>
      </c>
      <c r="E73" s="18">
        <f>D42*$B$15</f>
        <v>4.264554672273063</v>
      </c>
      <c r="F73" s="18">
        <f>E42*$B$15</f>
        <v>3.3574236113195406</v>
      </c>
      <c r="G73" s="18">
        <f>F42*$B$15</f>
        <v>2.3403472207634692</v>
      </c>
    </row>
    <row r="74" spans="1:7" ht="12.75">
      <c r="A74" s="2" t="s">
        <v>18</v>
      </c>
      <c r="B74" s="14"/>
      <c r="C74" s="18">
        <f>C72-C73</f>
        <v>14.20476386930768</v>
      </c>
      <c r="D74" s="18">
        <f>D72-D73</f>
        <v>14.92637457415575</v>
      </c>
      <c r="E74" s="18">
        <f>E72-E73</f>
        <v>15.735445327726936</v>
      </c>
      <c r="F74" s="18">
        <f>F72-F73</f>
        <v>16.64257638868046</v>
      </c>
      <c r="G74" s="18">
        <f>G72-G73</f>
        <v>17.65965277923653</v>
      </c>
    </row>
    <row r="75" spans="1:7" ht="12.75">
      <c r="A75" s="12" t="s">
        <v>33</v>
      </c>
      <c r="B75" s="14"/>
      <c r="C75" s="18">
        <f>$B$11*C74</f>
        <v>3.1250480512476897</v>
      </c>
      <c r="D75" s="18">
        <f>$B$11*D74</f>
        <v>3.283802406314265</v>
      </c>
      <c r="E75" s="18">
        <f>$B$11*E74</f>
        <v>3.4617979720999257</v>
      </c>
      <c r="F75" s="18">
        <f>$B$11*F74</f>
        <v>3.6613668055097013</v>
      </c>
      <c r="G75" s="18">
        <f>$B$11*G74</f>
        <v>3.8851236114320367</v>
      </c>
    </row>
    <row r="76" spans="1:7" ht="12.75">
      <c r="A76" s="2" t="s">
        <v>19</v>
      </c>
      <c r="B76" s="14"/>
      <c r="C76" s="18">
        <f>C74-C75</f>
        <v>11.07971581805999</v>
      </c>
      <c r="D76" s="18">
        <f>D74-D75</f>
        <v>11.642572167841484</v>
      </c>
      <c r="E76" s="18">
        <f>E74-E75</f>
        <v>12.27364735562701</v>
      </c>
      <c r="F76" s="18">
        <f>F74-F75</f>
        <v>12.98120958317076</v>
      </c>
      <c r="G76" s="18">
        <f>G74-G75</f>
        <v>13.774529167804495</v>
      </c>
    </row>
    <row r="77" spans="1:7" ht="12.75">
      <c r="A77" s="17" t="s">
        <v>25</v>
      </c>
      <c r="C77" s="18">
        <f>$B$5/$B$9*$D$9</f>
        <v>20</v>
      </c>
      <c r="D77" s="18">
        <f>$B$5/$B$9*$D$9</f>
        <v>20</v>
      </c>
      <c r="E77" s="18">
        <f>$B$5/$B$9*$D$9</f>
        <v>20</v>
      </c>
      <c r="F77" s="18">
        <f>$B$5/$B$9*$D$9</f>
        <v>20</v>
      </c>
      <c r="G77" s="18">
        <f>$B$5/$B$9*$D$9</f>
        <v>20</v>
      </c>
    </row>
    <row r="78" spans="1:7" ht="12.75">
      <c r="A78" s="17" t="s">
        <v>27</v>
      </c>
      <c r="C78" s="18"/>
      <c r="D78" s="18"/>
      <c r="E78" s="18"/>
      <c r="F78" s="18"/>
      <c r="G78" s="18">
        <f>B10</f>
        <v>30</v>
      </c>
    </row>
    <row r="79" spans="1:7" ht="12.75">
      <c r="A79" s="17" t="s">
        <v>42</v>
      </c>
      <c r="B79" s="18">
        <f>$B$5</f>
        <v>100</v>
      </c>
      <c r="C79" s="18"/>
      <c r="D79" s="18"/>
      <c r="E79" s="18"/>
      <c r="F79" s="18"/>
      <c r="G79" s="18"/>
    </row>
    <row r="80" spans="1:7" ht="12.75">
      <c r="A80" s="2" t="s">
        <v>43</v>
      </c>
      <c r="B80" s="14">
        <f>B47</f>
        <v>57.95236130692319</v>
      </c>
      <c r="C80" s="18">
        <f>-C49</f>
        <v>-7.216107048480687</v>
      </c>
      <c r="D80" s="18">
        <f>-D49</f>
        <v>-8.090707535711871</v>
      </c>
      <c r="E80" s="18">
        <f>-E49</f>
        <v>-9.071310609535225</v>
      </c>
      <c r="F80" s="18">
        <f>-F49</f>
        <v>-10.170763905560712</v>
      </c>
      <c r="G80" s="18">
        <f>-G49</f>
        <v>-23.403472207634692</v>
      </c>
    </row>
    <row r="81" spans="1:7" ht="12.75">
      <c r="A81" s="2" t="s">
        <v>44</v>
      </c>
      <c r="B81" s="18">
        <f aca="true" t="shared" si="9" ref="B81:G81">B76+B77+B78-B79+B80</f>
        <v>-42.04763869307681</v>
      </c>
      <c r="C81" s="18">
        <f t="shared" si="9"/>
        <v>23.8636087695793</v>
      </c>
      <c r="D81" s="18">
        <f t="shared" si="9"/>
        <v>23.551864632129615</v>
      </c>
      <c r="E81" s="18">
        <f t="shared" si="9"/>
        <v>23.20233674609178</v>
      </c>
      <c r="F81" s="18">
        <f t="shared" si="9"/>
        <v>22.810445677610048</v>
      </c>
      <c r="G81" s="18">
        <f t="shared" si="9"/>
        <v>40.3710569601698</v>
      </c>
    </row>
    <row r="82" spans="1:7" ht="12.75">
      <c r="A82" s="21" t="s">
        <v>32</v>
      </c>
      <c r="B82" s="18">
        <f aca="true" t="shared" si="10" ref="B82:G82">1/(1+$B$14)^B71</f>
        <v>1</v>
      </c>
      <c r="C82" s="18">
        <f t="shared" si="10"/>
        <v>0.869563765597887</v>
      </c>
      <c r="D82" s="18">
        <f t="shared" si="10"/>
        <v>0.7561411424407769</v>
      </c>
      <c r="E82" s="18">
        <f t="shared" si="10"/>
        <v>0.6575129391442902</v>
      </c>
      <c r="F82" s="18">
        <f t="shared" si="10"/>
        <v>0.5717494272916432</v>
      </c>
      <c r="G82" s="18">
        <f t="shared" si="10"/>
        <v>0.4971725849741567</v>
      </c>
    </row>
    <row r="83" spans="1:7" ht="13.5" thickBot="1">
      <c r="A83" s="21" t="s">
        <v>11</v>
      </c>
      <c r="B83" s="18">
        <f aca="true" t="shared" si="11" ref="B83:G83">B81*B82</f>
        <v>-42.04763869307681</v>
      </c>
      <c r="C83" s="18">
        <f t="shared" si="11"/>
        <v>20.750929502430136</v>
      </c>
      <c r="D83" s="18">
        <f t="shared" si="11"/>
        <v>17.808533829549013</v>
      </c>
      <c r="E83" s="18">
        <f t="shared" si="11"/>
        <v>15.255836628938374</v>
      </c>
      <c r="F83" s="18">
        <f t="shared" si="11"/>
        <v>13.041859252440684</v>
      </c>
      <c r="G83" s="18">
        <f t="shared" si="11"/>
        <v>20.07138274702654</v>
      </c>
    </row>
    <row r="84" spans="1:7" ht="13.5" thickBot="1">
      <c r="A84" s="23" t="s">
        <v>49</v>
      </c>
      <c r="B84" s="15">
        <f>SUM(B83:G83)</f>
        <v>44.880903267307936</v>
      </c>
      <c r="C84" s="18"/>
      <c r="D84" s="18"/>
      <c r="E84" s="18"/>
      <c r="F84" s="18"/>
      <c r="G84" s="18"/>
    </row>
    <row r="85" spans="1:7" ht="13.5" thickBot="1">
      <c r="A85" s="2"/>
      <c r="C85" s="18"/>
      <c r="D85" s="18"/>
      <c r="E85" s="18"/>
      <c r="F85" s="18"/>
      <c r="G85" s="18"/>
    </row>
    <row r="86" spans="1:2" ht="13.5" thickBot="1">
      <c r="A86" s="1" t="s">
        <v>12</v>
      </c>
      <c r="B86" s="15">
        <f>SUM(C83:G83)</f>
        <v>86.92854196038473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  <ignoredErrors>
    <ignoredError sqref="C75:G75 C57:G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="120" zoomScaleNormal="120" zoomScalePageLayoutView="0" workbookViewId="0" topLeftCell="A1">
      <selection activeCell="B14" sqref="B14"/>
    </sheetView>
  </sheetViews>
  <sheetFormatPr defaultColWidth="9.140625" defaultRowHeight="12.75"/>
  <cols>
    <col min="1" max="1" width="46.140625" style="0" customWidth="1"/>
    <col min="2" max="2" width="11.28125" style="0" customWidth="1"/>
    <col min="8" max="8" width="2.57421875" style="24" customWidth="1"/>
    <col min="9" max="9" width="3.28125" style="0" customWidth="1"/>
    <col min="10" max="10" width="34.00390625" style="0" bestFit="1" customWidth="1"/>
    <col min="11" max="15" width="8.57421875" style="0" customWidth="1"/>
  </cols>
  <sheetData>
    <row r="1" spans="1:11" ht="15.75" customHeight="1">
      <c r="A1" s="54" t="s">
        <v>66</v>
      </c>
      <c r="B1" s="54"/>
      <c r="C1" s="54"/>
      <c r="D1" s="54"/>
      <c r="E1" s="54"/>
      <c r="F1" s="54"/>
      <c r="G1" s="54"/>
      <c r="J1" s="42" t="s">
        <v>54</v>
      </c>
      <c r="K1" s="43">
        <f>B15</f>
        <v>0.1</v>
      </c>
    </row>
    <row r="2" spans="1:11" ht="15.75" customHeight="1">
      <c r="A2" s="54" t="s">
        <v>67</v>
      </c>
      <c r="B2" s="54"/>
      <c r="C2" s="54"/>
      <c r="D2" s="54"/>
      <c r="E2" s="54"/>
      <c r="F2" s="54"/>
      <c r="G2" s="54"/>
      <c r="J2" s="42" t="s">
        <v>53</v>
      </c>
      <c r="K2" s="42">
        <f>K6*(1+(1-B11)*B12/(1-B12))</f>
        <v>1.250048</v>
      </c>
    </row>
    <row r="3" spans="1:11" ht="15.75" customHeight="1">
      <c r="A3" s="50"/>
      <c r="B3" s="50"/>
      <c r="C3" s="50"/>
      <c r="D3" s="50"/>
      <c r="E3" s="50"/>
      <c r="F3" s="50"/>
      <c r="G3" s="50"/>
      <c r="J3" s="42" t="s">
        <v>55</v>
      </c>
      <c r="K3" s="43">
        <v>0.04</v>
      </c>
    </row>
    <row r="4" spans="1:11" ht="12.75">
      <c r="A4" s="1" t="s">
        <v>0</v>
      </c>
      <c r="J4" s="42" t="s">
        <v>2</v>
      </c>
      <c r="K4" s="51">
        <f>K1+K2*K3</f>
        <v>0.15000192</v>
      </c>
    </row>
    <row r="5" spans="1:11" ht="12.75">
      <c r="A5" t="s">
        <v>20</v>
      </c>
      <c r="B5">
        <v>100</v>
      </c>
      <c r="J5" s="42"/>
      <c r="K5" s="43"/>
    </row>
    <row r="6" spans="1:11" ht="12.75">
      <c r="A6" t="s">
        <v>9</v>
      </c>
      <c r="B6">
        <v>20</v>
      </c>
      <c r="J6" s="42" t="s">
        <v>56</v>
      </c>
      <c r="K6" s="44">
        <v>0.8224</v>
      </c>
    </row>
    <row r="7" spans="1:11" ht="12.75">
      <c r="A7" t="s">
        <v>21</v>
      </c>
      <c r="B7" s="16">
        <v>0</v>
      </c>
      <c r="J7" s="42" t="s">
        <v>57</v>
      </c>
      <c r="K7" s="43">
        <f>K1+K6*K3</f>
        <v>0.13289600000000001</v>
      </c>
    </row>
    <row r="8" spans="1:4" ht="12.75">
      <c r="A8" t="s">
        <v>22</v>
      </c>
      <c r="B8">
        <v>5</v>
      </c>
      <c r="D8" s="48" t="s">
        <v>58</v>
      </c>
    </row>
    <row r="9" spans="1:11" ht="12.75">
      <c r="A9" t="s">
        <v>24</v>
      </c>
      <c r="B9">
        <v>5</v>
      </c>
      <c r="D9" s="49">
        <v>1</v>
      </c>
      <c r="K9" s="25"/>
    </row>
    <row r="10" spans="1:11" ht="12.75">
      <c r="A10" t="s">
        <v>26</v>
      </c>
      <c r="B10">
        <v>30</v>
      </c>
      <c r="K10" s="25"/>
    </row>
    <row r="11" spans="1:11" ht="12.75">
      <c r="A11" s="2" t="s">
        <v>1</v>
      </c>
      <c r="B11" s="3">
        <v>0.22</v>
      </c>
      <c r="K11" s="40"/>
    </row>
    <row r="12" spans="1:2" ht="12.75">
      <c r="A12" s="2" t="s">
        <v>23</v>
      </c>
      <c r="B12" s="3">
        <v>0.4</v>
      </c>
    </row>
    <row r="13" spans="1:2" ht="12.75">
      <c r="A13" s="34" t="s">
        <v>57</v>
      </c>
      <c r="B13" s="7">
        <v>0.13289600000000001</v>
      </c>
    </row>
    <row r="14" spans="1:2" ht="12.75">
      <c r="A14" s="2" t="s">
        <v>2</v>
      </c>
      <c r="B14" s="7">
        <f>B13+(1-B11)*B12/(1-B12)*(B13-B15)</f>
        <v>0.15000192</v>
      </c>
    </row>
    <row r="15" spans="1:2" ht="12.75">
      <c r="A15" s="2" t="s">
        <v>3</v>
      </c>
      <c r="B15" s="7">
        <v>0.1</v>
      </c>
    </row>
    <row r="16" ht="12.75">
      <c r="B16" s="52"/>
    </row>
    <row r="17" spans="1:2" ht="12.75">
      <c r="A17" s="1" t="s">
        <v>4</v>
      </c>
      <c r="B17" s="53"/>
    </row>
    <row r="18" spans="1:2" ht="12.75">
      <c r="A18" s="2" t="s">
        <v>5</v>
      </c>
      <c r="B18" s="7"/>
    </row>
    <row r="19" spans="1:2" ht="12.75">
      <c r="A19" s="2" t="s">
        <v>6</v>
      </c>
      <c r="B19" s="7"/>
    </row>
    <row r="20" spans="1:2" ht="12.75">
      <c r="A20" s="2" t="s">
        <v>7</v>
      </c>
      <c r="B20" s="7"/>
    </row>
    <row r="22" spans="1:7" ht="12.75">
      <c r="A22" s="35" t="s">
        <v>52</v>
      </c>
      <c r="B22" s="36"/>
      <c r="C22" s="37"/>
      <c r="D22" s="36"/>
      <c r="E22" s="36"/>
      <c r="F22" s="36"/>
      <c r="G22" s="36"/>
    </row>
    <row r="23" spans="1:15" ht="13.5" thickBot="1">
      <c r="A23" s="5" t="s">
        <v>8</v>
      </c>
      <c r="B23" s="6">
        <v>0</v>
      </c>
      <c r="C23" s="6">
        <v>1</v>
      </c>
      <c r="D23" s="6">
        <v>2</v>
      </c>
      <c r="E23" s="6">
        <v>3</v>
      </c>
      <c r="F23" s="6">
        <v>4</v>
      </c>
      <c r="G23" s="6">
        <v>5</v>
      </c>
      <c r="K23" s="18"/>
      <c r="L23" s="18"/>
      <c r="M23" s="18"/>
      <c r="N23" s="18"/>
      <c r="O23" s="18"/>
    </row>
    <row r="24" spans="1:15" ht="13.5" thickTop="1">
      <c r="A24" t="s">
        <v>9</v>
      </c>
      <c r="C24" s="8"/>
      <c r="D24" s="8"/>
      <c r="E24" s="8"/>
      <c r="F24" s="8"/>
      <c r="G24" s="8"/>
      <c r="K24" s="18"/>
      <c r="L24" s="18"/>
      <c r="M24" s="18"/>
      <c r="N24" s="18"/>
      <c r="O24" s="18"/>
    </row>
    <row r="25" spans="1:15" ht="12.75">
      <c r="A25" s="17" t="s">
        <v>33</v>
      </c>
      <c r="C25" s="8"/>
      <c r="D25" s="8"/>
      <c r="E25" s="8"/>
      <c r="F25" s="8"/>
      <c r="G25" s="8"/>
      <c r="K25" s="18"/>
      <c r="L25" s="18"/>
      <c r="M25" s="18"/>
      <c r="N25" s="18"/>
      <c r="O25" s="18"/>
    </row>
    <row r="26" spans="1:11" ht="12.75">
      <c r="A26" s="2" t="s">
        <v>10</v>
      </c>
      <c r="C26" s="18"/>
      <c r="D26" s="18"/>
      <c r="E26" s="18"/>
      <c r="F26" s="18"/>
      <c r="G26" s="18"/>
      <c r="K26" s="18"/>
    </row>
    <row r="27" spans="1:7" ht="12.75">
      <c r="A27" s="17" t="s">
        <v>25</v>
      </c>
      <c r="C27" s="18"/>
      <c r="D27" s="18"/>
      <c r="E27" s="18"/>
      <c r="F27" s="18"/>
      <c r="G27" s="18"/>
    </row>
    <row r="28" spans="1:7" ht="12.75">
      <c r="A28" s="17" t="s">
        <v>27</v>
      </c>
      <c r="C28" s="18"/>
      <c r="D28" s="18"/>
      <c r="E28" s="18"/>
      <c r="F28" s="18"/>
      <c r="G28" s="18"/>
    </row>
    <row r="29" spans="1:15" ht="12.75">
      <c r="A29" s="17" t="s">
        <v>42</v>
      </c>
      <c r="B29" s="18"/>
      <c r="C29" s="18"/>
      <c r="D29" s="18"/>
      <c r="E29" s="18"/>
      <c r="F29" s="18"/>
      <c r="G29" s="18"/>
      <c r="K29" s="25"/>
      <c r="L29" s="25"/>
      <c r="M29" s="25"/>
      <c r="N29" s="25"/>
      <c r="O29" s="25"/>
    </row>
    <row r="30" spans="1:15" ht="12.75">
      <c r="A30" s="2" t="s">
        <v>28</v>
      </c>
      <c r="B30" s="18"/>
      <c r="C30" s="18"/>
      <c r="D30" s="18"/>
      <c r="E30" s="18"/>
      <c r="F30" s="18"/>
      <c r="G30" s="18"/>
      <c r="K30" s="18"/>
      <c r="L30" s="18"/>
      <c r="M30" s="18"/>
      <c r="N30" s="18"/>
      <c r="O30" s="18"/>
    </row>
    <row r="31" spans="1:11" ht="12.75">
      <c r="A31" s="21" t="s">
        <v>32</v>
      </c>
      <c r="B31" s="18"/>
      <c r="C31" s="18"/>
      <c r="D31" s="18"/>
      <c r="E31" s="18"/>
      <c r="F31" s="18"/>
      <c r="G31" s="18"/>
      <c r="K31" s="18"/>
    </row>
    <row r="32" spans="1:7" ht="13.5" thickBot="1">
      <c r="A32" s="21" t="s">
        <v>11</v>
      </c>
      <c r="B32" s="18"/>
      <c r="C32" s="18"/>
      <c r="D32" s="18"/>
      <c r="E32" s="18"/>
      <c r="F32" s="18"/>
      <c r="G32" s="18"/>
    </row>
    <row r="33" spans="1:10" ht="13.5" thickBot="1">
      <c r="A33" s="23" t="s">
        <v>49</v>
      </c>
      <c r="B33" s="15"/>
      <c r="C33" s="18"/>
      <c r="D33" s="18"/>
      <c r="E33" s="18"/>
      <c r="F33" s="18"/>
      <c r="G33" s="18"/>
      <c r="J33" s="25"/>
    </row>
    <row r="34" spans="1:7" ht="13.5" thickBot="1">
      <c r="A34" s="21"/>
      <c r="B34" s="18"/>
      <c r="C34" s="18"/>
      <c r="D34" s="18"/>
      <c r="E34" s="18"/>
      <c r="F34" s="18"/>
      <c r="G34" s="18"/>
    </row>
    <row r="35" spans="1:7" ht="13.5" thickBot="1">
      <c r="A35" s="1" t="s">
        <v>29</v>
      </c>
      <c r="B35" s="15"/>
      <c r="C35" s="9"/>
      <c r="D35" s="9"/>
      <c r="E35" s="9"/>
      <c r="F35" s="9"/>
      <c r="G35" s="9"/>
    </row>
    <row r="36" spans="1:7" ht="13.5" thickBot="1">
      <c r="A36" s="1" t="s">
        <v>12</v>
      </c>
      <c r="B36" s="15"/>
      <c r="C36" s="11"/>
      <c r="D36" s="11"/>
      <c r="E36" s="11"/>
      <c r="F36" s="11"/>
      <c r="G36" s="11"/>
    </row>
    <row r="37" spans="1:7" ht="13.5" thickBot="1">
      <c r="A37" s="1" t="s">
        <v>13</v>
      </c>
      <c r="B37" s="15"/>
      <c r="C37" s="11"/>
      <c r="D37" s="11"/>
      <c r="E37" s="11"/>
      <c r="F37" s="11"/>
      <c r="G37" s="11"/>
    </row>
    <row r="38" spans="1:7" ht="13.5" thickBot="1">
      <c r="A38" s="1" t="s">
        <v>31</v>
      </c>
      <c r="B38" s="15"/>
      <c r="C38" s="11"/>
      <c r="D38" s="11"/>
      <c r="E38" s="11"/>
      <c r="F38" s="11"/>
      <c r="G38" s="11"/>
    </row>
    <row r="40" ht="12.75">
      <c r="B40" s="20"/>
    </row>
    <row r="41" spans="1:7" ht="12.75">
      <c r="A41" s="1" t="s">
        <v>14</v>
      </c>
      <c r="B41" s="4"/>
      <c r="C41" s="2"/>
      <c r="D41" s="2"/>
      <c r="E41" s="2"/>
      <c r="F41" s="2"/>
      <c r="G41" s="2"/>
    </row>
    <row r="42" spans="1:7" ht="12.75">
      <c r="A42" s="2" t="s">
        <v>69</v>
      </c>
      <c r="B42" s="8"/>
      <c r="C42" s="8"/>
      <c r="D42" s="8"/>
      <c r="E42" s="8"/>
      <c r="F42" s="8"/>
      <c r="G42" s="8"/>
    </row>
    <row r="43" spans="1:7" ht="12.75">
      <c r="A43" s="2" t="s">
        <v>70</v>
      </c>
      <c r="B43" s="8"/>
      <c r="C43" s="8"/>
      <c r="D43" s="8"/>
      <c r="E43" s="8"/>
      <c r="F43" s="8"/>
      <c r="G43" s="8"/>
    </row>
    <row r="44" spans="1:7" ht="12.75">
      <c r="A44" s="2"/>
      <c r="B44" s="8"/>
      <c r="C44" s="8"/>
      <c r="D44" s="8"/>
      <c r="E44" s="8"/>
      <c r="F44" s="8"/>
      <c r="G44" s="8"/>
    </row>
    <row r="45" spans="1:7" ht="12.75">
      <c r="A45" s="1" t="s">
        <v>36</v>
      </c>
      <c r="B45" s="8"/>
      <c r="C45" s="8"/>
      <c r="D45" s="8"/>
      <c r="E45" s="8"/>
      <c r="F45" s="8"/>
      <c r="G45" s="8"/>
    </row>
    <row r="46" spans="1:7" ht="12.75">
      <c r="A46" s="2" t="s">
        <v>37</v>
      </c>
      <c r="B46" s="8"/>
      <c r="C46" s="8"/>
      <c r="D46" s="8"/>
      <c r="E46" s="8"/>
      <c r="F46" s="8"/>
      <c r="G46" s="8"/>
    </row>
    <row r="47" spans="1:7" ht="12.75">
      <c r="A47" s="2" t="s">
        <v>38</v>
      </c>
      <c r="B47" s="8"/>
      <c r="C47" s="8"/>
      <c r="D47" s="8"/>
      <c r="E47" s="8"/>
      <c r="F47" s="8"/>
      <c r="G47" s="8"/>
    </row>
    <row r="48" spans="1:7" ht="12.75">
      <c r="A48" s="2" t="s">
        <v>39</v>
      </c>
      <c r="B48" s="8"/>
      <c r="C48" s="8"/>
      <c r="D48" s="8"/>
      <c r="E48" s="8"/>
      <c r="F48" s="8"/>
      <c r="G48" s="8"/>
    </row>
    <row r="49" spans="1:7" ht="12.75">
      <c r="A49" s="2" t="s">
        <v>40</v>
      </c>
      <c r="B49" s="8"/>
      <c r="C49" s="8"/>
      <c r="D49" s="8"/>
      <c r="E49" s="8"/>
      <c r="F49" s="8"/>
      <c r="G49" s="8"/>
    </row>
    <row r="50" spans="1:7" ht="12.75">
      <c r="A50" s="2" t="s">
        <v>41</v>
      </c>
      <c r="B50" s="8"/>
      <c r="C50" s="8"/>
      <c r="D50" s="8"/>
      <c r="E50" s="8"/>
      <c r="F50" s="8"/>
      <c r="G50" s="8"/>
    </row>
    <row r="51" spans="1:7" ht="12.75">
      <c r="A51" s="2"/>
      <c r="B51" s="8"/>
      <c r="C51" s="8"/>
      <c r="D51" s="8"/>
      <c r="E51" s="8"/>
      <c r="F51" s="8"/>
      <c r="G51" s="8"/>
    </row>
    <row r="52" spans="1:7" ht="12.75">
      <c r="A52" s="35" t="s">
        <v>51</v>
      </c>
      <c r="B52" s="38"/>
      <c r="C52" s="36"/>
      <c r="D52" s="36"/>
      <c r="E52" s="36"/>
      <c r="F52" s="36"/>
      <c r="G52" s="36"/>
    </row>
    <row r="53" spans="1:7" ht="13.5" thickBot="1">
      <c r="A53" s="5" t="s">
        <v>8</v>
      </c>
      <c r="B53" s="6">
        <v>0</v>
      </c>
      <c r="C53" s="6">
        <v>1</v>
      </c>
      <c r="D53" s="6">
        <v>2</v>
      </c>
      <c r="E53" s="6">
        <v>3</v>
      </c>
      <c r="F53" s="6">
        <v>4</v>
      </c>
      <c r="G53" s="6">
        <v>5</v>
      </c>
    </row>
    <row r="54" spans="1:7" ht="13.5" thickTop="1">
      <c r="A54" s="2" t="s">
        <v>9</v>
      </c>
      <c r="B54" s="8"/>
      <c r="C54" s="8"/>
      <c r="D54" s="8"/>
      <c r="E54" s="8"/>
      <c r="F54" s="8"/>
      <c r="G54" s="8"/>
    </row>
    <row r="55" spans="1:7" ht="12.75">
      <c r="A55" s="12" t="s">
        <v>17</v>
      </c>
      <c r="B55" s="4"/>
      <c r="C55" s="13"/>
      <c r="D55" s="13"/>
      <c r="E55" s="13"/>
      <c r="F55" s="13"/>
      <c r="G55" s="13"/>
    </row>
    <row r="56" spans="1:7" ht="12.75">
      <c r="A56" s="2" t="s">
        <v>18</v>
      </c>
      <c r="B56" s="4"/>
      <c r="C56" s="11"/>
      <c r="D56" s="11"/>
      <c r="E56" s="11"/>
      <c r="F56" s="11"/>
      <c r="G56" s="11"/>
    </row>
    <row r="57" spans="1:7" ht="12.75">
      <c r="A57" s="12" t="s">
        <v>33</v>
      </c>
      <c r="B57" s="4"/>
      <c r="C57" s="11"/>
      <c r="D57" s="11"/>
      <c r="E57" s="11"/>
      <c r="F57" s="11"/>
      <c r="G57" s="11"/>
    </row>
    <row r="58" spans="1:7" ht="12.75">
      <c r="A58" s="2" t="s">
        <v>34</v>
      </c>
      <c r="B58" s="4"/>
      <c r="C58" s="11"/>
      <c r="D58" s="11"/>
      <c r="E58" s="11"/>
      <c r="F58" s="11"/>
      <c r="G58" s="11"/>
    </row>
    <row r="59" spans="1:7" ht="12.75">
      <c r="A59" s="12" t="s">
        <v>35</v>
      </c>
      <c r="B59" s="4"/>
      <c r="C59" s="11"/>
      <c r="D59" s="11"/>
      <c r="E59" s="11"/>
      <c r="F59" s="11"/>
      <c r="G59" s="11"/>
    </row>
    <row r="60" spans="1:7" ht="12.75">
      <c r="A60" s="17" t="s">
        <v>25</v>
      </c>
      <c r="B60" s="4"/>
      <c r="C60" s="18"/>
      <c r="D60" s="18"/>
      <c r="E60" s="18"/>
      <c r="F60" s="18"/>
      <c r="G60" s="18"/>
    </row>
    <row r="61" spans="1:7" ht="12.75">
      <c r="A61" s="17" t="s">
        <v>27</v>
      </c>
      <c r="B61" s="4"/>
      <c r="C61" s="11"/>
      <c r="D61" s="11"/>
      <c r="E61" s="11"/>
      <c r="F61" s="11"/>
      <c r="G61" s="11"/>
    </row>
    <row r="62" spans="1:7" ht="12.75">
      <c r="A62" s="17" t="s">
        <v>42</v>
      </c>
      <c r="B62" s="18"/>
      <c r="C62" s="11"/>
      <c r="D62" s="11"/>
      <c r="E62" s="11"/>
      <c r="F62" s="11"/>
      <c r="G62" s="18"/>
    </row>
    <row r="63" spans="1:7" ht="12.75">
      <c r="A63" s="2" t="s">
        <v>30</v>
      </c>
      <c r="B63" s="11"/>
      <c r="C63" s="11"/>
      <c r="D63" s="11"/>
      <c r="E63" s="11"/>
      <c r="F63" s="11"/>
      <c r="G63" s="11"/>
    </row>
    <row r="64" spans="1:7" ht="12.75">
      <c r="A64" s="21" t="s">
        <v>32</v>
      </c>
      <c r="B64" s="11"/>
      <c r="C64" s="11"/>
      <c r="D64" s="11"/>
      <c r="E64" s="11"/>
      <c r="F64" s="11"/>
      <c r="G64" s="11"/>
    </row>
    <row r="65" spans="1:7" ht="13.5" thickBot="1">
      <c r="A65" s="21" t="s">
        <v>11</v>
      </c>
      <c r="B65" s="18"/>
      <c r="C65" s="18"/>
      <c r="D65" s="18"/>
      <c r="E65" s="18"/>
      <c r="F65" s="18"/>
      <c r="G65" s="18"/>
    </row>
    <row r="66" spans="1:2" ht="13.5" thickBot="1">
      <c r="A66" s="23" t="s">
        <v>49</v>
      </c>
      <c r="B66" s="15"/>
    </row>
    <row r="67" spans="1:2" ht="13.5" thickBot="1">
      <c r="A67" s="19"/>
      <c r="B67" s="20"/>
    </row>
    <row r="68" spans="1:2" ht="13.5" thickBot="1">
      <c r="A68" s="1" t="s">
        <v>29</v>
      </c>
      <c r="B68" s="15"/>
    </row>
    <row r="70" spans="1:7" ht="12.75">
      <c r="A70" s="35" t="s">
        <v>50</v>
      </c>
      <c r="B70" s="38"/>
      <c r="C70" s="36"/>
      <c r="D70" s="36"/>
      <c r="E70" s="36"/>
      <c r="F70" s="36"/>
      <c r="G70" s="36"/>
    </row>
    <row r="71" spans="1:7" ht="13.5" thickBot="1">
      <c r="A71" s="5" t="s">
        <v>8</v>
      </c>
      <c r="B71" s="6">
        <v>0</v>
      </c>
      <c r="C71" s="6">
        <v>1</v>
      </c>
      <c r="D71" s="6">
        <v>2</v>
      </c>
      <c r="E71" s="6">
        <v>3</v>
      </c>
      <c r="F71" s="6">
        <v>4</v>
      </c>
      <c r="G71" s="6">
        <v>5</v>
      </c>
    </row>
    <row r="72" spans="1:7" ht="13.5" thickTop="1">
      <c r="A72" s="2" t="s">
        <v>9</v>
      </c>
      <c r="B72" s="14"/>
      <c r="C72" s="8"/>
      <c r="D72" s="8"/>
      <c r="E72" s="8"/>
      <c r="F72" s="8"/>
      <c r="G72" s="8"/>
    </row>
    <row r="73" spans="1:7" ht="12.75">
      <c r="A73" s="12" t="s">
        <v>17</v>
      </c>
      <c r="B73" s="14"/>
      <c r="C73" s="8"/>
      <c r="D73" s="8"/>
      <c r="E73" s="8"/>
      <c r="F73" s="8"/>
      <c r="G73" s="8"/>
    </row>
    <row r="74" spans="1:7" ht="12.75">
      <c r="A74" s="2" t="s">
        <v>18</v>
      </c>
      <c r="B74" s="14"/>
      <c r="C74" s="8"/>
      <c r="D74" s="8"/>
      <c r="E74" s="8"/>
      <c r="F74" s="8"/>
      <c r="G74" s="8"/>
    </row>
    <row r="75" spans="1:7" ht="12.75">
      <c r="A75" s="12" t="s">
        <v>33</v>
      </c>
      <c r="B75" s="14"/>
      <c r="C75" s="8"/>
      <c r="D75" s="8"/>
      <c r="E75" s="8"/>
      <c r="F75" s="8"/>
      <c r="G75" s="8"/>
    </row>
    <row r="76" spans="1:7" ht="12.75">
      <c r="A76" s="2" t="s">
        <v>19</v>
      </c>
      <c r="B76" s="14"/>
      <c r="C76" s="8"/>
      <c r="D76" s="8"/>
      <c r="E76" s="8"/>
      <c r="F76" s="8"/>
      <c r="G76" s="8"/>
    </row>
    <row r="77" spans="1:7" ht="12.75">
      <c r="A77" s="17" t="s">
        <v>25</v>
      </c>
      <c r="C77" s="8"/>
      <c r="D77" s="8"/>
      <c r="E77" s="8"/>
      <c r="F77" s="8"/>
      <c r="G77" s="8"/>
    </row>
    <row r="78" spans="1:7" ht="12.75">
      <c r="A78" s="17" t="s">
        <v>27</v>
      </c>
      <c r="C78" s="8"/>
      <c r="D78" s="8"/>
      <c r="E78" s="8"/>
      <c r="F78" s="8"/>
      <c r="G78" s="8"/>
    </row>
    <row r="79" spans="1:7" ht="12.75">
      <c r="A79" s="17" t="s">
        <v>42</v>
      </c>
      <c r="B79" s="18"/>
      <c r="C79" s="11"/>
      <c r="D79" s="11"/>
      <c r="E79" s="11"/>
      <c r="F79" s="11"/>
      <c r="G79" s="11"/>
    </row>
    <row r="80" spans="1:7" ht="12.75">
      <c r="A80" s="2" t="s">
        <v>43</v>
      </c>
      <c r="B80" s="18"/>
      <c r="C80" s="18"/>
      <c r="D80" s="18"/>
      <c r="E80" s="18"/>
      <c r="F80" s="18"/>
      <c r="G80" s="18"/>
    </row>
    <row r="81" spans="1:7" ht="12.75">
      <c r="A81" s="2" t="s">
        <v>44</v>
      </c>
      <c r="B81" s="18"/>
      <c r="C81" s="18"/>
      <c r="D81" s="18"/>
      <c r="E81" s="18"/>
      <c r="F81" s="18"/>
      <c r="G81" s="18"/>
    </row>
    <row r="82" spans="1:7" ht="12.75">
      <c r="A82" s="21" t="s">
        <v>32</v>
      </c>
      <c r="B82" s="18"/>
      <c r="C82" s="18"/>
      <c r="D82" s="18"/>
      <c r="E82" s="18"/>
      <c r="F82" s="18"/>
      <c r="G82" s="18"/>
    </row>
    <row r="83" spans="1:7" ht="13.5" thickBot="1">
      <c r="A83" s="21" t="s">
        <v>11</v>
      </c>
      <c r="B83" s="18"/>
      <c r="C83" s="18"/>
      <c r="D83" s="18"/>
      <c r="E83" s="18"/>
      <c r="F83" s="18"/>
      <c r="G83" s="18"/>
    </row>
    <row r="84" spans="1:7" ht="13.5" thickBot="1">
      <c r="A84" s="23" t="s">
        <v>49</v>
      </c>
      <c r="B84" s="15"/>
      <c r="C84" s="18"/>
      <c r="D84" s="18"/>
      <c r="E84" s="18"/>
      <c r="F84" s="18"/>
      <c r="G84" s="18"/>
    </row>
    <row r="85" spans="1:7" ht="13.5" thickBot="1">
      <c r="A85" s="2"/>
      <c r="C85" s="18"/>
      <c r="D85" s="18"/>
      <c r="E85" s="18"/>
      <c r="F85" s="18"/>
      <c r="G85" s="18"/>
    </row>
    <row r="86" spans="1:2" ht="13.5" thickBot="1">
      <c r="A86" s="1" t="s">
        <v>12</v>
      </c>
      <c r="B86" s="15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104"/>
  <sheetViews>
    <sheetView zoomScale="90" zoomScaleNormal="90" zoomScalePageLayoutView="0" workbookViewId="0" topLeftCell="A1">
      <selection activeCell="B13" sqref="B13"/>
    </sheetView>
  </sheetViews>
  <sheetFormatPr defaultColWidth="9.140625" defaultRowHeight="12.75"/>
  <cols>
    <col min="1" max="1" width="46.140625" style="0" customWidth="1"/>
    <col min="2" max="2" width="9.28125" style="0" bestFit="1" customWidth="1"/>
    <col min="9" max="9" width="2.57421875" style="24" customWidth="1"/>
    <col min="10" max="10" width="3.28125" style="0" customWidth="1"/>
    <col min="11" max="11" width="34.00390625" style="0" bestFit="1" customWidth="1"/>
    <col min="12" max="120" width="8.57421875" style="0" customWidth="1"/>
  </cols>
  <sheetData>
    <row r="1" spans="1:12" ht="15.75" customHeight="1">
      <c r="A1" s="54" t="s">
        <v>45</v>
      </c>
      <c r="B1" s="54"/>
      <c r="C1" s="54"/>
      <c r="D1" s="54"/>
      <c r="E1" s="54"/>
      <c r="F1" s="54"/>
      <c r="G1" s="54"/>
      <c r="H1" s="39"/>
      <c r="K1" s="42" t="s">
        <v>54</v>
      </c>
      <c r="L1" s="43">
        <f>B14</f>
        <v>0.1</v>
      </c>
    </row>
    <row r="2" spans="1:12" ht="15.75" customHeight="1">
      <c r="A2" s="54" t="s">
        <v>46</v>
      </c>
      <c r="B2" s="54"/>
      <c r="C2" s="54"/>
      <c r="D2" s="54"/>
      <c r="E2" s="54"/>
      <c r="F2" s="54"/>
      <c r="G2" s="54"/>
      <c r="H2" s="39"/>
      <c r="K2" s="42" t="s">
        <v>53</v>
      </c>
      <c r="L2" s="42">
        <f>L6*(1+(1-B10)*B11/(1-B11))</f>
        <v>1.2666666666666668</v>
      </c>
    </row>
    <row r="3" spans="1:12" ht="15.75" customHeight="1">
      <c r="A3" s="39"/>
      <c r="B3" s="39"/>
      <c r="C3" s="39"/>
      <c r="D3" s="39"/>
      <c r="E3" s="39"/>
      <c r="F3" s="39"/>
      <c r="G3" s="39"/>
      <c r="H3" s="39"/>
      <c r="K3" s="42" t="s">
        <v>55</v>
      </c>
      <c r="L3" s="43">
        <v>0.04</v>
      </c>
    </row>
    <row r="4" spans="1:12" ht="12.75">
      <c r="A4" s="1" t="s">
        <v>0</v>
      </c>
      <c r="K4" s="42" t="s">
        <v>2</v>
      </c>
      <c r="L4" s="43">
        <f>L1+L2*L3</f>
        <v>0.15066666666666667</v>
      </c>
    </row>
    <row r="5" spans="1:12" ht="12.75">
      <c r="A5" t="s">
        <v>20</v>
      </c>
      <c r="B5">
        <v>200</v>
      </c>
      <c r="K5" s="42"/>
      <c r="L5" s="43"/>
    </row>
    <row r="6" spans="1:12" ht="12.75">
      <c r="A6" t="s">
        <v>9</v>
      </c>
      <c r="B6">
        <v>20</v>
      </c>
      <c r="K6" s="42" t="s">
        <v>56</v>
      </c>
      <c r="L6" s="44">
        <v>0.8333333333333334</v>
      </c>
    </row>
    <row r="7" spans="1:12" ht="12.75">
      <c r="A7" t="s">
        <v>21</v>
      </c>
      <c r="B7" s="16">
        <v>0</v>
      </c>
      <c r="K7" s="42" t="s">
        <v>57</v>
      </c>
      <c r="L7" s="43">
        <f>L1+L6*L3</f>
        <v>0.13333333333333333</v>
      </c>
    </row>
    <row r="8" spans="1:12" ht="12.75">
      <c r="A8" t="s">
        <v>22</v>
      </c>
      <c r="B8" s="33" t="s">
        <v>61</v>
      </c>
      <c r="D8" s="46" t="s">
        <v>58</v>
      </c>
      <c r="L8">
        <f>L7+(L7-L1)*(1-B10)*B11/(1-B11)</f>
        <v>0.15066666666666667</v>
      </c>
    </row>
    <row r="9" spans="1:12" ht="12.75">
      <c r="A9" t="s">
        <v>24</v>
      </c>
      <c r="B9">
        <v>5</v>
      </c>
      <c r="D9" s="47">
        <v>1</v>
      </c>
      <c r="L9" s="25"/>
    </row>
    <row r="10" spans="1:12" ht="12.75">
      <c r="A10" s="2" t="s">
        <v>1</v>
      </c>
      <c r="B10" s="3">
        <v>0.22</v>
      </c>
      <c r="L10" s="40"/>
    </row>
    <row r="11" spans="1:2" ht="12.75">
      <c r="A11" s="2" t="s">
        <v>23</v>
      </c>
      <c r="B11" s="3">
        <v>0.4</v>
      </c>
    </row>
    <row r="12" spans="1:2" ht="12.75">
      <c r="A12" s="34" t="s">
        <v>57</v>
      </c>
      <c r="B12" s="7">
        <v>0.13333333333333333</v>
      </c>
    </row>
    <row r="13" spans="1:2" ht="12.75">
      <c r="A13" s="2" t="s">
        <v>2</v>
      </c>
      <c r="B13" s="7">
        <f>B12+(1-B10)*B11/(1-B11)*(B12-B14)</f>
        <v>0.15066666666666667</v>
      </c>
    </row>
    <row r="14" spans="1:2" ht="12.75">
      <c r="A14" s="2" t="s">
        <v>3</v>
      </c>
      <c r="B14" s="7">
        <v>0.1</v>
      </c>
    </row>
    <row r="16" spans="1:2" ht="12.75">
      <c r="A16" s="1" t="s">
        <v>4</v>
      </c>
      <c r="B16" s="4"/>
    </row>
    <row r="17" spans="1:2" ht="12.75">
      <c r="A17" s="2" t="s">
        <v>5</v>
      </c>
      <c r="B17" s="7">
        <f>B14*(1-$B$10)</f>
        <v>0.07800000000000001</v>
      </c>
    </row>
    <row r="18" spans="1:2" ht="12.75">
      <c r="A18" s="2" t="s">
        <v>6</v>
      </c>
      <c r="B18" s="41">
        <f>(1-B11)*B13+B11*B17</f>
        <v>0.1216</v>
      </c>
    </row>
    <row r="19" spans="1:2" ht="12.75">
      <c r="A19" s="2" t="s">
        <v>7</v>
      </c>
      <c r="B19" s="7">
        <f>(1-B11)*B13+B11*B14</f>
        <v>0.13040000000000002</v>
      </c>
    </row>
    <row r="21" spans="1:8" ht="12.75">
      <c r="A21" s="35" t="s">
        <v>52</v>
      </c>
      <c r="B21" s="36"/>
      <c r="C21" s="37"/>
      <c r="D21" s="36"/>
      <c r="E21" s="36"/>
      <c r="F21" s="36"/>
      <c r="G21" s="36"/>
      <c r="H21" s="36"/>
    </row>
    <row r="22" spans="1:120" ht="13.5" thickBot="1">
      <c r="A22" s="5" t="s">
        <v>8</v>
      </c>
      <c r="B22" s="6">
        <v>0</v>
      </c>
      <c r="C22" s="6">
        <v>1</v>
      </c>
      <c r="D22" s="6">
        <v>2</v>
      </c>
      <c r="E22" s="6">
        <v>3</v>
      </c>
      <c r="F22" s="6">
        <v>4</v>
      </c>
      <c r="G22" s="6">
        <v>5</v>
      </c>
      <c r="H22" s="6">
        <v>6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ht="13.5" thickTop="1">
      <c r="A23" t="s">
        <v>9</v>
      </c>
      <c r="C23" s="8">
        <f>$B$6</f>
        <v>20</v>
      </c>
      <c r="D23" s="18">
        <f>C23*(1+$B$7)</f>
        <v>20</v>
      </c>
      <c r="E23" s="18">
        <f>D23*(1+$B$7)</f>
        <v>20</v>
      </c>
      <c r="F23" s="18">
        <f>E23*(1+$B$7)</f>
        <v>20</v>
      </c>
      <c r="G23" s="18">
        <f>F23*(1+$B$7)</f>
        <v>20</v>
      </c>
      <c r="H23" s="18">
        <f>G23+G26</f>
        <v>60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1:120" ht="12.75">
      <c r="A24" s="17" t="s">
        <v>33</v>
      </c>
      <c r="C24" s="8">
        <f aca="true" t="shared" si="0" ref="C24:H24">C23*$B$10</f>
        <v>4.4</v>
      </c>
      <c r="D24" s="8">
        <f t="shared" si="0"/>
        <v>4.4</v>
      </c>
      <c r="E24" s="8">
        <f t="shared" si="0"/>
        <v>4.4</v>
      </c>
      <c r="F24" s="8">
        <f t="shared" si="0"/>
        <v>4.4</v>
      </c>
      <c r="G24" s="8">
        <f t="shared" si="0"/>
        <v>4.4</v>
      </c>
      <c r="H24" s="8">
        <f t="shared" si="0"/>
        <v>13.2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12" ht="12.75">
      <c r="A25" s="2" t="s">
        <v>10</v>
      </c>
      <c r="C25" s="18">
        <f aca="true" t="shared" si="1" ref="C25:H25">C23*(1-$B$10)</f>
        <v>15.600000000000001</v>
      </c>
      <c r="D25" s="18">
        <f t="shared" si="1"/>
        <v>15.600000000000001</v>
      </c>
      <c r="E25" s="18">
        <f t="shared" si="1"/>
        <v>15.600000000000001</v>
      </c>
      <c r="F25" s="18">
        <f t="shared" si="1"/>
        <v>15.600000000000001</v>
      </c>
      <c r="G25" s="18">
        <f t="shared" si="1"/>
        <v>15.600000000000001</v>
      </c>
      <c r="H25" s="18">
        <f t="shared" si="1"/>
        <v>46.800000000000004</v>
      </c>
      <c r="L25" s="18"/>
    </row>
    <row r="26" spans="1:8" ht="12.75">
      <c r="A26" s="17" t="s">
        <v>25</v>
      </c>
      <c r="C26" s="18">
        <f>$B$5/$B$9*$D$9</f>
        <v>40</v>
      </c>
      <c r="D26" s="18">
        <f>$B$5/$B$9*$D$9</f>
        <v>40</v>
      </c>
      <c r="E26" s="18">
        <f>$B$5/$B$9*$D$9</f>
        <v>40</v>
      </c>
      <c r="F26" s="18">
        <f>$B$5/$B$9*$D$9</f>
        <v>40</v>
      </c>
      <c r="G26" s="18">
        <f>$B$5/$B$9*$D$9</f>
        <v>40</v>
      </c>
      <c r="H26" s="18">
        <v>0</v>
      </c>
    </row>
    <row r="27" spans="1:120" ht="12.75">
      <c r="A27" s="17" t="s">
        <v>42</v>
      </c>
      <c r="B27" s="18">
        <f>$B$5</f>
        <v>200</v>
      </c>
      <c r="C27" s="18"/>
      <c r="D27" s="18"/>
      <c r="E27" s="18"/>
      <c r="F27" s="18"/>
      <c r="G27" s="18"/>
      <c r="H27" s="18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</row>
    <row r="28" spans="1:120" ht="12.75">
      <c r="A28" s="17" t="s">
        <v>60</v>
      </c>
      <c r="B28" s="18"/>
      <c r="C28" s="18"/>
      <c r="D28" s="18"/>
      <c r="E28" s="18"/>
      <c r="F28" s="18"/>
      <c r="G28" s="18">
        <f>(H25+H26+H27)/B18</f>
        <v>384.8684210526316</v>
      </c>
      <c r="H28" s="18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</row>
    <row r="29" spans="1:120" ht="12.75">
      <c r="A29" s="2" t="s">
        <v>28</v>
      </c>
      <c r="B29" s="18">
        <f aca="true" t="shared" si="2" ref="B29:G29">B25+B26+B28-B27</f>
        <v>-200</v>
      </c>
      <c r="C29" s="18">
        <f t="shared" si="2"/>
        <v>55.6</v>
      </c>
      <c r="D29" s="18">
        <f t="shared" si="2"/>
        <v>55.6</v>
      </c>
      <c r="E29" s="18">
        <f t="shared" si="2"/>
        <v>55.6</v>
      </c>
      <c r="F29" s="18">
        <f t="shared" si="2"/>
        <v>55.6</v>
      </c>
      <c r="G29" s="18">
        <f t="shared" si="2"/>
        <v>440.46842105263164</v>
      </c>
      <c r="H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1:12" ht="12.75">
      <c r="A30" s="21" t="s">
        <v>32</v>
      </c>
      <c r="B30" s="18">
        <f aca="true" t="shared" si="3" ref="B30:G30">1/(1+$B$18)^B22</f>
        <v>1</v>
      </c>
      <c r="C30" s="18">
        <f>1/(1+$B$18)^C22</f>
        <v>0.891583452211127</v>
      </c>
      <c r="D30" s="18">
        <f t="shared" si="3"/>
        <v>0.7949210522567111</v>
      </c>
      <c r="E30" s="18">
        <f t="shared" si="3"/>
        <v>0.7087384560063402</v>
      </c>
      <c r="F30" s="18">
        <f t="shared" si="3"/>
        <v>0.6318994793209167</v>
      </c>
      <c r="G30" s="18">
        <f t="shared" si="3"/>
        <v>0.5633911192233566</v>
      </c>
      <c r="H30" s="18"/>
      <c r="L30" s="18"/>
    </row>
    <row r="31" spans="1:8" ht="13.5" thickBot="1">
      <c r="A31" s="21" t="s">
        <v>11</v>
      </c>
      <c r="B31" s="18">
        <f aca="true" t="shared" si="4" ref="B31:G31">B29*B30</f>
        <v>-200</v>
      </c>
      <c r="C31" s="18">
        <f t="shared" si="4"/>
        <v>49.572039942938666</v>
      </c>
      <c r="D31" s="18">
        <f t="shared" si="4"/>
        <v>44.197610505473136</v>
      </c>
      <c r="E31" s="18">
        <f t="shared" si="4"/>
        <v>39.405858153952515</v>
      </c>
      <c r="F31" s="18">
        <f t="shared" si="4"/>
        <v>35.13361105024297</v>
      </c>
      <c r="G31" s="18">
        <f t="shared" si="4"/>
        <v>248.15599671938682</v>
      </c>
      <c r="H31" s="18"/>
    </row>
    <row r="32" spans="1:11" ht="13.5" thickBot="1">
      <c r="A32" s="23" t="s">
        <v>49</v>
      </c>
      <c r="B32" s="15">
        <f>SUM(B31:G31)</f>
        <v>216.4651163719941</v>
      </c>
      <c r="C32" s="18"/>
      <c r="D32" s="18"/>
      <c r="E32" s="18"/>
      <c r="F32" s="18"/>
      <c r="G32" s="18"/>
      <c r="H32" s="18"/>
      <c r="K32" s="25"/>
    </row>
    <row r="33" spans="1:8" ht="13.5" thickBot="1">
      <c r="A33" s="21"/>
      <c r="B33" s="18"/>
      <c r="C33" s="18"/>
      <c r="D33" s="18"/>
      <c r="E33" s="18"/>
      <c r="F33" s="18"/>
      <c r="G33" s="18"/>
      <c r="H33" s="18"/>
    </row>
    <row r="34" spans="1:8" ht="13.5" thickBot="1">
      <c r="A34" s="2" t="s">
        <v>29</v>
      </c>
      <c r="B34" s="15">
        <f>SUM(C31:G31)</f>
        <v>416.4651163719941</v>
      </c>
      <c r="C34" s="9">
        <f>SUM(D31:G31)*(1+$B$18)</f>
        <v>411.50727452282854</v>
      </c>
      <c r="D34" s="10">
        <f>SUM(E31:G31)*(1+$B$18)^2</f>
        <v>405.94655910480446</v>
      </c>
      <c r="E34" s="10">
        <f>SUM(F31:G31)*(1+$B$18)^3</f>
        <v>399.7096606919486</v>
      </c>
      <c r="F34" s="10">
        <f>SUM(G31)*(1+$B$18)^4</f>
        <v>392.7143554320896</v>
      </c>
      <c r="G34" s="10">
        <f>G28</f>
        <v>384.8684210526316</v>
      </c>
      <c r="H34" s="10">
        <f>G34</f>
        <v>384.8684210526316</v>
      </c>
    </row>
    <row r="35" spans="1:8" ht="13.5" thickBot="1">
      <c r="A35" s="2" t="s">
        <v>12</v>
      </c>
      <c r="B35" s="15">
        <f>(1-B11)*B34</f>
        <v>249.87906982319646</v>
      </c>
      <c r="C35" s="11"/>
      <c r="D35" s="11"/>
      <c r="E35" s="11"/>
      <c r="F35" s="11"/>
      <c r="G35" s="11"/>
      <c r="H35" s="11"/>
    </row>
    <row r="36" spans="1:8" ht="13.5" thickBot="1">
      <c r="A36" s="2" t="s">
        <v>13</v>
      </c>
      <c r="B36" s="15">
        <f>B11*B34</f>
        <v>166.58604654879764</v>
      </c>
      <c r="C36" s="11"/>
      <c r="D36" s="11"/>
      <c r="E36" s="11"/>
      <c r="F36" s="11"/>
      <c r="G36" s="11"/>
      <c r="H36" s="11"/>
    </row>
    <row r="37" spans="1:8" ht="13.5" thickBot="1">
      <c r="A37" s="2" t="s">
        <v>31</v>
      </c>
      <c r="B37" s="15">
        <f>B5-B36</f>
        <v>33.41395345120236</v>
      </c>
      <c r="C37" s="11"/>
      <c r="D37" s="11"/>
      <c r="E37" s="11"/>
      <c r="F37" s="11"/>
      <c r="G37" s="11"/>
      <c r="H37" s="11"/>
    </row>
    <row r="39" ht="12.75">
      <c r="B39" s="20"/>
    </row>
    <row r="40" spans="1:8" ht="12.75">
      <c r="A40" s="1" t="s">
        <v>14</v>
      </c>
      <c r="B40" s="4"/>
      <c r="C40" s="2"/>
      <c r="D40" s="2"/>
      <c r="E40" s="2"/>
      <c r="F40" s="2"/>
      <c r="G40" s="2"/>
      <c r="H40" s="2"/>
    </row>
    <row r="41" spans="1:8" ht="12.75">
      <c r="A41" s="2" t="s">
        <v>15</v>
      </c>
      <c r="B41" s="8">
        <f>B36</f>
        <v>166.58604654879764</v>
      </c>
      <c r="C41" s="8">
        <f aca="true" t="shared" si="5" ref="C41:H41">$B$11*C34</f>
        <v>164.60290980913143</v>
      </c>
      <c r="D41" s="8">
        <f t="shared" si="5"/>
        <v>162.3786236419218</v>
      </c>
      <c r="E41" s="8">
        <f t="shared" si="5"/>
        <v>159.88386427677946</v>
      </c>
      <c r="F41" s="8">
        <f t="shared" si="5"/>
        <v>157.08574217283584</v>
      </c>
      <c r="G41" s="8">
        <f t="shared" si="5"/>
        <v>153.94736842105266</v>
      </c>
      <c r="H41" s="8">
        <f t="shared" si="5"/>
        <v>153.94736842105266</v>
      </c>
    </row>
    <row r="42" spans="1:8" ht="12.75">
      <c r="A42" s="2" t="s">
        <v>16</v>
      </c>
      <c r="B42" s="8">
        <f aca="true" t="shared" si="6" ref="B42:G42">B34-B41</f>
        <v>249.87906982319646</v>
      </c>
      <c r="C42" s="8">
        <f t="shared" si="6"/>
        <v>246.9043647136971</v>
      </c>
      <c r="D42" s="8">
        <f t="shared" si="6"/>
        <v>243.56793546288267</v>
      </c>
      <c r="E42" s="8">
        <f t="shared" si="6"/>
        <v>239.82579641516915</v>
      </c>
      <c r="F42" s="8">
        <f t="shared" si="6"/>
        <v>235.62861325925374</v>
      </c>
      <c r="G42" s="8">
        <f t="shared" si="6"/>
        <v>230.92105263157896</v>
      </c>
      <c r="H42" s="8">
        <f>H34-H41</f>
        <v>230.92105263157896</v>
      </c>
    </row>
    <row r="43" spans="1:8" ht="12.75">
      <c r="A43" s="2"/>
      <c r="B43" s="8"/>
      <c r="C43" s="8"/>
      <c r="D43" s="8"/>
      <c r="E43" s="8"/>
      <c r="F43" s="8"/>
      <c r="G43" s="8"/>
      <c r="H43" s="8"/>
    </row>
    <row r="44" spans="1:8" ht="12.75">
      <c r="A44" s="1" t="s">
        <v>36</v>
      </c>
      <c r="B44" s="8"/>
      <c r="C44" s="8"/>
      <c r="D44" s="8"/>
      <c r="E44" s="8"/>
      <c r="F44" s="8"/>
      <c r="G44" s="8"/>
      <c r="H44" s="8"/>
    </row>
    <row r="45" spans="1:8" ht="12.75">
      <c r="A45" s="2" t="s">
        <v>37</v>
      </c>
      <c r="B45" s="8">
        <v>0</v>
      </c>
      <c r="C45" s="8">
        <f aca="true" t="shared" si="7" ref="C45:H45">B49</f>
        <v>166.58604654879764</v>
      </c>
      <c r="D45" s="8">
        <f t="shared" si="7"/>
        <v>164.60290980913143</v>
      </c>
      <c r="E45" s="8">
        <f t="shared" si="7"/>
        <v>162.3786236419218</v>
      </c>
      <c r="F45" s="8">
        <f t="shared" si="7"/>
        <v>159.88386427677946</v>
      </c>
      <c r="G45" s="8">
        <f t="shared" si="7"/>
        <v>157.08574217283584</v>
      </c>
      <c r="H45" s="8">
        <f t="shared" si="7"/>
        <v>153.94736842105266</v>
      </c>
    </row>
    <row r="46" spans="1:8" ht="12.75">
      <c r="A46" s="2" t="s">
        <v>38</v>
      </c>
      <c r="B46" s="8">
        <f>B49-B45</f>
        <v>166.58604654879764</v>
      </c>
      <c r="C46" s="8"/>
      <c r="D46" s="8"/>
      <c r="E46" s="8"/>
      <c r="F46" s="8"/>
      <c r="G46" s="8"/>
      <c r="H46" s="8"/>
    </row>
    <row r="47" spans="1:8" ht="12.75">
      <c r="A47" s="2" t="s">
        <v>39</v>
      </c>
      <c r="B47" s="8">
        <f aca="true" t="shared" si="8" ref="B47:G47">B45*$B$14</f>
        <v>0</v>
      </c>
      <c r="C47" s="8">
        <f t="shared" si="8"/>
        <v>16.658604654879763</v>
      </c>
      <c r="D47" s="8">
        <f t="shared" si="8"/>
        <v>16.460290980913143</v>
      </c>
      <c r="E47" s="8">
        <f t="shared" si="8"/>
        <v>16.23786236419218</v>
      </c>
      <c r="F47" s="8">
        <f t="shared" si="8"/>
        <v>15.988386427677947</v>
      </c>
      <c r="G47" s="8">
        <f t="shared" si="8"/>
        <v>15.708574217283584</v>
      </c>
      <c r="H47" s="8">
        <f>H45*$B$14</f>
        <v>15.394736842105267</v>
      </c>
    </row>
    <row r="48" spans="1:120" s="24" customFormat="1" ht="12.75">
      <c r="A48" s="2" t="s">
        <v>40</v>
      </c>
      <c r="B48" s="8"/>
      <c r="C48" s="8">
        <f aca="true" t="shared" si="9" ref="C48:H48">C45-C49</f>
        <v>1.9831367396662074</v>
      </c>
      <c r="D48" s="8">
        <f t="shared" si="9"/>
        <v>2.224286167209641</v>
      </c>
      <c r="E48" s="8">
        <f t="shared" si="9"/>
        <v>2.494759365142329</v>
      </c>
      <c r="F48" s="8">
        <f t="shared" si="9"/>
        <v>2.7981221039436264</v>
      </c>
      <c r="G48" s="8">
        <f t="shared" si="9"/>
        <v>3.1383737517831776</v>
      </c>
      <c r="H48" s="8">
        <f t="shared" si="9"/>
        <v>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</row>
    <row r="49" spans="1:120" s="24" customFormat="1" ht="12.75">
      <c r="A49" s="2" t="s">
        <v>41</v>
      </c>
      <c r="B49" s="8">
        <f aca="true" t="shared" si="10" ref="B49:G49">B41</f>
        <v>166.58604654879764</v>
      </c>
      <c r="C49" s="8">
        <f t="shared" si="10"/>
        <v>164.60290980913143</v>
      </c>
      <c r="D49" s="8">
        <f t="shared" si="10"/>
        <v>162.3786236419218</v>
      </c>
      <c r="E49" s="8">
        <f t="shared" si="10"/>
        <v>159.88386427677946</v>
      </c>
      <c r="F49" s="8">
        <f t="shared" si="10"/>
        <v>157.08574217283584</v>
      </c>
      <c r="G49" s="8">
        <f t="shared" si="10"/>
        <v>153.94736842105266</v>
      </c>
      <c r="H49" s="8">
        <f>H41</f>
        <v>153.94736842105266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</row>
    <row r="50" spans="1:120" s="24" customFormat="1" ht="12.75">
      <c r="A50" s="2"/>
      <c r="B50" s="8"/>
      <c r="C50" s="8"/>
      <c r="D50" s="8"/>
      <c r="E50" s="8"/>
      <c r="F50" s="8"/>
      <c r="G50" s="8"/>
      <c r="H50" s="8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</row>
    <row r="51" spans="1:120" s="24" customFormat="1" ht="12.75">
      <c r="A51" s="35" t="s">
        <v>51</v>
      </c>
      <c r="B51" s="38"/>
      <c r="C51" s="36"/>
      <c r="D51" s="36"/>
      <c r="E51" s="36"/>
      <c r="F51" s="36"/>
      <c r="G51" s="36"/>
      <c r="H51" s="36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s="24" customFormat="1" ht="13.5" thickBot="1">
      <c r="A52" s="5" t="s">
        <v>8</v>
      </c>
      <c r="B52" s="6">
        <v>0</v>
      </c>
      <c r="C52" s="6">
        <v>1</v>
      </c>
      <c r="D52" s="6">
        <v>2</v>
      </c>
      <c r="E52" s="6">
        <v>3</v>
      </c>
      <c r="F52" s="6">
        <v>4</v>
      </c>
      <c r="G52" s="6">
        <v>5</v>
      </c>
      <c r="H52" s="6">
        <v>6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3" spans="1:120" s="24" customFormat="1" ht="13.5" thickTop="1">
      <c r="A53" s="2" t="s">
        <v>9</v>
      </c>
      <c r="B53" s="8"/>
      <c r="C53" s="8">
        <f>$B$6</f>
        <v>20</v>
      </c>
      <c r="D53" s="8">
        <f>C23*(1+$B$7)</f>
        <v>20</v>
      </c>
      <c r="E53" s="8">
        <f>D23*(1+$B$7)</f>
        <v>20</v>
      </c>
      <c r="F53" s="8">
        <f>E23*(1+$B$7)</f>
        <v>20</v>
      </c>
      <c r="G53" s="8">
        <f>F23*(1+$B$7)</f>
        <v>20</v>
      </c>
      <c r="H53" s="18">
        <f>G53+G59</f>
        <v>60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</row>
    <row r="54" spans="1:120" s="24" customFormat="1" ht="12.75">
      <c r="A54" s="12" t="s">
        <v>17</v>
      </c>
      <c r="B54" s="4"/>
      <c r="C54" s="13">
        <f aca="true" t="shared" si="11" ref="C54:H54">B41*$B$14</f>
        <v>16.658604654879763</v>
      </c>
      <c r="D54" s="13">
        <f t="shared" si="11"/>
        <v>16.460290980913143</v>
      </c>
      <c r="E54" s="13">
        <f t="shared" si="11"/>
        <v>16.23786236419218</v>
      </c>
      <c r="F54" s="13">
        <f t="shared" si="11"/>
        <v>15.988386427677947</v>
      </c>
      <c r="G54" s="13">
        <f t="shared" si="11"/>
        <v>15.708574217283584</v>
      </c>
      <c r="H54" s="13">
        <f t="shared" si="11"/>
        <v>15.394736842105267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s="24" customFormat="1" ht="12.75">
      <c r="A55" s="2" t="s">
        <v>18</v>
      </c>
      <c r="B55" s="4"/>
      <c r="C55" s="11">
        <f aca="true" t="shared" si="12" ref="C55:H55">C53-C54</f>
        <v>3.3413953451202367</v>
      </c>
      <c r="D55" s="11">
        <f t="shared" si="12"/>
        <v>3.5397090190868568</v>
      </c>
      <c r="E55" s="11">
        <f t="shared" si="12"/>
        <v>3.7621376358078216</v>
      </c>
      <c r="F55" s="11">
        <f t="shared" si="12"/>
        <v>4.011613572322053</v>
      </c>
      <c r="G55" s="11">
        <f t="shared" si="12"/>
        <v>4.291425782716416</v>
      </c>
      <c r="H55" s="11">
        <f t="shared" si="12"/>
        <v>44.60526315789473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  <row r="56" spans="1:120" s="24" customFormat="1" ht="12.75">
      <c r="A56" s="12" t="s">
        <v>33</v>
      </c>
      <c r="B56" s="4"/>
      <c r="C56" s="11">
        <f aca="true" t="shared" si="13" ref="C56:H56">C55*$B$10</f>
        <v>0.7351069759264521</v>
      </c>
      <c r="D56" s="11">
        <f t="shared" si="13"/>
        <v>0.7787359841991085</v>
      </c>
      <c r="E56" s="11">
        <f t="shared" si="13"/>
        <v>0.8276702798777208</v>
      </c>
      <c r="F56" s="11">
        <f t="shared" si="13"/>
        <v>0.8825549859108518</v>
      </c>
      <c r="G56" s="11">
        <f t="shared" si="13"/>
        <v>0.9441136721976117</v>
      </c>
      <c r="H56" s="11">
        <f t="shared" si="13"/>
        <v>9.813157894736841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</row>
    <row r="57" spans="1:120" s="24" customFormat="1" ht="12.75">
      <c r="A57" s="2" t="s">
        <v>34</v>
      </c>
      <c r="B57" s="4"/>
      <c r="C57" s="11">
        <f aca="true" t="shared" si="14" ref="C57:H57">C55-C56</f>
        <v>2.6062883691937846</v>
      </c>
      <c r="D57" s="11">
        <f t="shared" si="14"/>
        <v>2.760973034887748</v>
      </c>
      <c r="E57" s="11">
        <f t="shared" si="14"/>
        <v>2.9344673559301007</v>
      </c>
      <c r="F57" s="11">
        <f t="shared" si="14"/>
        <v>3.1290585864112015</v>
      </c>
      <c r="G57" s="11">
        <f t="shared" si="14"/>
        <v>3.347312110518805</v>
      </c>
      <c r="H57" s="11">
        <f t="shared" si="14"/>
        <v>34.79210526315789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</row>
    <row r="58" spans="1:120" s="24" customFormat="1" ht="12.75">
      <c r="A58" s="12" t="s">
        <v>35</v>
      </c>
      <c r="B58" s="4"/>
      <c r="C58" s="11">
        <f aca="true" t="shared" si="15" ref="C58:H58">C54</f>
        <v>16.658604654879763</v>
      </c>
      <c r="D58" s="11">
        <f t="shared" si="15"/>
        <v>16.460290980913143</v>
      </c>
      <c r="E58" s="11">
        <f t="shared" si="15"/>
        <v>16.23786236419218</v>
      </c>
      <c r="F58" s="11">
        <f t="shared" si="15"/>
        <v>15.988386427677947</v>
      </c>
      <c r="G58" s="11">
        <f t="shared" si="15"/>
        <v>15.708574217283584</v>
      </c>
      <c r="H58" s="11">
        <f t="shared" si="15"/>
        <v>15.394736842105267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</row>
    <row r="59" spans="1:120" s="24" customFormat="1" ht="12.75">
      <c r="A59" s="17" t="s">
        <v>25</v>
      </c>
      <c r="B59" s="4"/>
      <c r="C59" s="18">
        <f>$B$5/$B$9*$D$9</f>
        <v>40</v>
      </c>
      <c r="D59" s="18">
        <f>$B$5/$B$9*$D$9</f>
        <v>40</v>
      </c>
      <c r="E59" s="18">
        <f>$B$5/$B$9*$D$9</f>
        <v>40</v>
      </c>
      <c r="F59" s="18">
        <f>$B$5/$B$9*$D$9</f>
        <v>40</v>
      </c>
      <c r="G59" s="18">
        <f>$B$5/$B$9*$D$9</f>
        <v>40</v>
      </c>
      <c r="H59" s="18">
        <v>0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</row>
    <row r="60" spans="1:120" s="24" customFormat="1" ht="12.75">
      <c r="A60" s="17" t="s">
        <v>42</v>
      </c>
      <c r="B60" s="18">
        <f>$B$5</f>
        <v>200</v>
      </c>
      <c r="C60" s="11"/>
      <c r="D60" s="11"/>
      <c r="E60" s="11"/>
      <c r="F60" s="11"/>
      <c r="G60" s="18"/>
      <c r="H60" s="18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</row>
    <row r="61" spans="1:120" s="24" customFormat="1" ht="12.75">
      <c r="A61" s="17" t="s">
        <v>60</v>
      </c>
      <c r="B61" s="18"/>
      <c r="C61" s="11"/>
      <c r="D61" s="11"/>
      <c r="E61" s="11"/>
      <c r="F61" s="11"/>
      <c r="G61" s="18">
        <f>(H57+H58+H59)/B19</f>
        <v>384.86842105263156</v>
      </c>
      <c r="H61" s="18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</row>
    <row r="62" spans="1:120" s="24" customFormat="1" ht="12.75">
      <c r="A62" s="2" t="s">
        <v>30</v>
      </c>
      <c r="B62" s="11">
        <f aca="true" t="shared" si="16" ref="B62:G62">B57+B58+B59+B61-B60</f>
        <v>-200</v>
      </c>
      <c r="C62" s="11">
        <f t="shared" si="16"/>
        <v>59.264893024073544</v>
      </c>
      <c r="D62" s="11">
        <f t="shared" si="16"/>
        <v>59.22126401580089</v>
      </c>
      <c r="E62" s="11">
        <f t="shared" si="16"/>
        <v>59.17232972012228</v>
      </c>
      <c r="F62" s="11">
        <f t="shared" si="16"/>
        <v>59.11744501408915</v>
      </c>
      <c r="G62" s="11">
        <f t="shared" si="16"/>
        <v>443.92430738043396</v>
      </c>
      <c r="H62" s="11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</row>
    <row r="63" spans="1:120" s="24" customFormat="1" ht="12.75">
      <c r="A63" s="21" t="s">
        <v>32</v>
      </c>
      <c r="B63" s="11">
        <f aca="true" t="shared" si="17" ref="B63:G63">1/(1+$B$19)^B52</f>
        <v>1</v>
      </c>
      <c r="C63" s="11">
        <f t="shared" si="17"/>
        <v>0.8846426043878273</v>
      </c>
      <c r="D63" s="11">
        <f t="shared" si="17"/>
        <v>0.7825925374980779</v>
      </c>
      <c r="E63" s="11">
        <f t="shared" si="17"/>
        <v>0.692314700546778</v>
      </c>
      <c r="F63" s="11">
        <f t="shared" si="17"/>
        <v>0.6124510797476804</v>
      </c>
      <c r="G63" s="11">
        <f t="shared" si="17"/>
        <v>0.5418003182481249</v>
      </c>
      <c r="H63" s="11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</row>
    <row r="64" spans="1:120" s="24" customFormat="1" ht="13.5" thickBot="1">
      <c r="A64" s="21" t="s">
        <v>11</v>
      </c>
      <c r="B64" s="18">
        <f aca="true" t="shared" si="18" ref="B64:G64">B63*B62</f>
        <v>-200</v>
      </c>
      <c r="C64" s="18">
        <f t="shared" si="18"/>
        <v>52.4282493135824</v>
      </c>
      <c r="D64" s="18">
        <f t="shared" si="18"/>
        <v>46.34611927996923</v>
      </c>
      <c r="E64" s="18">
        <f t="shared" si="18"/>
        <v>40.965873730841665</v>
      </c>
      <c r="F64" s="18">
        <f t="shared" si="18"/>
        <v>36.206543030803026</v>
      </c>
      <c r="G64" s="18">
        <f t="shared" si="18"/>
        <v>240.51833101679753</v>
      </c>
      <c r="H64" s="18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</row>
    <row r="65" spans="1:120" s="24" customFormat="1" ht="13.5" thickBot="1">
      <c r="A65" s="23" t="s">
        <v>49</v>
      </c>
      <c r="B65" s="15">
        <f>SUM(B64:G64)</f>
        <v>216.46511637199384</v>
      </c>
      <c r="C65"/>
      <c r="D65"/>
      <c r="E65"/>
      <c r="F65"/>
      <c r="G65"/>
      <c r="H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</row>
    <row r="66" spans="1:120" s="24" customFormat="1" ht="13.5" thickBot="1">
      <c r="A66" s="19"/>
      <c r="B66" s="20"/>
      <c r="C66"/>
      <c r="D66"/>
      <c r="E66"/>
      <c r="F66"/>
      <c r="G66"/>
      <c r="H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</row>
    <row r="67" spans="1:120" s="24" customFormat="1" ht="13.5" thickBot="1">
      <c r="A67" s="2" t="s">
        <v>29</v>
      </c>
      <c r="B67" s="15">
        <f>SUM(C64:G64)</f>
        <v>416.4651163719939</v>
      </c>
      <c r="C67"/>
      <c r="D67"/>
      <c r="E67"/>
      <c r="F67"/>
      <c r="G67"/>
      <c r="H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</row>
    <row r="69" spans="1:120" s="24" customFormat="1" ht="12.75">
      <c r="A69" s="35" t="s">
        <v>50</v>
      </c>
      <c r="B69" s="38"/>
      <c r="C69" s="36"/>
      <c r="D69" s="36"/>
      <c r="E69" s="36"/>
      <c r="F69" s="36"/>
      <c r="G69" s="36"/>
      <c r="H69" s="36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</row>
    <row r="70" spans="1:120" s="24" customFormat="1" ht="13.5" thickBot="1">
      <c r="A70" s="5" t="s">
        <v>8</v>
      </c>
      <c r="B70" s="6">
        <v>0</v>
      </c>
      <c r="C70" s="6">
        <v>1</v>
      </c>
      <c r="D70" s="6">
        <v>2</v>
      </c>
      <c r="E70" s="6">
        <v>3</v>
      </c>
      <c r="F70" s="6">
        <v>4</v>
      </c>
      <c r="G70" s="6">
        <v>5</v>
      </c>
      <c r="H70" s="6">
        <v>6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</row>
    <row r="71" spans="1:120" s="24" customFormat="1" ht="13.5" thickTop="1">
      <c r="A71" s="2" t="s">
        <v>9</v>
      </c>
      <c r="B71" s="14"/>
      <c r="C71" s="8">
        <f>$B$6</f>
        <v>20</v>
      </c>
      <c r="D71" s="8">
        <f>C71*(1+$B$7)</f>
        <v>20</v>
      </c>
      <c r="E71" s="8">
        <f>D71*(1+$B$7)</f>
        <v>20</v>
      </c>
      <c r="F71" s="8">
        <f>E71*(1+$B$7)</f>
        <v>20</v>
      </c>
      <c r="G71" s="8">
        <f>F71*(1+$B$7)</f>
        <v>20</v>
      </c>
      <c r="H71" s="8">
        <f>G71+G76</f>
        <v>60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</row>
    <row r="72" spans="1:120" s="24" customFormat="1" ht="12.75">
      <c r="A72" s="12" t="s">
        <v>17</v>
      </c>
      <c r="B72" s="14"/>
      <c r="C72" s="18">
        <f aca="true" t="shared" si="19" ref="C72:H72">B41*$B$14</f>
        <v>16.658604654879763</v>
      </c>
      <c r="D72" s="18">
        <f t="shared" si="19"/>
        <v>16.460290980913143</v>
      </c>
      <c r="E72" s="18">
        <f t="shared" si="19"/>
        <v>16.23786236419218</v>
      </c>
      <c r="F72" s="18">
        <f t="shared" si="19"/>
        <v>15.988386427677947</v>
      </c>
      <c r="G72" s="18">
        <f t="shared" si="19"/>
        <v>15.708574217283584</v>
      </c>
      <c r="H72" s="18">
        <f t="shared" si="19"/>
        <v>15.394736842105267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</row>
    <row r="73" spans="1:120" s="24" customFormat="1" ht="12.75">
      <c r="A73" s="2" t="s">
        <v>18</v>
      </c>
      <c r="B73" s="14"/>
      <c r="C73" s="18">
        <f aca="true" t="shared" si="20" ref="C73:H73">C71-C72</f>
        <v>3.3413953451202367</v>
      </c>
      <c r="D73" s="18">
        <f t="shared" si="20"/>
        <v>3.5397090190868568</v>
      </c>
      <c r="E73" s="18">
        <f t="shared" si="20"/>
        <v>3.7621376358078216</v>
      </c>
      <c r="F73" s="18">
        <f t="shared" si="20"/>
        <v>4.011613572322053</v>
      </c>
      <c r="G73" s="18">
        <f t="shared" si="20"/>
        <v>4.291425782716416</v>
      </c>
      <c r="H73" s="18">
        <f t="shared" si="20"/>
        <v>44.60526315789473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</row>
    <row r="74" spans="1:120" s="24" customFormat="1" ht="12.75">
      <c r="A74" s="12" t="s">
        <v>33</v>
      </c>
      <c r="B74" s="14"/>
      <c r="C74" s="18">
        <f aca="true" t="shared" si="21" ref="C74:H74">$B$10*C73</f>
        <v>0.7351069759264521</v>
      </c>
      <c r="D74" s="18">
        <f t="shared" si="21"/>
        <v>0.7787359841991085</v>
      </c>
      <c r="E74" s="18">
        <f t="shared" si="21"/>
        <v>0.8276702798777208</v>
      </c>
      <c r="F74" s="18">
        <f t="shared" si="21"/>
        <v>0.8825549859108518</v>
      </c>
      <c r="G74" s="18">
        <f t="shared" si="21"/>
        <v>0.9441136721976117</v>
      </c>
      <c r="H74" s="18">
        <f t="shared" si="21"/>
        <v>9.813157894736841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</row>
    <row r="75" spans="1:120" s="24" customFormat="1" ht="12.75">
      <c r="A75" s="2" t="s">
        <v>19</v>
      </c>
      <c r="B75" s="14"/>
      <c r="C75" s="18">
        <f aca="true" t="shared" si="22" ref="C75:H75">C73-C74</f>
        <v>2.6062883691937846</v>
      </c>
      <c r="D75" s="18">
        <f t="shared" si="22"/>
        <v>2.760973034887748</v>
      </c>
      <c r="E75" s="18">
        <f t="shared" si="22"/>
        <v>2.9344673559301007</v>
      </c>
      <c r="F75" s="18">
        <f t="shared" si="22"/>
        <v>3.1290585864112015</v>
      </c>
      <c r="G75" s="18">
        <f t="shared" si="22"/>
        <v>3.347312110518805</v>
      </c>
      <c r="H75" s="18">
        <f t="shared" si="22"/>
        <v>34.79210526315789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</row>
    <row r="76" spans="1:120" s="24" customFormat="1" ht="12.75">
      <c r="A76" s="17" t="s">
        <v>25</v>
      </c>
      <c r="B76"/>
      <c r="C76" s="18">
        <f>$B$5/$B$9*$D$9</f>
        <v>40</v>
      </c>
      <c r="D76" s="18">
        <f>$B$5/$B$9*$D$9</f>
        <v>40</v>
      </c>
      <c r="E76" s="18">
        <f>$B$5/$B$9*$D$9</f>
        <v>40</v>
      </c>
      <c r="F76" s="18">
        <f>$B$5/$B$9*$D$9</f>
        <v>40</v>
      </c>
      <c r="G76" s="18">
        <f>$B$5/$B$9*$D$9</f>
        <v>40</v>
      </c>
      <c r="H76" s="18">
        <v>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</row>
    <row r="77" spans="1:120" s="24" customFormat="1" ht="12.75">
      <c r="A77" s="17" t="s">
        <v>42</v>
      </c>
      <c r="B77" s="18">
        <f>$B$5</f>
        <v>200</v>
      </c>
      <c r="C77" s="18"/>
      <c r="D77" s="18"/>
      <c r="E77" s="18"/>
      <c r="F77" s="18"/>
      <c r="G77" s="18"/>
      <c r="H77" s="18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</row>
    <row r="78" spans="1:120" s="24" customFormat="1" ht="12.75">
      <c r="A78" s="2" t="s">
        <v>43</v>
      </c>
      <c r="B78" s="18">
        <f>B46</f>
        <v>166.58604654879764</v>
      </c>
      <c r="C78" s="18">
        <f aca="true" t="shared" si="23" ref="C78:H78">-C48</f>
        <v>-1.9831367396662074</v>
      </c>
      <c r="D78" s="18">
        <f t="shared" si="23"/>
        <v>-2.224286167209641</v>
      </c>
      <c r="E78" s="18">
        <f t="shared" si="23"/>
        <v>-2.494759365142329</v>
      </c>
      <c r="F78" s="18">
        <f t="shared" si="23"/>
        <v>-2.7981221039436264</v>
      </c>
      <c r="G78" s="18">
        <f t="shared" si="23"/>
        <v>-3.1383737517831776</v>
      </c>
      <c r="H78" s="18">
        <f t="shared" si="23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</row>
    <row r="79" spans="1:120" s="24" customFormat="1" ht="12.75">
      <c r="A79" s="17" t="s">
        <v>60</v>
      </c>
      <c r="B79" s="14"/>
      <c r="C79" s="18"/>
      <c r="D79" s="18"/>
      <c r="E79" s="18"/>
      <c r="F79" s="18"/>
      <c r="G79" s="18">
        <f>(H75+H76+H77+H78)/B13</f>
        <v>230.92105263157893</v>
      </c>
      <c r="H79" s="18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</row>
    <row r="80" spans="1:120" s="24" customFormat="1" ht="12.75">
      <c r="A80" s="2" t="s">
        <v>44</v>
      </c>
      <c r="B80" s="18">
        <f aca="true" t="shared" si="24" ref="B80:G80">B75+B76+B79-B77+B78</f>
        <v>-33.41395345120236</v>
      </c>
      <c r="C80" s="18">
        <f t="shared" si="24"/>
        <v>40.62315162952758</v>
      </c>
      <c r="D80" s="18">
        <f t="shared" si="24"/>
        <v>40.53668686767811</v>
      </c>
      <c r="E80" s="18">
        <f t="shared" si="24"/>
        <v>40.439707990787774</v>
      </c>
      <c r="F80" s="18">
        <f t="shared" si="24"/>
        <v>40.33093648246758</v>
      </c>
      <c r="G80" s="18">
        <f t="shared" si="24"/>
        <v>271.1299909903146</v>
      </c>
      <c r="H80" s="18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</row>
    <row r="81" spans="1:120" s="24" customFormat="1" ht="12.75">
      <c r="A81" s="21" t="s">
        <v>32</v>
      </c>
      <c r="B81" s="18">
        <f aca="true" t="shared" si="25" ref="B81:G81">1/(1+$B$13)^B70</f>
        <v>1</v>
      </c>
      <c r="C81" s="18">
        <f t="shared" si="25"/>
        <v>0.8690614136732329</v>
      </c>
      <c r="D81" s="18">
        <f t="shared" si="25"/>
        <v>0.7552677407357179</v>
      </c>
      <c r="E81" s="18">
        <f t="shared" si="25"/>
        <v>0.6563740504655717</v>
      </c>
      <c r="F81" s="18">
        <f t="shared" si="25"/>
        <v>0.5704293601960356</v>
      </c>
      <c r="G81" s="18">
        <f t="shared" si="25"/>
        <v>0.49573814617268447</v>
      </c>
      <c r="H81" s="18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</row>
    <row r="82" spans="1:120" s="24" customFormat="1" ht="13.5" thickBot="1">
      <c r="A82" s="21" t="s">
        <v>11</v>
      </c>
      <c r="B82" s="18">
        <f aca="true" t="shared" si="26" ref="B82:G82">B80*B81</f>
        <v>-33.41395345120236</v>
      </c>
      <c r="C82" s="18">
        <f t="shared" si="26"/>
        <v>35.30401358301933</v>
      </c>
      <c r="D82" s="18">
        <f t="shared" si="26"/>
        <v>30.616051907462488</v>
      </c>
      <c r="E82" s="18">
        <f t="shared" si="26"/>
        <v>26.543574933558318</v>
      </c>
      <c r="F82" s="18">
        <f t="shared" si="26"/>
        <v>23.005950293800932</v>
      </c>
      <c r="G82" s="18">
        <f t="shared" si="26"/>
        <v>134.4094791053552</v>
      </c>
      <c r="H82" s="18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</row>
    <row r="83" spans="1:120" s="24" customFormat="1" ht="13.5" thickBot="1">
      <c r="A83" s="23" t="s">
        <v>49</v>
      </c>
      <c r="B83" s="15">
        <f>SUM(B82:G82)</f>
        <v>216.4651163719939</v>
      </c>
      <c r="C83" s="18"/>
      <c r="D83" s="18"/>
      <c r="E83" s="18"/>
      <c r="F83" s="18"/>
      <c r="G83" s="18"/>
      <c r="H83" s="18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</row>
    <row r="84" spans="1:120" s="24" customFormat="1" ht="13.5" thickBot="1">
      <c r="A84" s="2"/>
      <c r="B84"/>
      <c r="C84" s="18"/>
      <c r="D84" s="18"/>
      <c r="E84" s="18"/>
      <c r="F84" s="18"/>
      <c r="G84" s="18"/>
      <c r="H84" s="18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</row>
    <row r="85" spans="1:120" s="24" customFormat="1" ht="13.5" thickBot="1">
      <c r="A85" s="2" t="s">
        <v>12</v>
      </c>
      <c r="B85" s="15">
        <f>SUM(C82:G82)</f>
        <v>249.87906982319626</v>
      </c>
      <c r="C85"/>
      <c r="D85"/>
      <c r="E85"/>
      <c r="F85"/>
      <c r="G85"/>
      <c r="H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</row>
    <row r="87" spans="1:120" s="24" customFormat="1" ht="12.75">
      <c r="A87" s="35" t="s">
        <v>65</v>
      </c>
      <c r="B87" s="36"/>
      <c r="C87" s="37"/>
      <c r="D87" s="36"/>
      <c r="E87" s="36"/>
      <c r="F87" s="36"/>
      <c r="G87" s="36"/>
      <c r="H87" s="36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</row>
    <row r="88" spans="1:120" s="24" customFormat="1" ht="13.5" thickBot="1">
      <c r="A88" s="5" t="s">
        <v>8</v>
      </c>
      <c r="B88" s="6">
        <v>0</v>
      </c>
      <c r="C88" s="6">
        <v>1</v>
      </c>
      <c r="D88" s="6">
        <v>2</v>
      </c>
      <c r="E88" s="6">
        <v>3</v>
      </c>
      <c r="F88" s="6">
        <v>4</v>
      </c>
      <c r="G88" s="6">
        <v>5</v>
      </c>
      <c r="H88" s="6">
        <v>6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</row>
    <row r="89" spans="1:120" s="24" customFormat="1" ht="13.5" thickTop="1">
      <c r="A89" t="s">
        <v>9</v>
      </c>
      <c r="B89"/>
      <c r="C89" s="8">
        <f>$B$6</f>
        <v>20</v>
      </c>
      <c r="D89" s="18">
        <f>C89*(1+$B$7)</f>
        <v>20</v>
      </c>
      <c r="E89" s="18">
        <f>D89*(1+$B$7)</f>
        <v>20</v>
      </c>
      <c r="F89" s="18">
        <f>E89*(1+$B$7)</f>
        <v>20</v>
      </c>
      <c r="G89" s="18">
        <f>F89*(1+$B$7)</f>
        <v>20</v>
      </c>
      <c r="H89" s="18">
        <f>G89+G92</f>
        <v>60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</row>
    <row r="90" spans="1:120" s="24" customFormat="1" ht="12.75">
      <c r="A90" s="17" t="s">
        <v>33</v>
      </c>
      <c r="B90"/>
      <c r="C90" s="8">
        <f aca="true" t="shared" si="27" ref="C90:H90">C89*$B$10</f>
        <v>4.4</v>
      </c>
      <c r="D90" s="8">
        <f t="shared" si="27"/>
        <v>4.4</v>
      </c>
      <c r="E90" s="8">
        <f t="shared" si="27"/>
        <v>4.4</v>
      </c>
      <c r="F90" s="8">
        <f t="shared" si="27"/>
        <v>4.4</v>
      </c>
      <c r="G90" s="8">
        <f t="shared" si="27"/>
        <v>4.4</v>
      </c>
      <c r="H90" s="8">
        <f t="shared" si="27"/>
        <v>13.2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</row>
    <row r="91" spans="1:120" s="24" customFormat="1" ht="12.75">
      <c r="A91" s="2" t="s">
        <v>10</v>
      </c>
      <c r="B91"/>
      <c r="C91" s="18">
        <f aca="true" t="shared" si="28" ref="C91:H91">C89*(1-$B$10)</f>
        <v>15.600000000000001</v>
      </c>
      <c r="D91" s="18">
        <f t="shared" si="28"/>
        <v>15.600000000000001</v>
      </c>
      <c r="E91" s="18">
        <f t="shared" si="28"/>
        <v>15.600000000000001</v>
      </c>
      <c r="F91" s="18">
        <f t="shared" si="28"/>
        <v>15.600000000000001</v>
      </c>
      <c r="G91" s="18">
        <f t="shared" si="28"/>
        <v>15.600000000000001</v>
      </c>
      <c r="H91" s="18">
        <f t="shared" si="28"/>
        <v>46.800000000000004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</row>
    <row r="92" spans="1:120" s="24" customFormat="1" ht="12.75">
      <c r="A92" s="17" t="s">
        <v>25</v>
      </c>
      <c r="B92"/>
      <c r="C92" s="18">
        <f>$B$5/$B$9*$D$9</f>
        <v>40</v>
      </c>
      <c r="D92" s="18">
        <f>$B$5/$B$9*$D$9</f>
        <v>40</v>
      </c>
      <c r="E92" s="18">
        <f>$B$5/$B$9*$D$9</f>
        <v>40</v>
      </c>
      <c r="F92" s="18">
        <f>$B$5/$B$9*$D$9</f>
        <v>40</v>
      </c>
      <c r="G92" s="18">
        <f>$B$5/$B$9*$D$9</f>
        <v>40</v>
      </c>
      <c r="H92" s="18">
        <v>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</row>
    <row r="93" spans="1:120" s="24" customFormat="1" ht="12.75">
      <c r="A93" s="17" t="s">
        <v>42</v>
      </c>
      <c r="B93" s="18">
        <f>$B$5</f>
        <v>200</v>
      </c>
      <c r="C93" s="18"/>
      <c r="D93" s="18"/>
      <c r="E93" s="18"/>
      <c r="F93" s="18"/>
      <c r="G93" s="18"/>
      <c r="H93" s="18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</row>
    <row r="94" spans="1:120" s="24" customFormat="1" ht="12.75">
      <c r="A94" s="17" t="s">
        <v>60</v>
      </c>
      <c r="B94" s="18"/>
      <c r="C94" s="18"/>
      <c r="D94" s="18"/>
      <c r="E94" s="18"/>
      <c r="F94" s="18"/>
      <c r="G94" s="18">
        <f>(H91+H92+H93)/B12</f>
        <v>351.00000000000006</v>
      </c>
      <c r="H94" s="18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</row>
    <row r="95" spans="1:120" s="24" customFormat="1" ht="12.75">
      <c r="A95" s="2" t="s">
        <v>64</v>
      </c>
      <c r="B95" s="18">
        <f aca="true" t="shared" si="29" ref="B95:G95">B91+B92+B94-B93</f>
        <v>-200</v>
      </c>
      <c r="C95" s="18">
        <f t="shared" si="29"/>
        <v>55.6</v>
      </c>
      <c r="D95" s="18">
        <f t="shared" si="29"/>
        <v>55.6</v>
      </c>
      <c r="E95" s="18">
        <f t="shared" si="29"/>
        <v>55.6</v>
      </c>
      <c r="F95" s="18">
        <f t="shared" si="29"/>
        <v>55.6</v>
      </c>
      <c r="G95" s="18">
        <f t="shared" si="29"/>
        <v>406.6000000000001</v>
      </c>
      <c r="H95" s="18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</row>
    <row r="96" spans="1:120" s="24" customFormat="1" ht="12.75">
      <c r="A96" s="21" t="s">
        <v>32</v>
      </c>
      <c r="B96" s="18">
        <f aca="true" t="shared" si="30" ref="B96:G96">1/(1+$B$12)^B88</f>
        <v>1</v>
      </c>
      <c r="C96" s="18">
        <f t="shared" si="30"/>
        <v>0.8823529411764706</v>
      </c>
      <c r="D96" s="18">
        <f t="shared" si="30"/>
        <v>0.7785467128027682</v>
      </c>
      <c r="E96" s="18">
        <f t="shared" si="30"/>
        <v>0.6869529818847956</v>
      </c>
      <c r="F96" s="18">
        <f t="shared" si="30"/>
        <v>0.6061349840159962</v>
      </c>
      <c r="G96" s="18">
        <f t="shared" si="30"/>
        <v>0.5348249858964672</v>
      </c>
      <c r="H96" s="18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</row>
    <row r="97" spans="1:120" s="24" customFormat="1" ht="13.5" thickBot="1">
      <c r="A97" s="21" t="s">
        <v>11</v>
      </c>
      <c r="B97" s="18">
        <f aca="true" t="shared" si="31" ref="B97:G97">B95*B96</f>
        <v>-200</v>
      </c>
      <c r="C97" s="18">
        <f>C95*C96</f>
        <v>49.05882352941177</v>
      </c>
      <c r="D97" s="18">
        <f t="shared" si="31"/>
        <v>43.287197231833915</v>
      </c>
      <c r="E97" s="18">
        <f t="shared" si="31"/>
        <v>38.19458579279463</v>
      </c>
      <c r="F97" s="18">
        <f t="shared" si="31"/>
        <v>33.70110511128939</v>
      </c>
      <c r="G97" s="18">
        <f t="shared" si="31"/>
        <v>217.4598392655036</v>
      </c>
      <c r="H97" s="18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</row>
    <row r="98" spans="1:120" s="24" customFormat="1" ht="13.5" thickBot="1">
      <c r="A98" s="23" t="s">
        <v>63</v>
      </c>
      <c r="B98" s="15">
        <f>SUM(B97:G97)</f>
        <v>181.70155093083332</v>
      </c>
      <c r="C98"/>
      <c r="D98"/>
      <c r="E98"/>
      <c r="F98"/>
      <c r="G98"/>
      <c r="H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</row>
    <row r="99" spans="1:120" s="24" customFormat="1" ht="12.75">
      <c r="A99" s="22"/>
      <c r="B99" s="20"/>
      <c r="C99"/>
      <c r="D99"/>
      <c r="E99"/>
      <c r="F99"/>
      <c r="G99"/>
      <c r="H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</row>
    <row r="100" spans="1:120" s="24" customFormat="1" ht="13.5" thickBot="1">
      <c r="A100" s="45" t="s">
        <v>59</v>
      </c>
      <c r="B100"/>
      <c r="C100" s="18">
        <f aca="true" t="shared" si="32" ref="C100:H100">C54*$B$10</f>
        <v>3.664893024073548</v>
      </c>
      <c r="D100" s="18">
        <f t="shared" si="32"/>
        <v>3.6212640158008917</v>
      </c>
      <c r="E100" s="18">
        <f t="shared" si="32"/>
        <v>3.5723297201222795</v>
      </c>
      <c r="F100" s="18">
        <f t="shared" si="32"/>
        <v>3.5174450140891484</v>
      </c>
      <c r="G100" s="18">
        <f t="shared" si="32"/>
        <v>3.4558863278023884</v>
      </c>
      <c r="H100" s="18">
        <f t="shared" si="32"/>
        <v>3.3868421052631588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</row>
    <row r="101" spans="1:120" s="24" customFormat="1" ht="13.5" thickBot="1">
      <c r="A101" s="23" t="s">
        <v>62</v>
      </c>
      <c r="B101" s="15">
        <f>SUM(C101:H101)</f>
        <v>34.58636589580756</v>
      </c>
      <c r="C101" s="18">
        <f>C100/(1+$B$14)^C88</f>
        <v>3.331720930975952</v>
      </c>
      <c r="D101" s="18">
        <f>D100/(1+$B$14)^D88</f>
        <v>2.992780178347844</v>
      </c>
      <c r="E101" s="18">
        <f>E100/(1+$B$14)^E88</f>
        <v>2.6839441924284584</v>
      </c>
      <c r="F101" s="18">
        <f>F100/(1+$B$14)^F88</f>
        <v>2.4024622731296685</v>
      </c>
      <c r="G101" s="18">
        <f>G100/(1+$B$14)^G88</f>
        <v>2.1458335110011033</v>
      </c>
      <c r="H101" s="18">
        <f>H100/B14/(1+$B$14)^G88</f>
        <v>21.029624809924538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</row>
    <row r="102" spans="1:120" s="24" customFormat="1" ht="13.5" thickBot="1">
      <c r="A102" s="23"/>
      <c r="B102" s="40"/>
      <c r="C102" s="18"/>
      <c r="D102" s="18"/>
      <c r="E102" s="18"/>
      <c r="F102" s="18"/>
      <c r="G102" s="18"/>
      <c r="H102" s="18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</row>
    <row r="103" spans="1:120" s="24" customFormat="1" ht="13.5" thickBot="1">
      <c r="A103" s="23" t="s">
        <v>49</v>
      </c>
      <c r="B103" s="15">
        <f>B101+B98</f>
        <v>216.28791682664087</v>
      </c>
      <c r="C103" s="18"/>
      <c r="D103" s="18"/>
      <c r="E103" s="18"/>
      <c r="F103" s="18"/>
      <c r="G103" s="18"/>
      <c r="H103" s="18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</row>
    <row r="104" spans="1:120" s="24" customFormat="1" ht="12.75">
      <c r="A104"/>
      <c r="B104"/>
      <c r="C104" s="18"/>
      <c r="D104" s="18"/>
      <c r="E104" s="18"/>
      <c r="F104" s="18"/>
      <c r="G104" s="18"/>
      <c r="H104" s="18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  <ignoredErrors>
    <ignoredError sqref="C56:H56 C74:H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Truong Minh Hoa</cp:lastModifiedBy>
  <dcterms:created xsi:type="dcterms:W3CDTF">2012-11-06T09:38:19Z</dcterms:created>
  <dcterms:modified xsi:type="dcterms:W3CDTF">2016-07-06T01:32:27Z</dcterms:modified>
  <cp:category/>
  <cp:version/>
  <cp:contentType/>
  <cp:contentStatus/>
</cp:coreProperties>
</file>