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44" activeTab="0"/>
  </bookViews>
  <sheets>
    <sheet name="Tai chinh" sheetId="1" r:id="rId1"/>
    <sheet name="Kinh te" sheetId="2" r:id="rId2"/>
    <sheet name="Tong hop NL" sheetId="3" r:id="rId3"/>
    <sheet name="Phan phoi" sheetId="4" r:id="rId4"/>
    <sheet name="Cay trong" sheetId="5" r:id="rId5"/>
    <sheet name="Van chuyen" sheetId="6" r:id="rId6"/>
  </sheets>
  <definedNames/>
  <calcPr fullCalcOnLoad="1"/>
</workbook>
</file>

<file path=xl/sharedStrings.xml><?xml version="1.0" encoding="utf-8"?>
<sst xmlns="http://schemas.openxmlformats.org/spreadsheetml/2006/main" count="436" uniqueCount="316">
  <si>
    <t>Tỷ suất đường/mía</t>
  </si>
  <si>
    <t>Thuế nhập khẩu đường</t>
  </si>
  <si>
    <t>Tỷ giá hối đoái (VND/USD)</t>
  </si>
  <si>
    <t>Công suất tối đa ('000 tấn/năm)</t>
  </si>
  <si>
    <t>Bảng chỉ số giá</t>
  </si>
  <si>
    <t>Chỉ số giá nước ngoài</t>
  </si>
  <si>
    <t>Chỉ số giá nội địa</t>
  </si>
  <si>
    <t>Tỷ giá hối đoái</t>
  </si>
  <si>
    <t>Bảng doanh thu</t>
  </si>
  <si>
    <t>Doanh thu ròng</t>
  </si>
  <si>
    <t>Bảng chi phí</t>
  </si>
  <si>
    <t>Mía và chi phí vận chuyển</t>
  </si>
  <si>
    <t>Khấu hao</t>
  </si>
  <si>
    <t>Báo cáo thu nhập</t>
  </si>
  <si>
    <t>Tổng chi phí</t>
  </si>
  <si>
    <t>Bảng Ngân lưu</t>
  </si>
  <si>
    <t>Ngân lưu vào</t>
  </si>
  <si>
    <t>Ngân lưu ra</t>
  </si>
  <si>
    <t>Chi phí hoạt động</t>
  </si>
  <si>
    <t>Chi phí quản lý, vận hành và bán hàng</t>
  </si>
  <si>
    <t>Thay đổi vốn lưu động</t>
  </si>
  <si>
    <t>Chi phí đầu tư</t>
  </si>
  <si>
    <t>Cộng</t>
  </si>
  <si>
    <t>NPV</t>
  </si>
  <si>
    <t>Ngân lưu ròng (danh nghĩa)</t>
  </si>
  <si>
    <t>Thời gian miễn thuế kể từ năm đầu có lãi</t>
  </si>
  <si>
    <t>Nông dân trồng mía</t>
  </si>
  <si>
    <t>Năm 1</t>
  </si>
  <si>
    <t>Chi phí lao động</t>
  </si>
  <si>
    <t>Tổng diện tích trồng mía (ha)</t>
  </si>
  <si>
    <t>Phân hóa học</t>
  </si>
  <si>
    <t>Giống</t>
  </si>
  <si>
    <t>Làm đất</t>
  </si>
  <si>
    <t>Chi phí vận chuyển/Doanh thu</t>
  </si>
  <si>
    <t>Tính theo giá cố định</t>
  </si>
  <si>
    <t>Dứa</t>
  </si>
  <si>
    <t>Cà phê</t>
  </si>
  <si>
    <t>Cao su</t>
  </si>
  <si>
    <t>Xen canh A--lạc &amp; ngô</t>
  </si>
  <si>
    <t>Xen canh B--lạc &amp; lạc</t>
  </si>
  <si>
    <t>Xen canh C--lạc &amp; lúa</t>
  </si>
  <si>
    <t>Khoảng cách vận chuyển (đi-về) bình quân (km)</t>
  </si>
  <si>
    <t>Số tấn mỗi lần bốc hàng (trọng tải trả tiền)</t>
  </si>
  <si>
    <t>Số chuyến trung bình mỗi ngày</t>
  </si>
  <si>
    <t>Số ngày</t>
  </si>
  <si>
    <t>Nhiên liệu: US$/gallon</t>
  </si>
  <si>
    <t>Lương bình quân/ngày</t>
  </si>
  <si>
    <t>Lãi vay hàng năm</t>
  </si>
  <si>
    <t>Tổng doanh thu</t>
  </si>
  <si>
    <t>Doanh thu (VND/tấn)</t>
  </si>
  <si>
    <t>Chi phí nhiên liệu</t>
  </si>
  <si>
    <t>Xe tải: km/gallon</t>
  </si>
  <si>
    <t>Giả định chi phí</t>
  </si>
  <si>
    <t>Số ngày mỗi vụ</t>
  </si>
  <si>
    <t>Chi phí bảo trì</t>
  </si>
  <si>
    <t>Tổng số km</t>
  </si>
  <si>
    <t>Tổng số chuyến</t>
  </si>
  <si>
    <t>Tổng số tấn</t>
  </si>
  <si>
    <t>Chi phí khấu hao</t>
  </si>
  <si>
    <t>Chi phí lãi vay</t>
  </si>
  <si>
    <t>Lợi nhuận ròng</t>
  </si>
  <si>
    <t>Tỷ suất lợi nhuận ròng</t>
  </si>
  <si>
    <t>Tiền mua mía</t>
  </si>
  <si>
    <t>Tiền trả cho chủ xe tải</t>
  </si>
  <si>
    <t>Chính phủ</t>
  </si>
  <si>
    <t>NPV dự án</t>
  </si>
  <si>
    <t>NPV tài chính</t>
  </si>
  <si>
    <t>NPV kinh tế</t>
  </si>
  <si>
    <t>Lao động DN</t>
  </si>
  <si>
    <t>Chủ xe tải</t>
  </si>
  <si>
    <t>PHÂN PHỐI</t>
  </si>
  <si>
    <t>Nông dân</t>
  </si>
  <si>
    <t>Giá trị kết thúc</t>
  </si>
  <si>
    <t>Giá mía và chi phí vận chuyển theo dự báo NHTG (VND/tấn, giá thực)</t>
  </si>
  <si>
    <t>Tỷ lệ trả cho nông dân</t>
  </si>
  <si>
    <t>Chi phí trả cho nông dân</t>
  </si>
  <si>
    <t>Chi phí trả cho vận chuyển</t>
  </si>
  <si>
    <t>Chi phí lao động sản xuất</t>
  </si>
  <si>
    <t>Chi phí lao động SX trong nước ('000 USD)</t>
  </si>
  <si>
    <t>Chi phí lao động SX nước ngoài ('000 USD)</t>
  </si>
  <si>
    <t>Chi phí lao động trong nước</t>
  </si>
  <si>
    <t>Chi phí lao động nước ngoài</t>
  </si>
  <si>
    <t>Chi phí vật liệu và sản xuất khác</t>
  </si>
  <si>
    <t>Sản lượng mía nguyên liệu ('000 tấn)</t>
  </si>
  <si>
    <t>Chi phí vật liệu và SX khác (giá thực) so với SL mía nguyên liệu ('000 USD/tấn)</t>
  </si>
  <si>
    <t>Chi phí quản lý và bán hàng</t>
  </si>
  <si>
    <t>Chi phí lao động gián tiếp trong nước</t>
  </si>
  <si>
    <t>Chi phí lao động gián tiếp nước ngoài</t>
  </si>
  <si>
    <t>Chi phí đào tạo</t>
  </si>
  <si>
    <t>Chi phí quản lý và bán hàng khác</t>
  </si>
  <si>
    <t>Bảng chi phí đầu tư</t>
  </si>
  <si>
    <t>Chi phí đầu tư ban đầu ('000 USD)</t>
  </si>
  <si>
    <t>Tỷ lệ chi đầu tư (giá thực) so với tổng đầu tư ban đầu</t>
  </si>
  <si>
    <t>Ngân lưu chi phí đầu tư ('000 USD)</t>
  </si>
  <si>
    <t>Hệ số</t>
  </si>
  <si>
    <t>Chênh lệch lãi suất so với LIBOR</t>
  </si>
  <si>
    <t>LIBOR</t>
  </si>
  <si>
    <t>Vay IFC-A ('000 USD)</t>
  </si>
  <si>
    <t>Vay IFC-B ('000 USD)</t>
  </si>
  <si>
    <t>Vay tín dụng XK và vay khác ('000 USD)</t>
  </si>
  <si>
    <t>Lịch nợ vay IFC-A</t>
  </si>
  <si>
    <t>Dư nợ đầu kỳ</t>
  </si>
  <si>
    <t>Giải ngân</t>
  </si>
  <si>
    <t>Số lần trả nợ gốc bán niên</t>
  </si>
  <si>
    <t>Trả nợ gốc</t>
  </si>
  <si>
    <t>Dư nợ cuối kỳ</t>
  </si>
  <si>
    <t>Trả lãi vay</t>
  </si>
  <si>
    <t>Lịch nợ vay IFC-B</t>
  </si>
  <si>
    <t>Lịch nợ vay tín dụng XK và vay khác</t>
  </si>
  <si>
    <t>Lịch nợ vay hợp nhất</t>
  </si>
  <si>
    <t>Ngân lưu nợ vay</t>
  </si>
  <si>
    <t>Chi phí nợ vay</t>
  </si>
  <si>
    <t>Thuế suất VAT đường thành phẩm</t>
  </si>
  <si>
    <t>Thuế suất VAT chi phí nguyên liệu khác</t>
  </si>
  <si>
    <t>Bảng khấu hao</t>
  </si>
  <si>
    <t>Số năm khấu hao đường thẳng</t>
  </si>
  <si>
    <t>Giá trị KH</t>
  </si>
  <si>
    <t>Chi phí SX trực tiếp khác</t>
  </si>
  <si>
    <t>Bảng vốn lưu động</t>
  </si>
  <si>
    <t>Tỷ lệ vốn lưu động trên doanh thu từ 2000 trở đi</t>
  </si>
  <si>
    <t>Vốn lưu động</t>
  </si>
  <si>
    <t>Thu nhập sau thuế, NI</t>
  </si>
  <si>
    <t>Lao động</t>
  </si>
  <si>
    <t>Năm 2</t>
  </si>
  <si>
    <t>Năm 3</t>
  </si>
  <si>
    <t>Năm 4</t>
  </si>
  <si>
    <t>Năm 5</t>
  </si>
  <si>
    <t>Năm 6</t>
  </si>
  <si>
    <t>Năm 7</t>
  </si>
  <si>
    <t>Năm 8</t>
  </si>
  <si>
    <t>Năm 9</t>
  </si>
  <si>
    <t>Năm 10</t>
  </si>
  <si>
    <t>Năm 11</t>
  </si>
  <si>
    <t>Năm 12</t>
  </si>
  <si>
    <t>Năm 13</t>
  </si>
  <si>
    <t>Năm 14</t>
  </si>
  <si>
    <t>Năm 15</t>
  </si>
  <si>
    <t>Năm 16</t>
  </si>
  <si>
    <t>Năm 17</t>
  </si>
  <si>
    <t>Năm 18</t>
  </si>
  <si>
    <t>Năm 19</t>
  </si>
  <si>
    <t>Năm 20</t>
  </si>
  <si>
    <t>Diện tích trồng mía, '000 ha</t>
  </si>
  <si>
    <t>Tổng chi phí trồng mía</t>
  </si>
  <si>
    <t>Tổng thu nhập từ mía</t>
  </si>
  <si>
    <t>Thu nhập ròng từ mía</t>
  </si>
  <si>
    <t>Vòng đời cây trồng (năm)</t>
  </si>
  <si>
    <t>Ngày công lao động/hec ta</t>
  </si>
  <si>
    <t>Số năm đến khi có doanh thu</t>
  </si>
  <si>
    <t>Doanh thu năm thông thường</t>
  </si>
  <si>
    <t>Chi phí cơ hội 1 ngày công LĐ, USD</t>
  </si>
  <si>
    <t>Chi phí cơ hội 1 ngày công LĐ, VND</t>
  </si>
  <si>
    <t>Ngày công lao động/hec ta, năm trồng mới</t>
  </si>
  <si>
    <t>Ngày công lao động/hec ta, năm thông thường</t>
  </si>
  <si>
    <t>Phân hóa học, VND/ha</t>
  </si>
  <si>
    <t>Giống, VND/ha</t>
  </si>
  <si>
    <t>Làm đất, VND/ha</t>
  </si>
  <si>
    <t>Chi phí năm trồng mới</t>
  </si>
  <si>
    <t>Chi phí năm thông thường</t>
  </si>
  <si>
    <t>MÍA</t>
  </si>
  <si>
    <t>DỨA</t>
  </si>
  <si>
    <t>Sản lượng, tấn/ha</t>
  </si>
  <si>
    <t>Doanh thu</t>
  </si>
  <si>
    <t>Bán cây giống, '000 VND</t>
  </si>
  <si>
    <t>Thu nhập ròng, '000 VND/ha</t>
  </si>
  <si>
    <t>Tổng chi phí, '000 VND/ha</t>
  </si>
  <si>
    <t>Tổng chi phí, USD/ha</t>
  </si>
  <si>
    <t>Thu nhập ròng, USD/ha</t>
  </si>
  <si>
    <t>CÀ PHÊ</t>
  </si>
  <si>
    <t>CAO SU</t>
  </si>
  <si>
    <t>Năm 21</t>
  </si>
  <si>
    <t>Năm 22</t>
  </si>
  <si>
    <t>Năm 23</t>
  </si>
  <si>
    <t>Năm 24</t>
  </si>
  <si>
    <t>Năm 25</t>
  </si>
  <si>
    <t>Năm 26</t>
  </si>
  <si>
    <t>Năm 27</t>
  </si>
  <si>
    <t>Năm 28</t>
  </si>
  <si>
    <t>Năm 29</t>
  </si>
  <si>
    <t>Năm 30</t>
  </si>
  <si>
    <t>LÚA</t>
  </si>
  <si>
    <t>LẠC</t>
  </si>
  <si>
    <t>NGÔ</t>
  </si>
  <si>
    <t>Chi phí</t>
  </si>
  <si>
    <t>BẢNG THÔNG SỐ</t>
  </si>
  <si>
    <t>Năm 2-8</t>
  </si>
  <si>
    <t>MÍA, chi phí '000 VND/ha</t>
  </si>
  <si>
    <t>DỨA, chi phí '000 VND/ha</t>
  </si>
  <si>
    <t>CÀ PHÊ, chi phí '000 VND/ha</t>
  </si>
  <si>
    <t>CAO SU, chi phí '000 VND/ha</t>
  </si>
  <si>
    <t>LÚA, chi phí '000 VND/ha</t>
  </si>
  <si>
    <r>
      <rPr>
        <b/>
        <i/>
        <sz val="9"/>
        <rFont val="Arial"/>
        <family val="2"/>
      </rPr>
      <t>MÍA</t>
    </r>
    <r>
      <rPr>
        <i/>
        <sz val="9"/>
        <rFont val="Arial"/>
        <family val="2"/>
      </rPr>
      <t xml:space="preserve">               </t>
    </r>
    <r>
      <rPr>
        <i/>
        <u val="single"/>
        <sz val="9"/>
        <rFont val="Arial"/>
        <family val="2"/>
      </rPr>
      <t>Diện tích trồng mía tăng thêm</t>
    </r>
  </si>
  <si>
    <r>
      <rPr>
        <b/>
        <i/>
        <sz val="9"/>
        <rFont val="Arial"/>
        <family val="2"/>
      </rPr>
      <t>DỨA</t>
    </r>
    <r>
      <rPr>
        <i/>
        <sz val="9"/>
        <rFont val="Arial"/>
        <family val="2"/>
      </rPr>
      <t xml:space="preserve">               </t>
    </r>
    <r>
      <rPr>
        <i/>
        <u val="single"/>
        <sz val="9"/>
        <rFont val="Arial"/>
        <family val="2"/>
      </rPr>
      <t>Diện tích trồng mía tăng thêm</t>
    </r>
  </si>
  <si>
    <r>
      <rPr>
        <b/>
        <i/>
        <sz val="9"/>
        <rFont val="Arial"/>
        <family val="2"/>
      </rPr>
      <t>CÀ PHÊ</t>
    </r>
    <r>
      <rPr>
        <i/>
        <sz val="9"/>
        <rFont val="Arial"/>
        <family val="2"/>
      </rPr>
      <t xml:space="preserve">               </t>
    </r>
    <r>
      <rPr>
        <i/>
        <u val="single"/>
        <sz val="9"/>
        <rFont val="Arial"/>
        <family val="2"/>
      </rPr>
      <t>Diện tích trồng mía tăng thêm</t>
    </r>
  </si>
  <si>
    <r>
      <rPr>
        <b/>
        <i/>
        <sz val="9"/>
        <rFont val="Arial"/>
        <family val="2"/>
      </rPr>
      <t>CAO SU</t>
    </r>
    <r>
      <rPr>
        <i/>
        <sz val="9"/>
        <rFont val="Arial"/>
        <family val="2"/>
      </rPr>
      <t xml:space="preserve">               </t>
    </r>
    <r>
      <rPr>
        <i/>
        <u val="single"/>
        <sz val="9"/>
        <rFont val="Arial"/>
        <family val="2"/>
      </rPr>
      <t>Diện tích trồng mía tăng thêm</t>
    </r>
  </si>
  <si>
    <r>
      <rPr>
        <b/>
        <i/>
        <sz val="9"/>
        <rFont val="Arial"/>
        <family val="2"/>
      </rPr>
      <t>LẠC &amp; NGÔ</t>
    </r>
    <r>
      <rPr>
        <i/>
        <sz val="9"/>
        <rFont val="Arial"/>
        <family val="2"/>
      </rPr>
      <t xml:space="preserve">               </t>
    </r>
    <r>
      <rPr>
        <i/>
        <u val="single"/>
        <sz val="9"/>
        <rFont val="Arial"/>
        <family val="2"/>
      </rPr>
      <t>Diện tích trồng mía tăng thêm</t>
    </r>
  </si>
  <si>
    <r>
      <rPr>
        <b/>
        <i/>
        <sz val="9"/>
        <rFont val="Arial"/>
        <family val="2"/>
      </rPr>
      <t>LẠC &amp; LẠC</t>
    </r>
    <r>
      <rPr>
        <i/>
        <sz val="9"/>
        <rFont val="Arial"/>
        <family val="2"/>
      </rPr>
      <t xml:space="preserve">               </t>
    </r>
    <r>
      <rPr>
        <i/>
        <u val="single"/>
        <sz val="9"/>
        <rFont val="Arial"/>
        <family val="2"/>
      </rPr>
      <t>Diện tích trồng mía tăng thêm</t>
    </r>
  </si>
  <si>
    <r>
      <rPr>
        <b/>
        <i/>
        <sz val="9"/>
        <rFont val="Arial"/>
        <family val="2"/>
      </rPr>
      <t>LẠC &amp; LÚA</t>
    </r>
    <r>
      <rPr>
        <i/>
        <sz val="9"/>
        <rFont val="Arial"/>
        <family val="2"/>
      </rPr>
      <t xml:space="preserve">               </t>
    </r>
    <r>
      <rPr>
        <i/>
        <u val="single"/>
        <sz val="9"/>
        <rFont val="Arial"/>
        <family val="2"/>
      </rPr>
      <t>Diện tích trồng mía tăng thêm</t>
    </r>
  </si>
  <si>
    <t>Tỷ giá</t>
  </si>
  <si>
    <t>Chọn loại cây thay thế</t>
  </si>
  <si>
    <t>Cây thu hoa lợi (trung bình)</t>
  </si>
  <si>
    <t>Thu nhập ròng của câu trồng thay thế</t>
  </si>
  <si>
    <t>Thu nhập ròng trồng mía</t>
  </si>
  <si>
    <t>Thu nhập ròng trồng cây thay thế</t>
  </si>
  <si>
    <t>Chi phí lao động trong nước trong tổng chi đầu tư</t>
  </si>
  <si>
    <t>Chi phí lao động trong nước trong tổng đầu tư</t>
  </si>
  <si>
    <t>Chi phí lương tài chính của LĐ trong nước (danh nghĩa)</t>
  </si>
  <si>
    <t>Chi phí lương kinh tế</t>
  </si>
  <si>
    <t>Hệ số lương kinh tế (SWRF)</t>
  </si>
  <si>
    <t>Giá trị đào tạo nghề</t>
  </si>
  <si>
    <t>Lợi ích kinh tế ròng đối với chủ xe tải</t>
  </si>
  <si>
    <t>Lợi ích kinh tế ròng đối với nông dân trồng mía</t>
  </si>
  <si>
    <t>Lợi ích kinh tế ròng đối với lao động trong nước</t>
  </si>
  <si>
    <t>LAO ĐỘNG TRONG NƯỚC LÀM VIỆC CHO DỰ ÁN</t>
  </si>
  <si>
    <t>VẬN CHUYỂN MÍA</t>
  </si>
  <si>
    <t>Thuế thu thập (tính cho trường hợp không vay nợ)</t>
  </si>
  <si>
    <t>TÀI CHÍNH</t>
  </si>
  <si>
    <t>KINH TẾ</t>
  </si>
  <si>
    <t>Lợi ích ròng của lao động dự án</t>
  </si>
  <si>
    <t>Lợi ích ròng của nông dân trồng mía</t>
  </si>
  <si>
    <t>Lợi ích ròng của chủ xe tải</t>
  </si>
  <si>
    <t>Vĩ mô</t>
  </si>
  <si>
    <t>Vay nợ</t>
  </si>
  <si>
    <t>Sản xuất</t>
  </si>
  <si>
    <t>Chi phí vốn</t>
  </si>
  <si>
    <t>MÔ HÌNH TÀI CHÍNH CƠ SỞ</t>
  </si>
  <si>
    <t>Năng suất (tấn/ha)</t>
  </si>
  <si>
    <t>Sản lượng đường sản xuất ('000 tấn)</t>
  </si>
  <si>
    <t>Doanh thu không kể VAT</t>
  </si>
  <si>
    <t>Doanh thu có VAT ('000 USD)</t>
  </si>
  <si>
    <t>Chi phí sản xuất (kể cả VAT)</t>
  </si>
  <si>
    <t>Doanh thu có VAT</t>
  </si>
  <si>
    <t>Thuế VAT đầu vào (được hoàn lại)</t>
  </si>
  <si>
    <t>VAT vật liệu SX khác</t>
  </si>
  <si>
    <t>VAT chi phí quản lý và bán hàng</t>
  </si>
  <si>
    <t>Lãi vay Rabobank</t>
  </si>
  <si>
    <t>IRR danh nghĩa</t>
  </si>
  <si>
    <t>IRR thực</t>
  </si>
  <si>
    <t>Giá đường thế giới ('000/USD, danh nghĩa)</t>
  </si>
  <si>
    <t>Dự báo NHTG</t>
  </si>
  <si>
    <t>Tốc độ tăng giá</t>
  </si>
  <si>
    <t>Giá không hồi phục</t>
  </si>
  <si>
    <t>Giá hồi phục</t>
  </si>
  <si>
    <t>Chọn kịch bản giá</t>
  </si>
  <si>
    <t>Diện tích trồng mía ('000 ha)</t>
  </si>
  <si>
    <t>Kịch bản cơ sở</t>
  </si>
  <si>
    <t>Chọn kịch bản diện tích trồng mía</t>
  </si>
  <si>
    <t>Thuế suất hiện hữu</t>
  </si>
  <si>
    <t>Thuế giá trị gia tăng (VAT) và TNDN</t>
  </si>
  <si>
    <t>Thuế suất thuế thu nhập doanh nghiệp</t>
  </si>
  <si>
    <t>Thuế suất ở mức hiện hữu</t>
  </si>
  <si>
    <t>Lộ trình AFTA</t>
  </si>
  <si>
    <t>Chọn kịch bản thuế suất nhập khẩu đường</t>
  </si>
  <si>
    <t>Lộ trình giảm thuế</t>
  </si>
  <si>
    <t>Tỷ lệ đội giá</t>
  </si>
  <si>
    <t>Thuế suất 0%</t>
  </si>
  <si>
    <t>Giá mía và chi phí vận chuyển (USD/tấn, giá danh nghĩa)</t>
  </si>
  <si>
    <t>Thời gian hoàn vốn</t>
  </si>
  <si>
    <t>Thời gian hoàn vốn với ngân lưu chiết khấu</t>
  </si>
  <si>
    <t>Chi phí lao động gián tiếp trong nước ('000 USD)</t>
  </si>
  <si>
    <t>Chi phí lao động gián tiếp nước ngoài ('000 USD)</t>
  </si>
  <si>
    <t>Chi phí đào tạo ('000 USD)</t>
  </si>
  <si>
    <t>Chi phí quản lý và bán hàng khác ('000 USD)</t>
  </si>
  <si>
    <t>Vốn lưu động, 1996-99 ('000 USD)</t>
  </si>
  <si>
    <t>Cách tính VAT</t>
  </si>
  <si>
    <t>Giá đường nội địa (USD), chưa bao gồm VAT</t>
  </si>
  <si>
    <t>Kịch bản chậm triển khai</t>
  </si>
  <si>
    <t>Kịch bản nửa công suất</t>
  </si>
  <si>
    <t>Chọn kịch bản giá mía</t>
  </si>
  <si>
    <t>Kịch bản dự báo của NHTG như trong NCTH</t>
  </si>
  <si>
    <t>Kịch bản giá thực giảm dần để giá danh nghĩa USD không đổi</t>
  </si>
  <si>
    <t>Kịch bản giá thực không đổi</t>
  </si>
  <si>
    <t>VAT mía và vận chuyển</t>
  </si>
  <si>
    <t>Kịch bản không có VAT</t>
  </si>
  <si>
    <t>Kịch bản như NCTH</t>
  </si>
  <si>
    <t>NGÂN LƯU TỰ DO DỰ ÁN</t>
  </si>
  <si>
    <t>Lợi nhuận trước lãi vay và thuế (EBIT)</t>
  </si>
  <si>
    <t xml:space="preserve"> - Thuế TNDN</t>
  </si>
  <si>
    <t>Lợi nhuận trước khấu hao, lãi vay và thuế, EBITDA</t>
  </si>
  <si>
    <t>Lợi nhuận trước lãi vay và thuế, EBIT</t>
  </si>
  <si>
    <t>Lợi nhuận trước thuế, EBT</t>
  </si>
  <si>
    <t>Thuế suất hiệu dung thuế TNDN</t>
  </si>
  <si>
    <t>+  Khấu hao</t>
  </si>
  <si>
    <t xml:space="preserve"> - Thay đổi vốn lưu động</t>
  </si>
  <si>
    <t xml:space="preserve"> - Chi phí đầu tư</t>
  </si>
  <si>
    <t xml:space="preserve"> + Giá trị kết thúc</t>
  </si>
  <si>
    <t>Ngân lưu tự do dự án, danh nghĩa</t>
  </si>
  <si>
    <t>Ngân lưu tự do dự án, thực</t>
  </si>
  <si>
    <t>IRR</t>
  </si>
  <si>
    <t>DỰ ÁN ĐƯỜNG NGHỆ AN TATE &amp; LYLE</t>
  </si>
  <si>
    <t>WACC sau thuế và chi phí vốn kinh tế thực USD</t>
  </si>
  <si>
    <t>WACC sau thuế danh nghĩa USD</t>
  </si>
  <si>
    <t>Thuế thu thập DN</t>
  </si>
  <si>
    <t>Vay Rabobank từ đầu ('000 USD)</t>
  </si>
  <si>
    <t>- Lãi vay</t>
  </si>
  <si>
    <t xml:space="preserve"> - Khấu hao</t>
  </si>
  <si>
    <t>- VAT đầu vào</t>
  </si>
  <si>
    <t xml:space="preserve"> - VAT đầu vào</t>
  </si>
  <si>
    <t xml:space="preserve"> - VAT đầu ra</t>
  </si>
  <si>
    <t>Ngân lưu chiết khấu, DCF</t>
  </si>
  <si>
    <t>Giá, '000 VND/tấn</t>
  </si>
  <si>
    <t>Thu nhập ròng từ dứa</t>
  </si>
  <si>
    <t>Thu nhập ròng từ cà phê</t>
  </si>
  <si>
    <t>Thu nhập ròng từ cao su</t>
  </si>
  <si>
    <t>Thu nhập ròng từ lạc &amp; lạc</t>
  </si>
  <si>
    <t>Thu nhập ròng từ lạc và lạc</t>
  </si>
  <si>
    <t>Thu nhập ròng từ lạc &amp; lúa</t>
  </si>
  <si>
    <t>Bảo trì mỗi vụ, VND</t>
  </si>
  <si>
    <t>Chi phí trung bình mỗi xe, VND</t>
  </si>
  <si>
    <t>Khấu hao mỗi km</t>
  </si>
  <si>
    <t>NÔNG DÂN TRỒNG MÍA, giá 1998</t>
  </si>
  <si>
    <t>NGÂN LƯU KINH TẾ, giá danh nghĩa</t>
  </si>
  <si>
    <t>Chênh lệch</t>
  </si>
  <si>
    <t>EBIAT [EBIT*(1-tc)]</t>
  </si>
  <si>
    <t>Tỷ lệ lạm phát VND</t>
  </si>
  <si>
    <t>Tỷ lệ lạm phát USD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</si>
</sst>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%"/>
    <numFmt numFmtId="168" formatCode="0.000000%"/>
    <numFmt numFmtId="169" formatCode="0.0000000%"/>
    <numFmt numFmtId="170" formatCode="0.00000000%"/>
    <numFmt numFmtId="171" formatCode="0.000000000%"/>
    <numFmt numFmtId="172" formatCode="0.0000000000%"/>
    <numFmt numFmtId="173" formatCode="0.0"/>
    <numFmt numFmtId="174" formatCode="0.000"/>
    <numFmt numFmtId="175" formatCode="0.0000"/>
    <numFmt numFmtId="176" formatCode="#,##0.0"/>
    <numFmt numFmtId="177" formatCode="#,##0.000"/>
    <numFmt numFmtId="178" formatCode="#,##0.0000"/>
    <numFmt numFmtId="179" formatCode="#,##0.00000"/>
    <numFmt numFmtId="180" formatCode="#,##0.000000000000"/>
    <numFmt numFmtId="181" formatCode="[$-409]dddd\,\ mmmm\ dd\,\ yyyy"/>
    <numFmt numFmtId="182" formatCode="mm//yy"/>
    <numFmt numFmtId="183" formatCode="mm/yyyy"/>
    <numFmt numFmtId="184" formatCode="0.000000"/>
    <numFmt numFmtId="185" formatCode="0.00000"/>
    <numFmt numFmtId="186" formatCode="#,##0.000000"/>
    <numFmt numFmtId="187" formatCode="0.000000000000000%"/>
  </numFmts>
  <fonts count="4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u val="single"/>
      <sz val="9"/>
      <color indexed="8"/>
      <name val="Arial"/>
      <family val="2"/>
    </font>
    <font>
      <i/>
      <u val="single"/>
      <sz val="9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0" fontId="3" fillId="0" borderId="0" xfId="57" applyNumberFormat="1" applyFon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64" fontId="3" fillId="0" borderId="0" xfId="57" applyNumberFormat="1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indent="1"/>
    </xf>
    <xf numFmtId="10" fontId="2" fillId="0" borderId="0" xfId="57" applyNumberFormat="1" applyFont="1" applyAlignment="1">
      <alignment/>
    </xf>
    <xf numFmtId="9" fontId="3" fillId="0" borderId="0" xfId="57" applyFont="1" applyAlignment="1">
      <alignment/>
    </xf>
    <xf numFmtId="10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vertical="top" wrapText="1"/>
    </xf>
    <xf numFmtId="176" fontId="3" fillId="0" borderId="0" xfId="0" applyNumberFormat="1" applyFont="1" applyAlignment="1">
      <alignment horizontal="right"/>
    </xf>
    <xf numFmtId="0" fontId="7" fillId="0" borderId="0" xfId="0" applyFont="1" applyAlignment="1">
      <alignment vertical="top" wrapText="1"/>
    </xf>
    <xf numFmtId="9" fontId="3" fillId="0" borderId="0" xfId="57" applyFont="1" applyAlignment="1">
      <alignment horizontal="right"/>
    </xf>
    <xf numFmtId="176" fontId="3" fillId="0" borderId="0" xfId="0" applyNumberFormat="1" applyFont="1" applyAlignment="1">
      <alignment/>
    </xf>
    <xf numFmtId="0" fontId="2" fillId="0" borderId="0" xfId="0" applyFont="1" applyAlignment="1">
      <alignment/>
    </xf>
    <xf numFmtId="3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indent="1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3" fontId="3" fillId="0" borderId="22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3" fontId="2" fillId="0" borderId="24" xfId="0" applyNumberFormat="1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8" fillId="0" borderId="0" xfId="0" applyFont="1" applyAlignment="1">
      <alignment/>
    </xf>
    <xf numFmtId="4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3" fillId="0" borderId="0" xfId="0" applyFont="1" applyAlignment="1">
      <alignment horizontal="left" indent="2"/>
    </xf>
    <xf numFmtId="9" fontId="3" fillId="0" borderId="0" xfId="57" applyNumberFormat="1" applyFont="1" applyAlignment="1">
      <alignment/>
    </xf>
    <xf numFmtId="165" fontId="3" fillId="0" borderId="0" xfId="57" applyNumberFormat="1" applyFont="1" applyAlignment="1">
      <alignment/>
    </xf>
    <xf numFmtId="3" fontId="47" fillId="0" borderId="0" xfId="0" applyNumberFormat="1" applyFont="1" applyAlignment="1">
      <alignment/>
    </xf>
    <xf numFmtId="0" fontId="6" fillId="0" borderId="30" xfId="0" applyFont="1" applyBorder="1" applyAlignment="1">
      <alignment horizontal="right" vertical="top" wrapText="1"/>
    </xf>
    <xf numFmtId="37" fontId="0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/>
    </xf>
    <xf numFmtId="177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left" indent="1"/>
    </xf>
    <xf numFmtId="0" fontId="6" fillId="0" borderId="11" xfId="0" applyFont="1" applyBorder="1" applyAlignment="1">
      <alignment horizontal="left" vertical="top" wrapText="1"/>
    </xf>
    <xf numFmtId="3" fontId="3" fillId="0" borderId="31" xfId="0" applyNumberFormat="1" applyFont="1" applyBorder="1" applyAlignment="1">
      <alignment/>
    </xf>
    <xf numFmtId="0" fontId="6" fillId="0" borderId="32" xfId="0" applyFont="1" applyBorder="1" applyAlignment="1">
      <alignment horizontal="right" vertical="top" wrapText="1"/>
    </xf>
    <xf numFmtId="0" fontId="6" fillId="0" borderId="13" xfId="0" applyFont="1" applyBorder="1" applyAlignment="1">
      <alignment horizontal="right" vertical="top" wrapText="1"/>
    </xf>
    <xf numFmtId="3" fontId="6" fillId="0" borderId="13" xfId="0" applyNumberFormat="1" applyFont="1" applyBorder="1" applyAlignment="1">
      <alignment horizontal="right" vertical="top" wrapText="1"/>
    </xf>
    <xf numFmtId="0" fontId="6" fillId="0" borderId="33" xfId="0" applyFont="1" applyBorder="1" applyAlignment="1">
      <alignment horizontal="right" vertical="top" wrapText="1"/>
    </xf>
    <xf numFmtId="3" fontId="3" fillId="0" borderId="34" xfId="0" applyNumberFormat="1" applyFont="1" applyBorder="1" applyAlignment="1">
      <alignment/>
    </xf>
    <xf numFmtId="0" fontId="6" fillId="0" borderId="35" xfId="0" applyFont="1" applyBorder="1" applyAlignment="1">
      <alignment horizontal="right" vertical="top" wrapText="1"/>
    </xf>
    <xf numFmtId="3" fontId="3" fillId="0" borderId="36" xfId="0" applyNumberFormat="1" applyFont="1" applyBorder="1" applyAlignment="1">
      <alignment/>
    </xf>
    <xf numFmtId="3" fontId="6" fillId="0" borderId="35" xfId="0" applyNumberFormat="1" applyFont="1" applyBorder="1" applyAlignment="1">
      <alignment horizontal="right" vertical="top" wrapText="1"/>
    </xf>
    <xf numFmtId="0" fontId="9" fillId="0" borderId="35" xfId="0" applyFont="1" applyBorder="1" applyAlignment="1">
      <alignment horizontal="right" vertical="top" wrapText="1"/>
    </xf>
    <xf numFmtId="3" fontId="4" fillId="0" borderId="36" xfId="0" applyNumberFormat="1" applyFont="1" applyBorder="1" applyAlignment="1">
      <alignment horizontal="right"/>
    </xf>
    <xf numFmtId="0" fontId="3" fillId="0" borderId="35" xfId="0" applyFont="1" applyBorder="1" applyAlignment="1">
      <alignment/>
    </xf>
    <xf numFmtId="3" fontId="3" fillId="0" borderId="35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28" xfId="0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0" fontId="3" fillId="0" borderId="20" xfId="0" applyFont="1" applyBorder="1" applyAlignment="1">
      <alignment/>
    </xf>
    <xf numFmtId="3" fontId="3" fillId="0" borderId="38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40" xfId="0" applyFont="1" applyBorder="1" applyAlignment="1">
      <alignment/>
    </xf>
    <xf numFmtId="3" fontId="3" fillId="0" borderId="24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0" fontId="3" fillId="0" borderId="0" xfId="0" applyFont="1" applyAlignment="1">
      <alignment horizontal="left" indent="9"/>
    </xf>
    <xf numFmtId="0" fontId="10" fillId="0" borderId="0" xfId="0" applyFont="1" applyAlignment="1">
      <alignment horizontal="right"/>
    </xf>
    <xf numFmtId="3" fontId="3" fillId="0" borderId="41" xfId="0" applyNumberFormat="1" applyFont="1" applyBorder="1" applyAlignment="1">
      <alignment/>
    </xf>
    <xf numFmtId="3" fontId="3" fillId="0" borderId="42" xfId="0" applyNumberFormat="1" applyFont="1" applyBorder="1" applyAlignment="1">
      <alignment/>
    </xf>
    <xf numFmtId="3" fontId="3" fillId="0" borderId="43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178" fontId="3" fillId="0" borderId="0" xfId="0" applyNumberFormat="1" applyFont="1" applyAlignment="1">
      <alignment/>
    </xf>
    <xf numFmtId="10" fontId="2" fillId="0" borderId="0" xfId="57" applyNumberFormat="1" applyFont="1" applyAlignment="1">
      <alignment horizontal="right"/>
    </xf>
    <xf numFmtId="3" fontId="3" fillId="33" borderId="0" xfId="0" applyNumberFormat="1" applyFont="1" applyFill="1" applyAlignment="1">
      <alignment/>
    </xf>
    <xf numFmtId="3" fontId="2" fillId="0" borderId="44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3" fontId="3" fillId="0" borderId="42" xfId="0" applyNumberFormat="1" applyFont="1" applyBorder="1" applyAlignment="1">
      <alignment horizontal="right"/>
    </xf>
    <xf numFmtId="3" fontId="3" fillId="0" borderId="4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2" fillId="0" borderId="14" xfId="0" applyFont="1" applyBorder="1" applyAlignment="1">
      <alignment/>
    </xf>
    <xf numFmtId="3" fontId="2" fillId="0" borderId="31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173" fontId="3" fillId="0" borderId="0" xfId="0" applyNumberFormat="1" applyFont="1" applyAlignment="1">
      <alignment/>
    </xf>
    <xf numFmtId="43" fontId="3" fillId="0" borderId="0" xfId="42" applyFon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 horizontal="right"/>
    </xf>
    <xf numFmtId="3" fontId="2" fillId="2" borderId="0" xfId="0" applyNumberFormat="1" applyFont="1" applyFill="1" applyBorder="1" applyAlignment="1">
      <alignment/>
    </xf>
    <xf numFmtId="10" fontId="2" fillId="2" borderId="0" xfId="57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34" borderId="0" xfId="0" applyFont="1" applyFill="1" applyAlignment="1">
      <alignment/>
    </xf>
    <xf numFmtId="3" fontId="3" fillId="34" borderId="0" xfId="0" applyNumberFormat="1" applyFont="1" applyFill="1" applyAlignment="1">
      <alignment/>
    </xf>
    <xf numFmtId="0" fontId="2" fillId="0" borderId="31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Z214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210" sqref="C210"/>
    </sheetView>
  </sheetViews>
  <sheetFormatPr defaultColWidth="9.28125" defaultRowHeight="12.75"/>
  <cols>
    <col min="1" max="1" width="46.57421875" style="2" customWidth="1"/>
    <col min="2" max="2" width="7.57421875" style="2" customWidth="1"/>
    <col min="3" max="22" width="8.00390625" style="2" customWidth="1"/>
    <col min="23" max="23" width="2.00390625" style="141" customWidth="1"/>
    <col min="24" max="24" width="9.28125" style="2" customWidth="1"/>
    <col min="25" max="25" width="13.57421875" style="2" bestFit="1" customWidth="1"/>
    <col min="26" max="16384" width="9.28125" style="2" customWidth="1"/>
  </cols>
  <sheetData>
    <row r="1" spans="1:22" ht="11.25">
      <c r="A1" s="152" t="s">
        <v>289</v>
      </c>
      <c r="C1" s="2">
        <v>1996</v>
      </c>
      <c r="D1" s="2">
        <v>1997</v>
      </c>
      <c r="E1" s="2">
        <v>1998</v>
      </c>
      <c r="F1" s="2">
        <v>1999</v>
      </c>
      <c r="G1" s="2">
        <v>2000</v>
      </c>
      <c r="H1" s="2">
        <v>2001</v>
      </c>
      <c r="I1" s="2">
        <v>2002</v>
      </c>
      <c r="J1" s="2">
        <v>2003</v>
      </c>
      <c r="K1" s="2">
        <v>2004</v>
      </c>
      <c r="L1" s="2">
        <v>2005</v>
      </c>
      <c r="M1" s="2">
        <v>2006</v>
      </c>
      <c r="N1" s="2">
        <v>2007</v>
      </c>
      <c r="O1" s="2">
        <v>2008</v>
      </c>
      <c r="P1" s="2">
        <v>2009</v>
      </c>
      <c r="Q1" s="2">
        <v>2010</v>
      </c>
      <c r="R1" s="2">
        <v>2011</v>
      </c>
      <c r="S1" s="2">
        <v>2012</v>
      </c>
      <c r="T1" s="2">
        <v>2013</v>
      </c>
      <c r="U1" s="2">
        <v>2014</v>
      </c>
      <c r="V1" s="2">
        <v>2015</v>
      </c>
    </row>
    <row r="2" spans="1:22" ht="11.25">
      <c r="A2" s="152"/>
      <c r="B2" s="61" t="s">
        <v>94</v>
      </c>
      <c r="C2" s="2">
        <v>-2</v>
      </c>
      <c r="D2" s="2">
        <v>-1</v>
      </c>
      <c r="E2" s="2">
        <v>0</v>
      </c>
      <c r="F2" s="2">
        <v>1</v>
      </c>
      <c r="G2" s="2">
        <v>2</v>
      </c>
      <c r="H2" s="2">
        <v>3</v>
      </c>
      <c r="I2" s="2">
        <v>4</v>
      </c>
      <c r="J2" s="2">
        <v>5</v>
      </c>
      <c r="K2" s="2">
        <v>6</v>
      </c>
      <c r="L2" s="2">
        <v>7</v>
      </c>
      <c r="M2" s="2">
        <v>8</v>
      </c>
      <c r="N2" s="2">
        <v>9</v>
      </c>
      <c r="O2" s="2">
        <v>10</v>
      </c>
      <c r="P2" s="2">
        <v>11</v>
      </c>
      <c r="Q2" s="2">
        <v>12</v>
      </c>
      <c r="R2" s="2">
        <v>13</v>
      </c>
      <c r="S2" s="2">
        <v>14</v>
      </c>
      <c r="T2" s="2">
        <v>15</v>
      </c>
      <c r="U2" s="2">
        <v>16</v>
      </c>
      <c r="V2" s="2">
        <v>17</v>
      </c>
    </row>
    <row r="3" ht="12">
      <c r="A3" s="1" t="s">
        <v>184</v>
      </c>
    </row>
    <row r="4" ht="12">
      <c r="A4" s="1" t="s">
        <v>221</v>
      </c>
    </row>
    <row r="5" spans="1:4" ht="11.25">
      <c r="A5" s="12" t="s">
        <v>314</v>
      </c>
      <c r="B5" s="3">
        <v>0.05</v>
      </c>
      <c r="C5" s="3"/>
      <c r="D5" s="3"/>
    </row>
    <row r="6" spans="1:4" ht="11.25">
      <c r="A6" s="12" t="s">
        <v>315</v>
      </c>
      <c r="B6" s="3">
        <v>0.03</v>
      </c>
      <c r="C6" s="3"/>
      <c r="D6" s="3"/>
    </row>
    <row r="7" spans="1:5" ht="11.25">
      <c r="A7" s="12" t="s">
        <v>2</v>
      </c>
      <c r="C7" s="4"/>
      <c r="D7" s="4"/>
      <c r="E7" s="4">
        <v>15000</v>
      </c>
    </row>
    <row r="8" spans="1:5" ht="11.25">
      <c r="A8" s="12" t="s">
        <v>96</v>
      </c>
      <c r="B8" s="8">
        <f>(1+5.5%)/(1+3%)*(1+B6)-1</f>
        <v>0.05499999999999994</v>
      </c>
      <c r="C8" s="4"/>
      <c r="D8" s="4"/>
      <c r="E8" s="4"/>
    </row>
    <row r="9" spans="1:22" ht="12">
      <c r="A9" s="34" t="s">
        <v>238</v>
      </c>
      <c r="B9" s="8"/>
      <c r="C9" s="4"/>
      <c r="D9" s="4"/>
      <c r="E9" s="4"/>
      <c r="F9" s="9">
        <f>INDEX($F$11:$V$13,$B$14,F2)</f>
        <v>300.0180412371134</v>
      </c>
      <c r="G9" s="9">
        <f aca="true" t="shared" si="0" ref="G9:V9">INDEX($F$11:$V$13,$B$14,G2)</f>
        <v>314.235824742268</v>
      </c>
      <c r="H9" s="9">
        <f t="shared" si="0"/>
        <v>330.87163125</v>
      </c>
      <c r="I9" s="9">
        <f t="shared" si="0"/>
        <v>348.1265868196875</v>
      </c>
      <c r="J9" s="9">
        <f t="shared" si="0"/>
        <v>366.2813883223341</v>
      </c>
      <c r="K9" s="9">
        <f t="shared" si="0"/>
        <v>385.38296272334384</v>
      </c>
      <c r="L9" s="9">
        <f t="shared" si="0"/>
        <v>405.47982574778143</v>
      </c>
      <c r="M9" s="9">
        <f t="shared" si="0"/>
        <v>417.1258182989691</v>
      </c>
      <c r="N9" s="9">
        <f t="shared" si="0"/>
        <v>426.0105982287372</v>
      </c>
      <c r="O9" s="9">
        <f t="shared" si="0"/>
        <v>435.08462397100925</v>
      </c>
      <c r="P9" s="9">
        <f t="shared" si="0"/>
        <v>444.3519264615918</v>
      </c>
      <c r="Q9" s="9">
        <f t="shared" si="0"/>
        <v>453.8093990563549</v>
      </c>
      <c r="R9" s="9">
        <f t="shared" si="0"/>
        <v>459.2648195876289</v>
      </c>
      <c r="S9" s="9">
        <f t="shared" si="0"/>
        <v>463.39820296391747</v>
      </c>
      <c r="T9" s="9">
        <f t="shared" si="0"/>
        <v>467.5687867905927</v>
      </c>
      <c r="U9" s="9">
        <f t="shared" si="0"/>
        <v>471.776905871708</v>
      </c>
      <c r="V9" s="9">
        <f t="shared" si="0"/>
        <v>476.0228980245533</v>
      </c>
    </row>
    <row r="10" spans="1:5" ht="11.25">
      <c r="A10" s="12" t="s">
        <v>240</v>
      </c>
      <c r="B10" s="8">
        <f>B6</f>
        <v>0.03</v>
      </c>
      <c r="C10" s="4"/>
      <c r="D10" s="4"/>
      <c r="E10" s="4"/>
    </row>
    <row r="11" spans="1:22" ht="11.25">
      <c r="A11" s="12" t="s">
        <v>239</v>
      </c>
      <c r="F11" s="9">
        <v>300.0180412371134</v>
      </c>
      <c r="G11" s="9">
        <v>314.235824742268</v>
      </c>
      <c r="H11" s="9">
        <v>330.87163125</v>
      </c>
      <c r="I11" s="9">
        <v>348.1265868196875</v>
      </c>
      <c r="J11" s="9">
        <v>366.2813883223341</v>
      </c>
      <c r="K11" s="9">
        <v>385.38296272334384</v>
      </c>
      <c r="L11" s="9">
        <v>405.47982574778143</v>
      </c>
      <c r="M11" s="9">
        <v>417.1258182989691</v>
      </c>
      <c r="N11" s="9">
        <v>426.0105982287372</v>
      </c>
      <c r="O11" s="9">
        <v>435.08462397100925</v>
      </c>
      <c r="P11" s="9">
        <v>444.3519264615918</v>
      </c>
      <c r="Q11" s="9">
        <v>453.8093990563549</v>
      </c>
      <c r="R11" s="9">
        <v>459.2648195876289</v>
      </c>
      <c r="S11" s="9">
        <v>463.39820296391747</v>
      </c>
      <c r="T11" s="9">
        <v>467.5687867905927</v>
      </c>
      <c r="U11" s="9">
        <v>471.776905871708</v>
      </c>
      <c r="V11" s="9">
        <v>476.0228980245533</v>
      </c>
    </row>
    <row r="12" spans="1:22" ht="11.25">
      <c r="A12" s="12" t="s">
        <v>242</v>
      </c>
      <c r="B12" s="8"/>
      <c r="C12" s="4"/>
      <c r="D12" s="4"/>
      <c r="E12" s="4"/>
      <c r="F12" s="9">
        <v>300</v>
      </c>
      <c r="G12" s="9">
        <f>F12*(1+$B$10)</f>
        <v>309</v>
      </c>
      <c r="H12" s="9">
        <f aca="true" t="shared" si="1" ref="H12:V12">G12*(1+$B$10)</f>
        <v>318.27</v>
      </c>
      <c r="I12" s="9">
        <f t="shared" si="1"/>
        <v>327.8181</v>
      </c>
      <c r="J12" s="9">
        <f t="shared" si="1"/>
        <v>337.652643</v>
      </c>
      <c r="K12" s="9">
        <f t="shared" si="1"/>
        <v>347.78222229</v>
      </c>
      <c r="L12" s="9">
        <f t="shared" si="1"/>
        <v>358.2156889587</v>
      </c>
      <c r="M12" s="9">
        <f t="shared" si="1"/>
        <v>368.962159627461</v>
      </c>
      <c r="N12" s="9">
        <f t="shared" si="1"/>
        <v>380.0310244162848</v>
      </c>
      <c r="O12" s="9">
        <f t="shared" si="1"/>
        <v>391.4319551487734</v>
      </c>
      <c r="P12" s="9">
        <f t="shared" si="1"/>
        <v>403.1749138032366</v>
      </c>
      <c r="Q12" s="9">
        <f t="shared" si="1"/>
        <v>415.27016121733374</v>
      </c>
      <c r="R12" s="9">
        <f t="shared" si="1"/>
        <v>427.72826605385376</v>
      </c>
      <c r="S12" s="9">
        <f t="shared" si="1"/>
        <v>440.5601140354694</v>
      </c>
      <c r="T12" s="9">
        <f t="shared" si="1"/>
        <v>453.77691745653345</v>
      </c>
      <c r="U12" s="9">
        <f t="shared" si="1"/>
        <v>467.39022498022945</v>
      </c>
      <c r="V12" s="9">
        <f t="shared" si="1"/>
        <v>481.41193172963636</v>
      </c>
    </row>
    <row r="13" spans="1:22" ht="12">
      <c r="A13" s="12" t="s">
        <v>241</v>
      </c>
      <c r="B13" s="8"/>
      <c r="C13" s="4"/>
      <c r="D13" s="4"/>
      <c r="E13" s="4"/>
      <c r="F13" s="9">
        <v>261</v>
      </c>
      <c r="G13" s="9">
        <f>F13*(1+$B$10)</f>
        <v>268.83</v>
      </c>
      <c r="H13" s="9">
        <f aca="true" t="shared" si="2" ref="H13:V13">G13*(1+$B$10)</f>
        <v>276.8949</v>
      </c>
      <c r="I13" s="9">
        <f t="shared" si="2"/>
        <v>285.201747</v>
      </c>
      <c r="J13" s="9">
        <f t="shared" si="2"/>
        <v>293.75779941</v>
      </c>
      <c r="K13" s="9">
        <f t="shared" si="2"/>
        <v>302.57053339230004</v>
      </c>
      <c r="L13" s="9">
        <f t="shared" si="2"/>
        <v>311.64764939406905</v>
      </c>
      <c r="M13" s="9">
        <f t="shared" si="2"/>
        <v>320.99707887589113</v>
      </c>
      <c r="N13" s="9">
        <f t="shared" si="2"/>
        <v>330.6269912421679</v>
      </c>
      <c r="O13" s="9">
        <f t="shared" si="2"/>
        <v>340.54580097943295</v>
      </c>
      <c r="P13" s="9">
        <f t="shared" si="2"/>
        <v>350.762175008816</v>
      </c>
      <c r="Q13" s="9">
        <f t="shared" si="2"/>
        <v>361.28504025908046</v>
      </c>
      <c r="R13" s="9">
        <f t="shared" si="2"/>
        <v>372.1235914668529</v>
      </c>
      <c r="S13" s="9">
        <f t="shared" si="2"/>
        <v>383.28729921085846</v>
      </c>
      <c r="T13" s="9">
        <f t="shared" si="2"/>
        <v>394.7859181871842</v>
      </c>
      <c r="U13" s="9">
        <f t="shared" si="2"/>
        <v>406.62949573279974</v>
      </c>
      <c r="V13" s="9">
        <f t="shared" si="2"/>
        <v>418.8283806047837</v>
      </c>
    </row>
    <row r="14" spans="1:5" ht="12">
      <c r="A14" s="12" t="s">
        <v>243</v>
      </c>
      <c r="B14" s="9">
        <v>1</v>
      </c>
      <c r="C14" s="4"/>
      <c r="D14" s="4"/>
      <c r="E14" s="4"/>
    </row>
    <row r="15" spans="1:7" ht="12">
      <c r="A15" s="34" t="s">
        <v>21</v>
      </c>
      <c r="B15" s="8"/>
      <c r="C15" s="4">
        <f>C16*(1+$B$19)</f>
        <v>1548.3</v>
      </c>
      <c r="D15" s="4">
        <f>D16*(1+$B$19)</f>
        <v>14041.6</v>
      </c>
      <c r="E15" s="4">
        <f>E16*(1+$B$19)</f>
        <v>38585</v>
      </c>
      <c r="F15" s="4">
        <f>F16*(1+$B$19)</f>
        <v>10376</v>
      </c>
      <c r="G15" s="4">
        <f>G16*(1+$B$19)</f>
        <v>1585</v>
      </c>
    </row>
    <row r="16" spans="1:22" ht="11.25">
      <c r="A16" s="12" t="s">
        <v>91</v>
      </c>
      <c r="B16" s="70"/>
      <c r="C16" s="4">
        <v>1548.3</v>
      </c>
      <c r="D16" s="4">
        <v>14041.6</v>
      </c>
      <c r="E16" s="4">
        <v>38585</v>
      </c>
      <c r="F16" s="4">
        <v>10376</v>
      </c>
      <c r="G16" s="4">
        <v>1585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11.25">
      <c r="A17" s="12" t="s">
        <v>92</v>
      </c>
      <c r="B17" s="68">
        <v>0.05</v>
      </c>
      <c r="C17" s="4"/>
      <c r="D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11.25">
      <c r="A18" s="12" t="s">
        <v>204</v>
      </c>
      <c r="B18" s="68"/>
      <c r="C18" s="4">
        <v>37.15</v>
      </c>
      <c r="D18" s="4">
        <v>1594.5</v>
      </c>
      <c r="E18" s="4">
        <v>3291.05</v>
      </c>
      <c r="F18" s="4">
        <v>2117</v>
      </c>
      <c r="G18" s="4">
        <v>178</v>
      </c>
      <c r="H18" s="4">
        <v>0</v>
      </c>
      <c r="I18" s="4">
        <v>0</v>
      </c>
      <c r="J18" s="4">
        <v>90.22125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11.25">
      <c r="A19" s="12" t="s">
        <v>254</v>
      </c>
      <c r="B19" s="68">
        <v>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12">
      <c r="A20" s="1" t="s">
        <v>222</v>
      </c>
      <c r="B20" s="68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11.25">
      <c r="A21" s="12" t="s">
        <v>97</v>
      </c>
      <c r="B21" s="4">
        <v>20000</v>
      </c>
      <c r="C21" s="4"/>
      <c r="D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11.25">
      <c r="A22" s="67" t="s">
        <v>95</v>
      </c>
      <c r="B22" s="8">
        <v>0.0325</v>
      </c>
      <c r="C22" s="4"/>
      <c r="D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11.25">
      <c r="A23" s="67" t="s">
        <v>103</v>
      </c>
      <c r="B23" s="4">
        <v>9</v>
      </c>
      <c r="C23" s="4"/>
      <c r="D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11.25">
      <c r="A24" s="12" t="s">
        <v>98</v>
      </c>
      <c r="B24" s="4">
        <v>25000</v>
      </c>
      <c r="C24" s="4"/>
      <c r="D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11.25">
      <c r="A25" s="67" t="s">
        <v>95</v>
      </c>
      <c r="B25" s="69">
        <v>0.02875</v>
      </c>
      <c r="C25" s="4"/>
      <c r="D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1.25">
      <c r="A26" s="67" t="s">
        <v>103</v>
      </c>
      <c r="B26" s="4">
        <v>11</v>
      </c>
      <c r="C26" s="4"/>
      <c r="D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1.25">
      <c r="A27" s="12" t="s">
        <v>99</v>
      </c>
      <c r="B27" s="4">
        <v>20000</v>
      </c>
      <c r="C27" s="4"/>
      <c r="D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1.25">
      <c r="A28" s="67" t="s">
        <v>95</v>
      </c>
      <c r="B28" s="8">
        <v>0.0325</v>
      </c>
      <c r="C28" s="4"/>
      <c r="D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1.25">
      <c r="A29" s="67" t="s">
        <v>103</v>
      </c>
      <c r="B29" s="4">
        <v>11</v>
      </c>
      <c r="C29" s="4"/>
      <c r="D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1.25">
      <c r="A30" s="7" t="s">
        <v>293</v>
      </c>
      <c r="B30" s="4">
        <v>40000</v>
      </c>
      <c r="C30" s="4"/>
      <c r="D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11.25">
      <c r="A31" s="12" t="s">
        <v>235</v>
      </c>
      <c r="B31" s="68"/>
      <c r="C31" s="4"/>
      <c r="D31" s="4"/>
      <c r="F31" s="4">
        <v>4500</v>
      </c>
      <c r="G31" s="4">
        <v>5600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12">
      <c r="A32" s="34" t="s">
        <v>244</v>
      </c>
      <c r="B32" s="68"/>
      <c r="F32" s="65">
        <f>INDEX($F$33:$V$35,$B$36,F2)</f>
        <v>1.28</v>
      </c>
      <c r="G32" s="65">
        <f aca="true" t="shared" si="3" ref="G32:V32">INDEX($F$33:$V$35,$B$36,G2)</f>
        <v>8</v>
      </c>
      <c r="H32" s="65">
        <f t="shared" si="3"/>
        <v>15</v>
      </c>
      <c r="I32" s="65">
        <f t="shared" si="3"/>
        <v>17</v>
      </c>
      <c r="J32" s="65">
        <f t="shared" si="3"/>
        <v>18</v>
      </c>
      <c r="K32" s="65">
        <f t="shared" si="3"/>
        <v>18</v>
      </c>
      <c r="L32" s="65">
        <f t="shared" si="3"/>
        <v>18</v>
      </c>
      <c r="M32" s="65">
        <f t="shared" si="3"/>
        <v>18</v>
      </c>
      <c r="N32" s="65">
        <f t="shared" si="3"/>
        <v>18</v>
      </c>
      <c r="O32" s="65">
        <f t="shared" si="3"/>
        <v>18</v>
      </c>
      <c r="P32" s="65">
        <f t="shared" si="3"/>
        <v>18</v>
      </c>
      <c r="Q32" s="65">
        <f t="shared" si="3"/>
        <v>18</v>
      </c>
      <c r="R32" s="65">
        <f t="shared" si="3"/>
        <v>18</v>
      </c>
      <c r="S32" s="65">
        <f t="shared" si="3"/>
        <v>18</v>
      </c>
      <c r="T32" s="65">
        <f t="shared" si="3"/>
        <v>18</v>
      </c>
      <c r="U32" s="65">
        <f t="shared" si="3"/>
        <v>18</v>
      </c>
      <c r="V32" s="65">
        <f t="shared" si="3"/>
        <v>18</v>
      </c>
    </row>
    <row r="33" spans="1:22" ht="11.25">
      <c r="A33" s="12" t="s">
        <v>245</v>
      </c>
      <c r="F33" s="65">
        <v>1.28</v>
      </c>
      <c r="G33" s="65">
        <v>8</v>
      </c>
      <c r="H33" s="65">
        <v>15</v>
      </c>
      <c r="I33" s="65">
        <v>17</v>
      </c>
      <c r="J33" s="65">
        <v>18</v>
      </c>
      <c r="K33" s="65">
        <v>18</v>
      </c>
      <c r="L33" s="65">
        <v>18</v>
      </c>
      <c r="M33" s="65">
        <v>18</v>
      </c>
      <c r="N33" s="65">
        <v>18</v>
      </c>
      <c r="O33" s="65">
        <v>18</v>
      </c>
      <c r="P33" s="65">
        <v>18</v>
      </c>
      <c r="Q33" s="65">
        <v>18</v>
      </c>
      <c r="R33" s="65">
        <v>18</v>
      </c>
      <c r="S33" s="65">
        <v>18</v>
      </c>
      <c r="T33" s="65">
        <v>18</v>
      </c>
      <c r="U33" s="65">
        <v>18</v>
      </c>
      <c r="V33" s="65">
        <v>18</v>
      </c>
    </row>
    <row r="34" spans="1:22" ht="11.25">
      <c r="A34" s="12" t="s">
        <v>266</v>
      </c>
      <c r="B34" s="68"/>
      <c r="F34" s="65">
        <v>1.28</v>
      </c>
      <c r="G34" s="65">
        <v>4</v>
      </c>
      <c r="H34" s="65">
        <v>6</v>
      </c>
      <c r="I34" s="65">
        <v>8</v>
      </c>
      <c r="J34" s="65">
        <v>10</v>
      </c>
      <c r="K34" s="65">
        <v>12</v>
      </c>
      <c r="L34" s="65">
        <v>14</v>
      </c>
      <c r="M34" s="65">
        <v>16</v>
      </c>
      <c r="N34" s="65">
        <v>18</v>
      </c>
      <c r="O34" s="65">
        <v>18</v>
      </c>
      <c r="P34" s="65">
        <v>18</v>
      </c>
      <c r="Q34" s="65">
        <v>18</v>
      </c>
      <c r="R34" s="65">
        <v>18</v>
      </c>
      <c r="S34" s="65">
        <v>18</v>
      </c>
      <c r="T34" s="65">
        <v>18</v>
      </c>
      <c r="U34" s="65">
        <v>18</v>
      </c>
      <c r="V34" s="65">
        <v>18</v>
      </c>
    </row>
    <row r="35" spans="1:22" ht="12">
      <c r="A35" s="12" t="s">
        <v>267</v>
      </c>
      <c r="B35" s="68"/>
      <c r="C35" s="4"/>
      <c r="D35" s="4"/>
      <c r="F35" s="65">
        <v>1.28</v>
      </c>
      <c r="G35" s="65">
        <v>4</v>
      </c>
      <c r="H35" s="65">
        <v>6</v>
      </c>
      <c r="I35" s="65">
        <v>9</v>
      </c>
      <c r="J35" s="65">
        <v>9</v>
      </c>
      <c r="K35" s="65">
        <v>9</v>
      </c>
      <c r="L35" s="65">
        <v>9</v>
      </c>
      <c r="M35" s="65">
        <v>9</v>
      </c>
      <c r="N35" s="65">
        <v>9</v>
      </c>
      <c r="O35" s="65">
        <v>9</v>
      </c>
      <c r="P35" s="65">
        <v>9</v>
      </c>
      <c r="Q35" s="65">
        <v>9</v>
      </c>
      <c r="R35" s="65">
        <v>9</v>
      </c>
      <c r="S35" s="65">
        <v>9</v>
      </c>
      <c r="T35" s="65">
        <v>9</v>
      </c>
      <c r="U35" s="65">
        <v>9</v>
      </c>
      <c r="V35" s="65">
        <v>9</v>
      </c>
    </row>
    <row r="36" spans="1:22" ht="12">
      <c r="A36" s="12" t="s">
        <v>246</v>
      </c>
      <c r="B36" s="68">
        <v>1</v>
      </c>
      <c r="C36" s="4"/>
      <c r="D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ht="12">
      <c r="A37" s="34" t="s">
        <v>223</v>
      </c>
      <c r="B37" s="68"/>
      <c r="C37" s="4"/>
      <c r="D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6" ht="11.25">
      <c r="A38" s="12" t="s">
        <v>3</v>
      </c>
      <c r="B38" s="2">
        <v>900</v>
      </c>
      <c r="F38" s="5"/>
    </row>
    <row r="39" spans="1:22" ht="11.25">
      <c r="A39" s="12" t="s">
        <v>226</v>
      </c>
      <c r="B39" s="2">
        <v>50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1.25">
      <c r="A40" s="12" t="s">
        <v>0</v>
      </c>
      <c r="B40" s="6">
        <v>0.103</v>
      </c>
      <c r="C40" s="6"/>
      <c r="D40" s="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1.25">
      <c r="A41" s="12" t="s">
        <v>73</v>
      </c>
      <c r="C41" s="3"/>
      <c r="D41" s="3"/>
      <c r="E41" s="4">
        <v>200000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1.25">
      <c r="A42" s="12" t="s">
        <v>73</v>
      </c>
      <c r="C42" s="3"/>
      <c r="D42" s="3"/>
      <c r="E42" s="4"/>
      <c r="F42" s="4">
        <f>INDEX($F$43:$V$45,$B$46,F2)</f>
        <v>194174.7572815534</v>
      </c>
      <c r="G42" s="4">
        <f aca="true" t="shared" si="4" ref="G42:V42">INDEX($F$43:$V$45,$B$46,G2)</f>
        <v>188519.18182675086</v>
      </c>
      <c r="H42" s="4">
        <f t="shared" si="4"/>
        <v>183028.33187063196</v>
      </c>
      <c r="I42" s="4">
        <f t="shared" si="4"/>
        <v>177697.40958313775</v>
      </c>
      <c r="J42" s="4">
        <f t="shared" si="4"/>
        <v>172521.75687683278</v>
      </c>
      <c r="K42" s="4">
        <f t="shared" si="4"/>
        <v>172521.75687683278</v>
      </c>
      <c r="L42" s="4">
        <f t="shared" si="4"/>
        <v>172521.75687683275</v>
      </c>
      <c r="M42" s="4">
        <f t="shared" si="4"/>
        <v>172521.75687683275</v>
      </c>
      <c r="N42" s="4">
        <f t="shared" si="4"/>
        <v>172521.75687683275</v>
      </c>
      <c r="O42" s="4">
        <f t="shared" si="4"/>
        <v>172521.75687683278</v>
      </c>
      <c r="P42" s="4">
        <f t="shared" si="4"/>
        <v>172521.75687683275</v>
      </c>
      <c r="Q42" s="4">
        <f t="shared" si="4"/>
        <v>172521.75687683275</v>
      </c>
      <c r="R42" s="4">
        <f t="shared" si="4"/>
        <v>172521.75687683272</v>
      </c>
      <c r="S42" s="4">
        <f t="shared" si="4"/>
        <v>172521.75687683278</v>
      </c>
      <c r="T42" s="4">
        <f t="shared" si="4"/>
        <v>172521.75687683275</v>
      </c>
      <c r="U42" s="4">
        <f t="shared" si="4"/>
        <v>172521.75687683272</v>
      </c>
      <c r="V42" s="4">
        <f t="shared" si="4"/>
        <v>172521.7568768327</v>
      </c>
    </row>
    <row r="43" spans="1:22" ht="11.25">
      <c r="A43" s="67" t="s">
        <v>271</v>
      </c>
      <c r="C43" s="3"/>
      <c r="D43" s="3"/>
      <c r="E43" s="4"/>
      <c r="F43" s="4">
        <f>$E$41</f>
        <v>200000</v>
      </c>
      <c r="G43" s="4">
        <f aca="true" t="shared" si="5" ref="G43:V43">$E$41</f>
        <v>200000</v>
      </c>
      <c r="H43" s="4">
        <f t="shared" si="5"/>
        <v>200000</v>
      </c>
      <c r="I43" s="4">
        <f t="shared" si="5"/>
        <v>200000</v>
      </c>
      <c r="J43" s="4">
        <f t="shared" si="5"/>
        <v>200000</v>
      </c>
      <c r="K43" s="4">
        <f t="shared" si="5"/>
        <v>200000</v>
      </c>
      <c r="L43" s="4">
        <f t="shared" si="5"/>
        <v>200000</v>
      </c>
      <c r="M43" s="4">
        <f t="shared" si="5"/>
        <v>200000</v>
      </c>
      <c r="N43" s="4">
        <f t="shared" si="5"/>
        <v>200000</v>
      </c>
      <c r="O43" s="4">
        <f t="shared" si="5"/>
        <v>200000</v>
      </c>
      <c r="P43" s="4">
        <f t="shared" si="5"/>
        <v>200000</v>
      </c>
      <c r="Q43" s="4">
        <f t="shared" si="5"/>
        <v>200000</v>
      </c>
      <c r="R43" s="4">
        <f t="shared" si="5"/>
        <v>200000</v>
      </c>
      <c r="S43" s="4">
        <f t="shared" si="5"/>
        <v>200000</v>
      </c>
      <c r="T43" s="4">
        <f t="shared" si="5"/>
        <v>200000</v>
      </c>
      <c r="U43" s="4">
        <f t="shared" si="5"/>
        <v>200000</v>
      </c>
      <c r="V43" s="4">
        <f t="shared" si="5"/>
        <v>200000</v>
      </c>
    </row>
    <row r="44" spans="1:22" ht="11.25">
      <c r="A44" s="67" t="s">
        <v>269</v>
      </c>
      <c r="C44" s="3"/>
      <c r="D44" s="3"/>
      <c r="E44" s="4"/>
      <c r="F44" s="4">
        <v>194174.7572815534</v>
      </c>
      <c r="G44" s="4">
        <v>188519.18182675086</v>
      </c>
      <c r="H44" s="4">
        <v>183028.33187063196</v>
      </c>
      <c r="I44" s="4">
        <v>177697.40958313775</v>
      </c>
      <c r="J44" s="4">
        <v>172521.75687683278</v>
      </c>
      <c r="K44" s="4">
        <v>172521.75687683278</v>
      </c>
      <c r="L44" s="4">
        <v>172521.75687683275</v>
      </c>
      <c r="M44" s="4">
        <v>172521.75687683275</v>
      </c>
      <c r="N44" s="4">
        <v>172521.75687683275</v>
      </c>
      <c r="O44" s="4">
        <v>172521.75687683278</v>
      </c>
      <c r="P44" s="4">
        <v>172521.75687683275</v>
      </c>
      <c r="Q44" s="4">
        <v>172521.75687683275</v>
      </c>
      <c r="R44" s="4">
        <v>172521.75687683272</v>
      </c>
      <c r="S44" s="4">
        <v>172521.75687683278</v>
      </c>
      <c r="T44" s="4">
        <v>172521.75687683275</v>
      </c>
      <c r="U44" s="4">
        <v>172521.75687683272</v>
      </c>
      <c r="V44" s="4">
        <v>172521.7568768327</v>
      </c>
    </row>
    <row r="45" spans="1:22" ht="12">
      <c r="A45" s="67" t="s">
        <v>270</v>
      </c>
      <c r="C45" s="3"/>
      <c r="D45" s="3"/>
      <c r="E45" s="4"/>
      <c r="F45" s="4">
        <v>194174.7572815534</v>
      </c>
      <c r="G45" s="4">
        <v>188519.18182675086</v>
      </c>
      <c r="H45" s="4">
        <v>183028.33187063196</v>
      </c>
      <c r="I45" s="4">
        <v>177697.40958313775</v>
      </c>
      <c r="J45" s="4">
        <v>172521.75687683278</v>
      </c>
      <c r="K45" s="4">
        <v>167496.85133673085</v>
      </c>
      <c r="L45" s="4">
        <v>162618.3022686707</v>
      </c>
      <c r="M45" s="4">
        <v>157881.8468627871</v>
      </c>
      <c r="N45" s="4">
        <v>153283.34646872533</v>
      </c>
      <c r="O45" s="4">
        <v>148818.782979345</v>
      </c>
      <c r="P45" s="4">
        <v>144484.25531975244</v>
      </c>
      <c r="Q45" s="4">
        <v>140275.97603859458</v>
      </c>
      <c r="R45" s="4">
        <v>136190.2679986355</v>
      </c>
      <c r="S45" s="4">
        <v>132223.5611637238</v>
      </c>
      <c r="T45" s="4">
        <v>128372.38947934346</v>
      </c>
      <c r="U45" s="4">
        <v>124633.38784402277</v>
      </c>
      <c r="V45" s="4">
        <v>121003.28916895416</v>
      </c>
    </row>
    <row r="46" spans="1:22" ht="12">
      <c r="A46" s="67" t="s">
        <v>268</v>
      </c>
      <c r="B46" s="2">
        <v>2</v>
      </c>
      <c r="C46" s="3"/>
      <c r="D46" s="3"/>
      <c r="E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">
      <c r="A47" s="12" t="s">
        <v>74</v>
      </c>
      <c r="B47" s="3">
        <v>0.9</v>
      </c>
      <c r="C47" s="3"/>
      <c r="D47" s="3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1.25">
      <c r="A48" s="12" t="s">
        <v>78</v>
      </c>
      <c r="F48" s="4">
        <v>503</v>
      </c>
      <c r="G48" s="4">
        <v>489</v>
      </c>
      <c r="H48" s="4">
        <v>475</v>
      </c>
      <c r="I48" s="4">
        <v>545</v>
      </c>
      <c r="J48" s="4">
        <v>580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1.25">
      <c r="A49" s="12" t="s">
        <v>79</v>
      </c>
      <c r="F49" s="4">
        <v>463.9</v>
      </c>
      <c r="G49" s="4">
        <v>450</v>
      </c>
      <c r="H49" s="4">
        <v>436.1</v>
      </c>
      <c r="I49" s="4">
        <v>400</v>
      </c>
      <c r="J49" s="4">
        <v>350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1.25">
      <c r="A50" s="12" t="s">
        <v>84</v>
      </c>
      <c r="B50" s="20">
        <v>0.002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11.25">
      <c r="A51" s="12" t="s">
        <v>259</v>
      </c>
      <c r="F51" s="4">
        <v>466</v>
      </c>
      <c r="G51" s="4">
        <v>565</v>
      </c>
      <c r="H51" s="4">
        <v>680</v>
      </c>
      <c r="I51" s="4">
        <v>785</v>
      </c>
      <c r="J51" s="4">
        <v>890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11.25">
      <c r="A52" s="12" t="s">
        <v>260</v>
      </c>
      <c r="F52" s="4">
        <v>586</v>
      </c>
      <c r="G52" s="4">
        <v>600</v>
      </c>
      <c r="H52" s="4">
        <v>450</v>
      </c>
      <c r="I52" s="4">
        <v>400</v>
      </c>
      <c r="J52" s="4">
        <v>350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11.25">
      <c r="A53" s="12" t="s">
        <v>261</v>
      </c>
      <c r="F53" s="4">
        <v>16.6</v>
      </c>
      <c r="G53" s="4">
        <v>44</v>
      </c>
      <c r="H53" s="4">
        <v>57</v>
      </c>
      <c r="I53" s="4">
        <v>58.71</v>
      </c>
      <c r="J53" s="4">
        <v>60.4713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1.25">
      <c r="A54" s="12" t="s">
        <v>262</v>
      </c>
      <c r="F54" s="4">
        <v>4643</v>
      </c>
      <c r="G54" s="4">
        <v>1900</v>
      </c>
      <c r="H54" s="4">
        <v>1400</v>
      </c>
      <c r="I54" s="4">
        <v>2000</v>
      </c>
      <c r="J54" s="4">
        <v>2200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11.25">
      <c r="A55" s="12" t="s">
        <v>115</v>
      </c>
      <c r="B55" s="2">
        <v>20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11.25">
      <c r="A56" s="12" t="s">
        <v>263</v>
      </c>
      <c r="C56" s="2">
        <v>150</v>
      </c>
      <c r="D56" s="2">
        <v>710</v>
      </c>
      <c r="E56" s="2">
        <v>1340</v>
      </c>
      <c r="F56" s="4">
        <v>1650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11.25">
      <c r="A57" s="12" t="s">
        <v>119</v>
      </c>
      <c r="B57" s="3">
        <v>0.1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12">
      <c r="A58" s="34" t="s">
        <v>1</v>
      </c>
      <c r="B58" s="3"/>
      <c r="F58" s="19">
        <f>INDEX($F$60:$V$63,$B$64,F2)</f>
        <v>0.3</v>
      </c>
      <c r="G58" s="19">
        <f aca="true" t="shared" si="6" ref="G58:V58">INDEX($F$60:$V$63,$B$64,G2)</f>
        <v>0.3</v>
      </c>
      <c r="H58" s="19">
        <f t="shared" si="6"/>
        <v>0.3</v>
      </c>
      <c r="I58" s="19">
        <f t="shared" si="6"/>
        <v>0.3</v>
      </c>
      <c r="J58" s="19">
        <f t="shared" si="6"/>
        <v>0.3</v>
      </c>
      <c r="K58" s="19">
        <f t="shared" si="6"/>
        <v>0.3</v>
      </c>
      <c r="L58" s="19">
        <f t="shared" si="6"/>
        <v>0.3</v>
      </c>
      <c r="M58" s="19">
        <f t="shared" si="6"/>
        <v>0.3</v>
      </c>
      <c r="N58" s="19">
        <f t="shared" si="6"/>
        <v>0.3</v>
      </c>
      <c r="O58" s="19">
        <f t="shared" si="6"/>
        <v>0.3</v>
      </c>
      <c r="P58" s="19">
        <f t="shared" si="6"/>
        <v>0.3</v>
      </c>
      <c r="Q58" s="19">
        <f t="shared" si="6"/>
        <v>0.3</v>
      </c>
      <c r="R58" s="19">
        <f t="shared" si="6"/>
        <v>0.3</v>
      </c>
      <c r="S58" s="19">
        <f t="shared" si="6"/>
        <v>0.3</v>
      </c>
      <c r="T58" s="19">
        <f t="shared" si="6"/>
        <v>0.3</v>
      </c>
      <c r="U58" s="19">
        <f t="shared" si="6"/>
        <v>0.3</v>
      </c>
      <c r="V58" s="19">
        <f t="shared" si="6"/>
        <v>0.3</v>
      </c>
    </row>
    <row r="59" spans="1:22" ht="11.25">
      <c r="A59" s="12" t="s">
        <v>247</v>
      </c>
      <c r="B59" s="3">
        <v>0.3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1.25">
      <c r="A60" s="12" t="s">
        <v>250</v>
      </c>
      <c r="F60" s="19">
        <f>$B$59</f>
        <v>0.3</v>
      </c>
      <c r="G60" s="19">
        <f aca="true" t="shared" si="7" ref="G60:V61">$B$59</f>
        <v>0.3</v>
      </c>
      <c r="H60" s="19">
        <f t="shared" si="7"/>
        <v>0.3</v>
      </c>
      <c r="I60" s="19">
        <f t="shared" si="7"/>
        <v>0.3</v>
      </c>
      <c r="J60" s="19">
        <f t="shared" si="7"/>
        <v>0.3</v>
      </c>
      <c r="K60" s="19">
        <f t="shared" si="7"/>
        <v>0.3</v>
      </c>
      <c r="L60" s="19">
        <f t="shared" si="7"/>
        <v>0.3</v>
      </c>
      <c r="M60" s="19">
        <f t="shared" si="7"/>
        <v>0.3</v>
      </c>
      <c r="N60" s="19">
        <f t="shared" si="7"/>
        <v>0.3</v>
      </c>
      <c r="O60" s="19">
        <f t="shared" si="7"/>
        <v>0.3</v>
      </c>
      <c r="P60" s="19">
        <f t="shared" si="7"/>
        <v>0.3</v>
      </c>
      <c r="Q60" s="19">
        <f t="shared" si="7"/>
        <v>0.3</v>
      </c>
      <c r="R60" s="19">
        <f t="shared" si="7"/>
        <v>0.3</v>
      </c>
      <c r="S60" s="19">
        <f t="shared" si="7"/>
        <v>0.3</v>
      </c>
      <c r="T60" s="19">
        <f t="shared" si="7"/>
        <v>0.3</v>
      </c>
      <c r="U60" s="19">
        <f t="shared" si="7"/>
        <v>0.3</v>
      </c>
      <c r="V60" s="19">
        <f t="shared" si="7"/>
        <v>0.3</v>
      </c>
    </row>
    <row r="61" spans="1:22" ht="11.25">
      <c r="A61" s="12" t="s">
        <v>253</v>
      </c>
      <c r="F61" s="19">
        <f>$B$59</f>
        <v>0.3</v>
      </c>
      <c r="G61" s="19">
        <f t="shared" si="7"/>
        <v>0.3</v>
      </c>
      <c r="H61" s="19">
        <f t="shared" si="7"/>
        <v>0.3</v>
      </c>
      <c r="I61" s="19">
        <f t="shared" si="7"/>
        <v>0.3</v>
      </c>
      <c r="J61" s="19">
        <f t="shared" si="7"/>
        <v>0.3</v>
      </c>
      <c r="K61" s="19">
        <f t="shared" si="7"/>
        <v>0.3</v>
      </c>
      <c r="L61" s="19">
        <f t="shared" si="7"/>
        <v>0.3</v>
      </c>
      <c r="M61" s="19">
        <f t="shared" si="7"/>
        <v>0.3</v>
      </c>
      <c r="N61" s="19">
        <f t="shared" si="7"/>
        <v>0.3</v>
      </c>
      <c r="O61" s="19">
        <f t="shared" si="7"/>
        <v>0.3</v>
      </c>
      <c r="P61" s="19">
        <f t="shared" si="7"/>
        <v>0.3</v>
      </c>
      <c r="Q61" s="19">
        <v>0.25</v>
      </c>
      <c r="R61" s="19">
        <v>0.15</v>
      </c>
      <c r="S61" s="19">
        <v>0.15</v>
      </c>
      <c r="T61" s="19">
        <v>0.15</v>
      </c>
      <c r="U61" s="19">
        <v>0.15</v>
      </c>
      <c r="V61" s="19">
        <v>0.15</v>
      </c>
    </row>
    <row r="62" spans="1:22" ht="11.25">
      <c r="A62" s="12" t="s">
        <v>251</v>
      </c>
      <c r="F62" s="19">
        <f>$B$59</f>
        <v>0.3</v>
      </c>
      <c r="G62" s="19">
        <f aca="true" t="shared" si="8" ref="G62:N62">$B$59</f>
        <v>0.3</v>
      </c>
      <c r="H62" s="19">
        <f t="shared" si="8"/>
        <v>0.3</v>
      </c>
      <c r="I62" s="19">
        <f t="shared" si="8"/>
        <v>0.3</v>
      </c>
      <c r="J62" s="19">
        <f t="shared" si="8"/>
        <v>0.3</v>
      </c>
      <c r="K62" s="19">
        <f t="shared" si="8"/>
        <v>0.3</v>
      </c>
      <c r="L62" s="19">
        <f t="shared" si="8"/>
        <v>0.3</v>
      </c>
      <c r="M62" s="19">
        <f t="shared" si="8"/>
        <v>0.3</v>
      </c>
      <c r="N62" s="19">
        <f t="shared" si="8"/>
        <v>0.3</v>
      </c>
      <c r="O62" s="19">
        <v>0.2</v>
      </c>
      <c r="P62" s="19">
        <v>0.1</v>
      </c>
      <c r="Q62" s="19">
        <v>0.05</v>
      </c>
      <c r="R62" s="19">
        <v>0.05</v>
      </c>
      <c r="S62" s="19">
        <v>0.05</v>
      </c>
      <c r="T62" s="19">
        <v>0.05</v>
      </c>
      <c r="U62" s="19">
        <v>0.05</v>
      </c>
      <c r="V62" s="19">
        <v>0.05</v>
      </c>
    </row>
    <row r="63" spans="1:22" ht="12">
      <c r="A63" s="12" t="s">
        <v>255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</row>
    <row r="64" spans="1:22" ht="12">
      <c r="A64" s="12" t="s">
        <v>252</v>
      </c>
      <c r="B64" s="2">
        <v>1</v>
      </c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</row>
    <row r="65" spans="1:22" ht="12">
      <c r="A65" s="34" t="s">
        <v>248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11.25">
      <c r="A66" s="12" t="s">
        <v>112</v>
      </c>
      <c r="B66" s="3">
        <v>0.1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11.25">
      <c r="A67" s="12" t="s">
        <v>113</v>
      </c>
      <c r="B67" s="3">
        <v>0.1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12">
      <c r="A68" s="12" t="s">
        <v>264</v>
      </c>
      <c r="B68" s="3" t="b">
        <v>0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12">
      <c r="A69" s="12" t="s">
        <v>272</v>
      </c>
      <c r="B69" s="134">
        <v>2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12">
      <c r="A70" s="67" t="s">
        <v>273</v>
      </c>
      <c r="B70" s="3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11.25">
      <c r="A71" s="67" t="s">
        <v>274</v>
      </c>
      <c r="B71" s="3"/>
      <c r="F71" s="19">
        <v>0.05</v>
      </c>
      <c r="G71" s="19">
        <f>$F$71</f>
        <v>0.05</v>
      </c>
      <c r="H71" s="19">
        <v>0.02</v>
      </c>
      <c r="I71" s="19">
        <f>$H$71</f>
        <v>0.02</v>
      </c>
      <c r="J71" s="19">
        <f aca="true" t="shared" si="9" ref="J71:V71">$H$71</f>
        <v>0.02</v>
      </c>
      <c r="K71" s="19">
        <f t="shared" si="9"/>
        <v>0.02</v>
      </c>
      <c r="L71" s="19">
        <f t="shared" si="9"/>
        <v>0.02</v>
      </c>
      <c r="M71" s="19">
        <f t="shared" si="9"/>
        <v>0.02</v>
      </c>
      <c r="N71" s="19">
        <f t="shared" si="9"/>
        <v>0.02</v>
      </c>
      <c r="O71" s="19">
        <f t="shared" si="9"/>
        <v>0.02</v>
      </c>
      <c r="P71" s="19">
        <f t="shared" si="9"/>
        <v>0.02</v>
      </c>
      <c r="Q71" s="19">
        <f t="shared" si="9"/>
        <v>0.02</v>
      </c>
      <c r="R71" s="19">
        <f t="shared" si="9"/>
        <v>0.02</v>
      </c>
      <c r="S71" s="19">
        <f t="shared" si="9"/>
        <v>0.02</v>
      </c>
      <c r="T71" s="19">
        <f t="shared" si="9"/>
        <v>0.02</v>
      </c>
      <c r="U71" s="19">
        <f t="shared" si="9"/>
        <v>0.02</v>
      </c>
      <c r="V71" s="19">
        <f t="shared" si="9"/>
        <v>0.02</v>
      </c>
    </row>
    <row r="72" spans="1:22" ht="11.25">
      <c r="A72" s="12" t="s">
        <v>249</v>
      </c>
      <c r="B72" s="3">
        <v>0.25</v>
      </c>
      <c r="C72" s="3"/>
      <c r="D72" s="3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</row>
    <row r="73" spans="1:22" ht="11.25">
      <c r="A73" s="12" t="s">
        <v>25</v>
      </c>
      <c r="B73" s="2">
        <v>5</v>
      </c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</row>
    <row r="74" spans="1:22" ht="12">
      <c r="A74" s="1" t="s">
        <v>224</v>
      </c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</row>
    <row r="75" spans="1:4" ht="11.25">
      <c r="A75" s="12" t="s">
        <v>290</v>
      </c>
      <c r="B75" s="6">
        <v>0.1</v>
      </c>
      <c r="C75" s="3"/>
      <c r="D75" s="3"/>
    </row>
    <row r="76" spans="1:4" ht="11.25">
      <c r="A76" s="12" t="s">
        <v>291</v>
      </c>
      <c r="B76" s="11">
        <f>(1+B75)*(1+B6)-1</f>
        <v>0.13300000000000023</v>
      </c>
      <c r="C76" s="11"/>
      <c r="D76" s="11"/>
    </row>
    <row r="77" spans="1:4" ht="11.25">
      <c r="A77" s="12"/>
      <c r="B77" s="11"/>
      <c r="C77" s="11"/>
      <c r="D77" s="11"/>
    </row>
    <row r="78" spans="1:22" ht="12">
      <c r="A78" s="139" t="s">
        <v>225</v>
      </c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</row>
    <row r="79" ht="12">
      <c r="A79" s="1"/>
    </row>
    <row r="80" ht="12">
      <c r="A80" s="1" t="s">
        <v>4</v>
      </c>
    </row>
    <row r="81" spans="1:22" ht="11.25">
      <c r="A81" s="2" t="s">
        <v>6</v>
      </c>
      <c r="C81" s="10">
        <f>D81/(1+$B5)</f>
        <v>0.9070294784580498</v>
      </c>
      <c r="D81" s="10">
        <f>E81/(1+$B5)</f>
        <v>0.9523809523809523</v>
      </c>
      <c r="E81" s="2">
        <v>1</v>
      </c>
      <c r="F81" s="2">
        <f aca="true" t="shared" si="10" ref="F81:V81">E81*(1+$B$5)</f>
        <v>1.05</v>
      </c>
      <c r="G81" s="10">
        <f t="shared" si="10"/>
        <v>1.1025</v>
      </c>
      <c r="H81" s="10">
        <f t="shared" si="10"/>
        <v>1.1576250000000001</v>
      </c>
      <c r="I81" s="10">
        <f t="shared" si="10"/>
        <v>1.2155062500000002</v>
      </c>
      <c r="J81" s="10">
        <f t="shared" si="10"/>
        <v>1.2762815625000004</v>
      </c>
      <c r="K81" s="10">
        <f t="shared" si="10"/>
        <v>1.3400956406250004</v>
      </c>
      <c r="L81" s="10">
        <f t="shared" si="10"/>
        <v>1.4071004226562505</v>
      </c>
      <c r="M81" s="10">
        <f t="shared" si="10"/>
        <v>1.477455443789063</v>
      </c>
      <c r="N81" s="10">
        <f t="shared" si="10"/>
        <v>1.5513282159785162</v>
      </c>
      <c r="O81" s="10">
        <f t="shared" si="10"/>
        <v>1.628894626777442</v>
      </c>
      <c r="P81" s="10">
        <f t="shared" si="10"/>
        <v>1.7103393581163142</v>
      </c>
      <c r="Q81" s="10">
        <f t="shared" si="10"/>
        <v>1.79585632602213</v>
      </c>
      <c r="R81" s="10">
        <f t="shared" si="10"/>
        <v>1.8856491423232367</v>
      </c>
      <c r="S81" s="10">
        <f t="shared" si="10"/>
        <v>1.9799315994393987</v>
      </c>
      <c r="T81" s="10">
        <f t="shared" si="10"/>
        <v>2.0789281794113688</v>
      </c>
      <c r="U81" s="10">
        <f t="shared" si="10"/>
        <v>2.1828745883819374</v>
      </c>
      <c r="V81" s="10">
        <f t="shared" si="10"/>
        <v>2.2920183178010345</v>
      </c>
    </row>
    <row r="82" spans="1:22" ht="11.25">
      <c r="A82" s="2" t="s">
        <v>5</v>
      </c>
      <c r="C82" s="10">
        <f>D82/(1+$B6)</f>
        <v>0.9425959091337544</v>
      </c>
      <c r="D82" s="10">
        <f>E82/(1+$B6)</f>
        <v>0.970873786407767</v>
      </c>
      <c r="E82" s="2">
        <v>1</v>
      </c>
      <c r="F82" s="2">
        <f aca="true" t="shared" si="11" ref="F82:V82">E82*(1+$B$6)</f>
        <v>1.03</v>
      </c>
      <c r="G82" s="10">
        <f t="shared" si="11"/>
        <v>1.0609</v>
      </c>
      <c r="H82" s="10">
        <f t="shared" si="11"/>
        <v>1.092727</v>
      </c>
      <c r="I82" s="10">
        <f t="shared" si="11"/>
        <v>1.1255088100000001</v>
      </c>
      <c r="J82" s="10">
        <f t="shared" si="11"/>
        <v>1.1592740743</v>
      </c>
      <c r="K82" s="10">
        <f t="shared" si="11"/>
        <v>1.1940522965290001</v>
      </c>
      <c r="L82" s="10">
        <f t="shared" si="11"/>
        <v>1.2298738654248702</v>
      </c>
      <c r="M82" s="10">
        <f t="shared" si="11"/>
        <v>1.2667700813876164</v>
      </c>
      <c r="N82" s="10">
        <f t="shared" si="11"/>
        <v>1.304773183829245</v>
      </c>
      <c r="O82" s="10">
        <f t="shared" si="11"/>
        <v>1.3439163793441222</v>
      </c>
      <c r="P82" s="10">
        <f t="shared" si="11"/>
        <v>1.384233870724446</v>
      </c>
      <c r="Q82" s="10">
        <f t="shared" si="11"/>
        <v>1.4257608868461793</v>
      </c>
      <c r="R82" s="10">
        <f t="shared" si="11"/>
        <v>1.4685337134515648</v>
      </c>
      <c r="S82" s="10">
        <f t="shared" si="11"/>
        <v>1.512589724855112</v>
      </c>
      <c r="T82" s="10">
        <f t="shared" si="11"/>
        <v>1.5579674166007653</v>
      </c>
      <c r="U82" s="10">
        <f t="shared" si="11"/>
        <v>1.6047064390987884</v>
      </c>
      <c r="V82" s="10">
        <f t="shared" si="11"/>
        <v>1.652847632271752</v>
      </c>
    </row>
    <row r="83" spans="1:22" ht="11.25">
      <c r="A83" s="2" t="s">
        <v>7</v>
      </c>
      <c r="C83" s="4"/>
      <c r="D83" s="4"/>
      <c r="E83" s="4">
        <f>E7</f>
        <v>15000</v>
      </c>
      <c r="F83" s="4">
        <f aca="true" t="shared" si="12" ref="F83:V83">$E$83*F81/F82</f>
        <v>15291.26213592233</v>
      </c>
      <c r="G83" s="4">
        <f t="shared" si="12"/>
        <v>15588.179847299463</v>
      </c>
      <c r="H83" s="4">
        <f t="shared" si="12"/>
        <v>15890.862951130524</v>
      </c>
      <c r="I83" s="4">
        <f t="shared" si="12"/>
        <v>16199.42339678354</v>
      </c>
      <c r="J83" s="4">
        <f t="shared" si="12"/>
        <v>16513.9753074007</v>
      </c>
      <c r="K83" s="4">
        <f t="shared" si="12"/>
        <v>16834.635022107508</v>
      </c>
      <c r="L83" s="4">
        <f t="shared" si="12"/>
        <v>17161.521139041633</v>
      </c>
      <c r="M83" s="4">
        <f t="shared" si="12"/>
        <v>17494.7545592172</v>
      </c>
      <c r="N83" s="4">
        <f t="shared" si="12"/>
        <v>17834.458531240834</v>
      </c>
      <c r="O83" s="4">
        <f t="shared" si="12"/>
        <v>18180.758696896</v>
      </c>
      <c r="P83" s="4">
        <f t="shared" si="12"/>
        <v>18533.783137612427</v>
      </c>
      <c r="Q83" s="4">
        <f t="shared" si="12"/>
        <v>18893.66242183791</v>
      </c>
      <c r="R83" s="4">
        <f t="shared" si="12"/>
        <v>19260.529653329908</v>
      </c>
      <c r="S83" s="4">
        <f t="shared" si="12"/>
        <v>19634.52052038486</v>
      </c>
      <c r="T83" s="4">
        <f t="shared" si="12"/>
        <v>20015.773346023398</v>
      </c>
      <c r="U83" s="4">
        <f t="shared" si="12"/>
        <v>20404.429139150066</v>
      </c>
      <c r="V83" s="4">
        <f t="shared" si="12"/>
        <v>20800.63164670638</v>
      </c>
    </row>
    <row r="84" spans="3:22" ht="11.25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12">
      <c r="A85" s="1" t="s">
        <v>90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ht="11.25">
      <c r="A86" s="2" t="s">
        <v>93</v>
      </c>
      <c r="C86" s="4">
        <f>C15</f>
        <v>1548.3</v>
      </c>
      <c r="D86" s="4">
        <f>D15</f>
        <v>14041.6</v>
      </c>
      <c r="E86" s="4">
        <f>E15</f>
        <v>38585</v>
      </c>
      <c r="F86" s="4">
        <f>F15</f>
        <v>10376</v>
      </c>
      <c r="G86" s="4">
        <f>G15</f>
        <v>1585</v>
      </c>
      <c r="H86" s="4">
        <f>SUM(C15:G15)*B17</f>
        <v>3306.795</v>
      </c>
      <c r="I86" s="4">
        <f aca="true" t="shared" si="13" ref="I86:V87">H86*(1+$B$6)</f>
        <v>3405.99885</v>
      </c>
      <c r="J86" s="4">
        <f t="shared" si="13"/>
        <v>3508.1788155</v>
      </c>
      <c r="K86" s="4">
        <f t="shared" si="13"/>
        <v>3613.424179965</v>
      </c>
      <c r="L86" s="4">
        <f t="shared" si="13"/>
        <v>3721.82690536395</v>
      </c>
      <c r="M86" s="4">
        <f t="shared" si="13"/>
        <v>3833.4817125248687</v>
      </c>
      <c r="N86" s="4">
        <f t="shared" si="13"/>
        <v>3948.486163900615</v>
      </c>
      <c r="O86" s="4">
        <f t="shared" si="13"/>
        <v>4066.9407488176334</v>
      </c>
      <c r="P86" s="4">
        <f t="shared" si="13"/>
        <v>4188.948971282162</v>
      </c>
      <c r="Q86" s="4">
        <f t="shared" si="13"/>
        <v>4314.617440420628</v>
      </c>
      <c r="R86" s="4">
        <f t="shared" si="13"/>
        <v>4444.055963633246</v>
      </c>
      <c r="S86" s="4">
        <f t="shared" si="13"/>
        <v>4577.377642542244</v>
      </c>
      <c r="T86" s="4">
        <f t="shared" si="13"/>
        <v>4714.698971818511</v>
      </c>
      <c r="U86" s="4">
        <f t="shared" si="13"/>
        <v>4856.139940973067</v>
      </c>
      <c r="V86" s="4">
        <f t="shared" si="13"/>
        <v>5001.824139202258</v>
      </c>
    </row>
    <row r="87" spans="1:22" ht="11.25">
      <c r="A87" s="12" t="s">
        <v>205</v>
      </c>
      <c r="C87" s="4">
        <f aca="true" t="shared" si="14" ref="C87:J87">C18</f>
        <v>37.15</v>
      </c>
      <c r="D87" s="4">
        <f t="shared" si="14"/>
        <v>1594.5</v>
      </c>
      <c r="E87" s="4">
        <f t="shared" si="14"/>
        <v>3291.05</v>
      </c>
      <c r="F87" s="4">
        <f t="shared" si="14"/>
        <v>2117</v>
      </c>
      <c r="G87" s="4">
        <f t="shared" si="14"/>
        <v>178</v>
      </c>
      <c r="H87" s="4">
        <f t="shared" si="14"/>
        <v>0</v>
      </c>
      <c r="I87" s="4">
        <f t="shared" si="14"/>
        <v>0</v>
      </c>
      <c r="J87" s="4">
        <f t="shared" si="14"/>
        <v>90.22125</v>
      </c>
      <c r="K87" s="4">
        <f>J87*(1+$B$6)</f>
        <v>92.9278875</v>
      </c>
      <c r="L87" s="4">
        <f t="shared" si="13"/>
        <v>95.715724125</v>
      </c>
      <c r="M87" s="4">
        <f t="shared" si="13"/>
        <v>98.58719584875</v>
      </c>
      <c r="N87" s="4">
        <f t="shared" si="13"/>
        <v>101.54481172421251</v>
      </c>
      <c r="O87" s="4">
        <f t="shared" si="13"/>
        <v>104.59115607593888</v>
      </c>
      <c r="P87" s="4">
        <f t="shared" si="13"/>
        <v>107.72889075821705</v>
      </c>
      <c r="Q87" s="4">
        <f t="shared" si="13"/>
        <v>110.96075748096357</v>
      </c>
      <c r="R87" s="4">
        <f t="shared" si="13"/>
        <v>114.28958020539247</v>
      </c>
      <c r="S87" s="4">
        <f t="shared" si="13"/>
        <v>117.71826761155424</v>
      </c>
      <c r="T87" s="4">
        <f t="shared" si="13"/>
        <v>121.24981563990087</v>
      </c>
      <c r="U87" s="4">
        <f t="shared" si="13"/>
        <v>124.8873101090979</v>
      </c>
      <c r="V87" s="4">
        <f t="shared" si="13"/>
        <v>128.63392941237083</v>
      </c>
    </row>
    <row r="88" spans="3:22" ht="11.25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12">
      <c r="A89" s="1" t="s">
        <v>100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ht="11.25">
      <c r="A90" s="2" t="s">
        <v>101</v>
      </c>
      <c r="C90" s="4"/>
      <c r="D90" s="4"/>
      <c r="E90" s="4"/>
      <c r="F90" s="4"/>
      <c r="G90" s="4">
        <v>0</v>
      </c>
      <c r="H90" s="4">
        <f aca="true" t="shared" si="15" ref="H90:N90">G94</f>
        <v>20000</v>
      </c>
      <c r="I90" s="4">
        <f t="shared" si="15"/>
        <v>20000</v>
      </c>
      <c r="J90" s="4">
        <f t="shared" si="15"/>
        <v>20000</v>
      </c>
      <c r="K90" s="4">
        <f t="shared" si="15"/>
        <v>17777.777777777777</v>
      </c>
      <c r="L90" s="4">
        <f t="shared" si="15"/>
        <v>13333.333333333332</v>
      </c>
      <c r="M90" s="4">
        <f t="shared" si="15"/>
        <v>8888.888888888887</v>
      </c>
      <c r="N90" s="4">
        <f t="shared" si="15"/>
        <v>4444.4444444444425</v>
      </c>
      <c r="O90" s="4"/>
      <c r="P90" s="4"/>
      <c r="Q90" s="4"/>
      <c r="R90" s="4"/>
      <c r="S90" s="4"/>
      <c r="T90" s="4"/>
      <c r="U90" s="4"/>
      <c r="V90" s="4"/>
    </row>
    <row r="91" spans="1:22" ht="11.25">
      <c r="A91" s="2" t="s">
        <v>102</v>
      </c>
      <c r="C91" s="4"/>
      <c r="D91" s="4"/>
      <c r="E91" s="4"/>
      <c r="F91" s="4"/>
      <c r="G91" s="4">
        <f>B21</f>
        <v>20000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/>
      <c r="P91" s="4"/>
      <c r="Q91" s="4"/>
      <c r="R91" s="4"/>
      <c r="S91" s="4"/>
      <c r="T91" s="4"/>
      <c r="U91" s="4"/>
      <c r="V91" s="4"/>
    </row>
    <row r="92" spans="1:22" ht="11.25">
      <c r="A92" s="2" t="s">
        <v>106</v>
      </c>
      <c r="C92" s="4"/>
      <c r="D92" s="4"/>
      <c r="E92" s="4"/>
      <c r="F92" s="4"/>
      <c r="G92" s="4">
        <f>G90*($B$8+$B$22)</f>
        <v>0</v>
      </c>
      <c r="H92" s="4">
        <f aca="true" t="shared" si="16" ref="H92:N92">(H90+H94)/2*($B$8+$B$22)</f>
        <v>1749.9999999999989</v>
      </c>
      <c r="I92" s="4">
        <f t="shared" si="16"/>
        <v>1749.9999999999989</v>
      </c>
      <c r="J92" s="4">
        <f t="shared" si="16"/>
        <v>1652.7777777777767</v>
      </c>
      <c r="K92" s="4">
        <f t="shared" si="16"/>
        <v>1361.1111111111102</v>
      </c>
      <c r="L92" s="4">
        <f t="shared" si="16"/>
        <v>972.2222222222214</v>
      </c>
      <c r="M92" s="4">
        <f t="shared" si="16"/>
        <v>583.3333333333327</v>
      </c>
      <c r="N92" s="4">
        <f t="shared" si="16"/>
        <v>194.44444444444423</v>
      </c>
      <c r="O92" s="4"/>
      <c r="P92" s="4"/>
      <c r="Q92" s="4"/>
      <c r="R92" s="4"/>
      <c r="S92" s="4"/>
      <c r="T92" s="4"/>
      <c r="U92" s="4"/>
      <c r="V92" s="4"/>
    </row>
    <row r="93" spans="1:22" ht="11.25">
      <c r="A93" s="2" t="s">
        <v>104</v>
      </c>
      <c r="C93" s="4"/>
      <c r="D93" s="4"/>
      <c r="E93" s="4"/>
      <c r="F93" s="4"/>
      <c r="G93" s="4">
        <v>0</v>
      </c>
      <c r="H93" s="4">
        <v>0</v>
      </c>
      <c r="I93" s="4">
        <v>0</v>
      </c>
      <c r="J93" s="4">
        <f>$B$21/$B$23</f>
        <v>2222.222222222222</v>
      </c>
      <c r="K93" s="4">
        <f>$B$21/$B$23*2</f>
        <v>4444.444444444444</v>
      </c>
      <c r="L93" s="4">
        <f>$B$21/$B$23*2</f>
        <v>4444.444444444444</v>
      </c>
      <c r="M93" s="4">
        <f>$B$21/$B$23*2</f>
        <v>4444.444444444444</v>
      </c>
      <c r="N93" s="4">
        <f>$B$21/$B$23*2</f>
        <v>4444.444444444444</v>
      </c>
      <c r="O93" s="4"/>
      <c r="P93" s="4"/>
      <c r="Q93" s="4"/>
      <c r="R93" s="4"/>
      <c r="S93" s="4"/>
      <c r="T93" s="4"/>
      <c r="U93" s="4"/>
      <c r="V93" s="4"/>
    </row>
    <row r="94" spans="1:22" ht="11.25">
      <c r="A94" s="2" t="s">
        <v>105</v>
      </c>
      <c r="C94" s="4"/>
      <c r="D94" s="4"/>
      <c r="E94" s="4"/>
      <c r="F94" s="4"/>
      <c r="G94" s="4">
        <f aca="true" t="shared" si="17" ref="G94:N94">G90+G91-G93</f>
        <v>20000</v>
      </c>
      <c r="H94" s="4">
        <f t="shared" si="17"/>
        <v>20000</v>
      </c>
      <c r="I94" s="4">
        <f t="shared" si="17"/>
        <v>20000</v>
      </c>
      <c r="J94" s="4">
        <f t="shared" si="17"/>
        <v>17777.777777777777</v>
      </c>
      <c r="K94" s="4">
        <f t="shared" si="17"/>
        <v>13333.333333333332</v>
      </c>
      <c r="L94" s="4">
        <f t="shared" si="17"/>
        <v>8888.888888888887</v>
      </c>
      <c r="M94" s="4">
        <f t="shared" si="17"/>
        <v>4444.4444444444425</v>
      </c>
      <c r="N94" s="4">
        <f t="shared" si="17"/>
        <v>0</v>
      </c>
      <c r="O94" s="4"/>
      <c r="P94" s="4"/>
      <c r="Q94" s="4"/>
      <c r="R94" s="4"/>
      <c r="S94" s="4"/>
      <c r="T94" s="4"/>
      <c r="U94" s="4"/>
      <c r="V94" s="4"/>
    </row>
    <row r="95" spans="1:22" ht="12">
      <c r="A95" s="1" t="s">
        <v>107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ht="11.25">
      <c r="A96" s="2" t="s">
        <v>101</v>
      </c>
      <c r="C96" s="4"/>
      <c r="D96" s="4"/>
      <c r="E96" s="4"/>
      <c r="F96" s="4"/>
      <c r="G96" s="4">
        <v>0</v>
      </c>
      <c r="H96" s="4">
        <f aca="true" t="shared" si="18" ref="H96:N96">G100</f>
        <v>25000</v>
      </c>
      <c r="I96" s="4">
        <f t="shared" si="18"/>
        <v>25000</v>
      </c>
      <c r="J96" s="4">
        <f t="shared" si="18"/>
        <v>22727.272727272728</v>
      </c>
      <c r="K96" s="4">
        <f t="shared" si="18"/>
        <v>18181.818181818184</v>
      </c>
      <c r="L96" s="4">
        <f t="shared" si="18"/>
        <v>13636.36363636364</v>
      </c>
      <c r="M96" s="4">
        <f t="shared" si="18"/>
        <v>9090.909090909096</v>
      </c>
      <c r="N96" s="4">
        <f t="shared" si="18"/>
        <v>4545.4545454545505</v>
      </c>
      <c r="O96" s="4"/>
      <c r="P96" s="4"/>
      <c r="Q96" s="4"/>
      <c r="R96" s="4"/>
      <c r="S96" s="4"/>
      <c r="T96" s="4"/>
      <c r="U96" s="4"/>
      <c r="V96" s="4"/>
    </row>
    <row r="97" spans="1:22" ht="11.25">
      <c r="A97" s="2" t="s">
        <v>102</v>
      </c>
      <c r="C97" s="4"/>
      <c r="D97" s="4"/>
      <c r="E97" s="4"/>
      <c r="F97" s="4"/>
      <c r="G97" s="4">
        <f>B24</f>
        <v>25000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/>
      <c r="P97" s="4"/>
      <c r="Q97" s="4"/>
      <c r="R97" s="4"/>
      <c r="S97" s="4"/>
      <c r="T97" s="4"/>
      <c r="U97" s="4"/>
      <c r="V97" s="4"/>
    </row>
    <row r="98" spans="1:22" ht="11.25">
      <c r="A98" s="2" t="s">
        <v>106</v>
      </c>
      <c r="C98" s="4"/>
      <c r="D98" s="4"/>
      <c r="E98" s="4"/>
      <c r="F98" s="4"/>
      <c r="G98" s="4">
        <f>G96*($B$8+$B$25)</f>
        <v>0</v>
      </c>
      <c r="H98" s="4">
        <f aca="true" t="shared" si="19" ref="H98:N98">(H96+H100)/2*($B$8+$B$25)</f>
        <v>2093.749999999998</v>
      </c>
      <c r="I98" s="4">
        <f t="shared" si="19"/>
        <v>1998.579545454544</v>
      </c>
      <c r="J98" s="4">
        <f t="shared" si="19"/>
        <v>1713.0681818181806</v>
      </c>
      <c r="K98" s="4">
        <f t="shared" si="19"/>
        <v>1332.3863636363628</v>
      </c>
      <c r="L98" s="4">
        <f t="shared" si="19"/>
        <v>951.704545454545</v>
      </c>
      <c r="M98" s="4">
        <f t="shared" si="19"/>
        <v>571.0227272727273</v>
      </c>
      <c r="N98" s="4">
        <f t="shared" si="19"/>
        <v>190.34090909090915</v>
      </c>
      <c r="O98" s="4"/>
      <c r="P98" s="4"/>
      <c r="Q98" s="4"/>
      <c r="R98" s="4"/>
      <c r="S98" s="4"/>
      <c r="T98" s="4"/>
      <c r="U98" s="4"/>
      <c r="V98" s="4"/>
    </row>
    <row r="99" spans="1:22" ht="11.25">
      <c r="A99" s="2" t="s">
        <v>104</v>
      </c>
      <c r="C99" s="4"/>
      <c r="D99" s="4"/>
      <c r="E99" s="4"/>
      <c r="F99" s="4"/>
      <c r="G99" s="4">
        <v>0</v>
      </c>
      <c r="H99" s="4">
        <v>0</v>
      </c>
      <c r="I99" s="4">
        <f>$B$24/$B$26</f>
        <v>2272.7272727272725</v>
      </c>
      <c r="J99" s="4">
        <f>$B$24/$B$26*2</f>
        <v>4545.454545454545</v>
      </c>
      <c r="K99" s="4">
        <f>$B$24/$B$26*2</f>
        <v>4545.454545454545</v>
      </c>
      <c r="L99" s="4">
        <f>$B$24/$B$26*2</f>
        <v>4545.454545454545</v>
      </c>
      <c r="M99" s="4">
        <f>$B$24/$B$26*2</f>
        <v>4545.454545454545</v>
      </c>
      <c r="N99" s="4">
        <f>$B$24/$B$26*2</f>
        <v>4545.454545454545</v>
      </c>
      <c r="O99" s="4"/>
      <c r="P99" s="4"/>
      <c r="Q99" s="4"/>
      <c r="R99" s="4"/>
      <c r="S99" s="4"/>
      <c r="T99" s="4"/>
      <c r="U99" s="4"/>
      <c r="V99" s="4"/>
    </row>
    <row r="100" spans="1:14" ht="11.25">
      <c r="A100" s="2" t="s">
        <v>105</v>
      </c>
      <c r="C100" s="4"/>
      <c r="D100" s="4"/>
      <c r="E100" s="4"/>
      <c r="F100" s="4"/>
      <c r="G100" s="4">
        <f aca="true" t="shared" si="20" ref="G100:N100">G96+G97-G99</f>
        <v>25000</v>
      </c>
      <c r="H100" s="4">
        <f t="shared" si="20"/>
        <v>25000</v>
      </c>
      <c r="I100" s="4">
        <f t="shared" si="20"/>
        <v>22727.272727272728</v>
      </c>
      <c r="J100" s="4">
        <f t="shared" si="20"/>
        <v>18181.818181818184</v>
      </c>
      <c r="K100" s="4">
        <f t="shared" si="20"/>
        <v>13636.36363636364</v>
      </c>
      <c r="L100" s="4">
        <f t="shared" si="20"/>
        <v>9090.909090909096</v>
      </c>
      <c r="M100" s="4">
        <f t="shared" si="20"/>
        <v>4545.4545454545505</v>
      </c>
      <c r="N100" s="4">
        <f t="shared" si="20"/>
        <v>0</v>
      </c>
    </row>
    <row r="101" spans="1:14" ht="12">
      <c r="A101" s="1" t="s">
        <v>108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1.25">
      <c r="A102" s="2" t="s">
        <v>101</v>
      </c>
      <c r="C102" s="4"/>
      <c r="D102" s="4"/>
      <c r="E102" s="4"/>
      <c r="F102" s="4"/>
      <c r="G102" s="4">
        <v>0</v>
      </c>
      <c r="H102" s="4">
        <f aca="true" t="shared" si="21" ref="H102:N102">G106</f>
        <v>20000</v>
      </c>
      <c r="I102" s="4">
        <f t="shared" si="21"/>
        <v>20000</v>
      </c>
      <c r="J102" s="4">
        <f t="shared" si="21"/>
        <v>18181.81818181818</v>
      </c>
      <c r="K102" s="4">
        <f t="shared" si="21"/>
        <v>14545.454545454544</v>
      </c>
      <c r="L102" s="4">
        <f t="shared" si="21"/>
        <v>10909.090909090908</v>
      </c>
      <c r="M102" s="4">
        <f t="shared" si="21"/>
        <v>7272.727272727272</v>
      </c>
      <c r="N102" s="4">
        <f t="shared" si="21"/>
        <v>3636.3636363636356</v>
      </c>
    </row>
    <row r="103" spans="1:14" ht="11.25">
      <c r="A103" s="2" t="s">
        <v>102</v>
      </c>
      <c r="C103" s="4"/>
      <c r="D103" s="4"/>
      <c r="E103" s="4"/>
      <c r="F103" s="4"/>
      <c r="G103" s="4">
        <f>B27</f>
        <v>20000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</row>
    <row r="104" spans="1:14" ht="11.25">
      <c r="A104" s="2" t="s">
        <v>106</v>
      </c>
      <c r="C104" s="4"/>
      <c r="D104" s="4"/>
      <c r="E104" s="4"/>
      <c r="F104" s="4"/>
      <c r="G104" s="4">
        <f>G102*($B$8+$B$28)</f>
        <v>0</v>
      </c>
      <c r="H104" s="4">
        <f>(H102+H106)/2*($B$8+$B$28)</f>
        <v>1749.9999999999989</v>
      </c>
      <c r="I104" s="4">
        <f aca="true" t="shared" si="22" ref="I104:N104">(I102+I106)/2*($B$8+$B$28)</f>
        <v>1670.4545454545441</v>
      </c>
      <c r="J104" s="4">
        <f t="shared" si="22"/>
        <v>1431.8181818181806</v>
      </c>
      <c r="K104" s="4">
        <f t="shared" si="22"/>
        <v>1113.6363636363628</v>
      </c>
      <c r="L104" s="4">
        <f t="shared" si="22"/>
        <v>795.4545454545448</v>
      </c>
      <c r="M104" s="4">
        <f t="shared" si="22"/>
        <v>477.2727272727269</v>
      </c>
      <c r="N104" s="4">
        <f t="shared" si="22"/>
        <v>159.09090909090895</v>
      </c>
    </row>
    <row r="105" spans="1:14" ht="11.25">
      <c r="A105" s="2" t="s">
        <v>104</v>
      </c>
      <c r="C105" s="4"/>
      <c r="D105" s="4"/>
      <c r="E105" s="4"/>
      <c r="F105" s="4"/>
      <c r="G105" s="4">
        <v>0</v>
      </c>
      <c r="H105" s="4">
        <v>0</v>
      </c>
      <c r="I105" s="4">
        <f>$B$27/$B$29</f>
        <v>1818.1818181818182</v>
      </c>
      <c r="J105" s="4">
        <f>$B$27/$B$29*2</f>
        <v>3636.3636363636365</v>
      </c>
      <c r="K105" s="4">
        <f>$B$27/$B$29*2</f>
        <v>3636.3636363636365</v>
      </c>
      <c r="L105" s="4">
        <f>$B$27/$B$29*2</f>
        <v>3636.3636363636365</v>
      </c>
      <c r="M105" s="4">
        <f>$B$27/$B$29*2</f>
        <v>3636.3636363636365</v>
      </c>
      <c r="N105" s="4">
        <f>$B$27/$B$29*2</f>
        <v>3636.3636363636365</v>
      </c>
    </row>
    <row r="106" spans="1:14" ht="11.25">
      <c r="A106" s="2" t="s">
        <v>105</v>
      </c>
      <c r="C106" s="4"/>
      <c r="D106" s="4"/>
      <c r="E106" s="4"/>
      <c r="F106" s="4"/>
      <c r="G106" s="4">
        <f aca="true" t="shared" si="23" ref="G106:N106">G102+G103-G105</f>
        <v>20000</v>
      </c>
      <c r="H106" s="4">
        <f t="shared" si="23"/>
        <v>20000</v>
      </c>
      <c r="I106" s="4">
        <f t="shared" si="23"/>
        <v>18181.81818181818</v>
      </c>
      <c r="J106" s="4">
        <f t="shared" si="23"/>
        <v>14545.454545454544</v>
      </c>
      <c r="K106" s="4">
        <f t="shared" si="23"/>
        <v>10909.090909090908</v>
      </c>
      <c r="L106" s="4">
        <f t="shared" si="23"/>
        <v>7272.727272727272</v>
      </c>
      <c r="M106" s="4">
        <f t="shared" si="23"/>
        <v>3636.3636363636356</v>
      </c>
      <c r="N106" s="4">
        <f t="shared" si="23"/>
        <v>0</v>
      </c>
    </row>
    <row r="107" spans="1:14" ht="12">
      <c r="A107" s="1" t="s">
        <v>109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1.25">
      <c r="A108" s="2" t="s">
        <v>101</v>
      </c>
      <c r="C108" s="4"/>
      <c r="D108" s="4"/>
      <c r="E108" s="4"/>
      <c r="F108" s="4"/>
      <c r="G108" s="4">
        <f>G102+G96+G90</f>
        <v>0</v>
      </c>
      <c r="H108" s="4">
        <f aca="true" t="shared" si="24" ref="H108:N108">H102+H96+H90</f>
        <v>65000</v>
      </c>
      <c r="I108" s="4">
        <f t="shared" si="24"/>
        <v>65000</v>
      </c>
      <c r="J108" s="4">
        <f t="shared" si="24"/>
        <v>60909.09090909091</v>
      </c>
      <c r="K108" s="4">
        <f t="shared" si="24"/>
        <v>50505.0505050505</v>
      </c>
      <c r="L108" s="4">
        <f t="shared" si="24"/>
        <v>37878.78787878788</v>
      </c>
      <c r="M108" s="4">
        <f t="shared" si="24"/>
        <v>25252.525252525254</v>
      </c>
      <c r="N108" s="4">
        <f t="shared" si="24"/>
        <v>12626.262626262629</v>
      </c>
    </row>
    <row r="109" spans="1:14" ht="11.25">
      <c r="A109" s="2" t="s">
        <v>102</v>
      </c>
      <c r="C109" s="4"/>
      <c r="D109" s="4"/>
      <c r="E109" s="4"/>
      <c r="F109" s="4"/>
      <c r="G109" s="4">
        <f aca="true" t="shared" si="25" ref="G109:N112">G103+G97+G91</f>
        <v>65000</v>
      </c>
      <c r="H109" s="4">
        <f t="shared" si="25"/>
        <v>0</v>
      </c>
      <c r="I109" s="4">
        <f t="shared" si="25"/>
        <v>0</v>
      </c>
      <c r="J109" s="4">
        <f t="shared" si="25"/>
        <v>0</v>
      </c>
      <c r="K109" s="4">
        <f t="shared" si="25"/>
        <v>0</v>
      </c>
      <c r="L109" s="4">
        <f t="shared" si="25"/>
        <v>0</v>
      </c>
      <c r="M109" s="4">
        <f t="shared" si="25"/>
        <v>0</v>
      </c>
      <c r="N109" s="4">
        <f t="shared" si="25"/>
        <v>0</v>
      </c>
    </row>
    <row r="110" spans="1:14" ht="11.25">
      <c r="A110" s="2" t="s">
        <v>106</v>
      </c>
      <c r="C110" s="4"/>
      <c r="D110" s="4"/>
      <c r="E110" s="4"/>
      <c r="F110" s="4"/>
      <c r="G110" s="4">
        <f t="shared" si="25"/>
        <v>0</v>
      </c>
      <c r="H110" s="4">
        <f t="shared" si="25"/>
        <v>5593.749999999996</v>
      </c>
      <c r="I110" s="4">
        <f t="shared" si="25"/>
        <v>5419.034090909087</v>
      </c>
      <c r="J110" s="4">
        <f t="shared" si="25"/>
        <v>4797.664141414138</v>
      </c>
      <c r="K110" s="4">
        <f t="shared" si="25"/>
        <v>3807.1338383838356</v>
      </c>
      <c r="L110" s="4">
        <f t="shared" si="25"/>
        <v>2719.3813131313113</v>
      </c>
      <c r="M110" s="4">
        <f t="shared" si="25"/>
        <v>1631.6287878787866</v>
      </c>
      <c r="N110" s="4">
        <f t="shared" si="25"/>
        <v>543.8762626262624</v>
      </c>
    </row>
    <row r="111" spans="1:14" ht="11.25">
      <c r="A111" s="2" t="s">
        <v>104</v>
      </c>
      <c r="C111" s="4"/>
      <c r="D111" s="4"/>
      <c r="E111" s="4"/>
      <c r="F111" s="4"/>
      <c r="G111" s="4">
        <f t="shared" si="25"/>
        <v>0</v>
      </c>
      <c r="H111" s="4">
        <f t="shared" si="25"/>
        <v>0</v>
      </c>
      <c r="I111" s="4">
        <f t="shared" si="25"/>
        <v>4090.909090909091</v>
      </c>
      <c r="J111" s="4">
        <f t="shared" si="25"/>
        <v>10404.040404040405</v>
      </c>
      <c r="K111" s="4">
        <f t="shared" si="25"/>
        <v>12626.262626262625</v>
      </c>
      <c r="L111" s="4">
        <f t="shared" si="25"/>
        <v>12626.262626262625</v>
      </c>
      <c r="M111" s="4">
        <f t="shared" si="25"/>
        <v>12626.262626262625</v>
      </c>
      <c r="N111" s="4">
        <f t="shared" si="25"/>
        <v>12626.262626262625</v>
      </c>
    </row>
    <row r="112" spans="1:14" ht="11.25">
      <c r="A112" s="2" t="s">
        <v>105</v>
      </c>
      <c r="B112" s="7" t="s">
        <v>111</v>
      </c>
      <c r="C112" s="4"/>
      <c r="D112" s="4"/>
      <c r="E112" s="4"/>
      <c r="F112" s="4"/>
      <c r="G112" s="4">
        <f t="shared" si="25"/>
        <v>65000</v>
      </c>
      <c r="H112" s="4">
        <f t="shared" si="25"/>
        <v>65000</v>
      </c>
      <c r="I112" s="4">
        <f t="shared" si="25"/>
        <v>60909.09090909091</v>
      </c>
      <c r="J112" s="4">
        <f t="shared" si="25"/>
        <v>50505.0505050505</v>
      </c>
      <c r="K112" s="4">
        <f t="shared" si="25"/>
        <v>37878.78787878788</v>
      </c>
      <c r="L112" s="4">
        <f t="shared" si="25"/>
        <v>25252.525252525254</v>
      </c>
      <c r="M112" s="4">
        <f t="shared" si="25"/>
        <v>12626.262626262629</v>
      </c>
      <c r="N112" s="4">
        <f t="shared" si="25"/>
        <v>0</v>
      </c>
    </row>
    <row r="113" spans="1:14" ht="12">
      <c r="A113" s="1" t="s">
        <v>110</v>
      </c>
      <c r="B113" s="20">
        <f>IRR(G113:N113)</f>
        <v>0.07835370681981857</v>
      </c>
      <c r="C113" s="4"/>
      <c r="D113" s="4"/>
      <c r="E113" s="4"/>
      <c r="F113" s="4"/>
      <c r="G113" s="4">
        <f>G109-G110-G111</f>
        <v>65000</v>
      </c>
      <c r="H113" s="4">
        <f aca="true" t="shared" si="26" ref="H113:N113">H109-H110-H111</f>
        <v>-5593.749999999996</v>
      </c>
      <c r="I113" s="4">
        <f t="shared" si="26"/>
        <v>-9509.943181818178</v>
      </c>
      <c r="J113" s="4">
        <f t="shared" si="26"/>
        <v>-15201.704545454542</v>
      </c>
      <c r="K113" s="4">
        <f t="shared" si="26"/>
        <v>-16433.39646464646</v>
      </c>
      <c r="L113" s="4">
        <f t="shared" si="26"/>
        <v>-15345.643939393936</v>
      </c>
      <c r="M113" s="4">
        <f t="shared" si="26"/>
        <v>-14257.891414141412</v>
      </c>
      <c r="N113" s="4">
        <f t="shared" si="26"/>
        <v>-13170.138888888887</v>
      </c>
    </row>
    <row r="114" spans="3:14" ht="11.2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22" ht="12">
      <c r="A115" s="1" t="s">
        <v>8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ht="11.25">
      <c r="A116" s="7" t="s">
        <v>83</v>
      </c>
      <c r="F116" s="2">
        <f aca="true" t="shared" si="27" ref="F116:V116">F32*$B$39</f>
        <v>64</v>
      </c>
      <c r="G116" s="2">
        <f t="shared" si="27"/>
        <v>400</v>
      </c>
      <c r="H116" s="2">
        <f t="shared" si="27"/>
        <v>750</v>
      </c>
      <c r="I116" s="2">
        <f t="shared" si="27"/>
        <v>850</v>
      </c>
      <c r="J116" s="2">
        <f t="shared" si="27"/>
        <v>900</v>
      </c>
      <c r="K116" s="2">
        <f t="shared" si="27"/>
        <v>900</v>
      </c>
      <c r="L116" s="2">
        <f t="shared" si="27"/>
        <v>900</v>
      </c>
      <c r="M116" s="2">
        <f t="shared" si="27"/>
        <v>900</v>
      </c>
      <c r="N116" s="2">
        <f t="shared" si="27"/>
        <v>900</v>
      </c>
      <c r="O116" s="2">
        <f t="shared" si="27"/>
        <v>900</v>
      </c>
      <c r="P116" s="2">
        <f t="shared" si="27"/>
        <v>900</v>
      </c>
      <c r="Q116" s="2">
        <f t="shared" si="27"/>
        <v>900</v>
      </c>
      <c r="R116" s="2">
        <f t="shared" si="27"/>
        <v>900</v>
      </c>
      <c r="S116" s="2">
        <f t="shared" si="27"/>
        <v>900</v>
      </c>
      <c r="T116" s="2">
        <f t="shared" si="27"/>
        <v>900</v>
      </c>
      <c r="U116" s="2">
        <f t="shared" si="27"/>
        <v>900</v>
      </c>
      <c r="V116" s="2">
        <f t="shared" si="27"/>
        <v>900</v>
      </c>
    </row>
    <row r="117" spans="1:22" ht="11.25">
      <c r="A117" s="7" t="s">
        <v>227</v>
      </c>
      <c r="F117" s="133">
        <f>F116*$B$40</f>
        <v>6.592</v>
      </c>
      <c r="G117" s="133">
        <f aca="true" t="shared" si="28" ref="G117:V117">G116*$B$40</f>
        <v>41.199999999999996</v>
      </c>
      <c r="H117" s="133">
        <f t="shared" si="28"/>
        <v>77.25</v>
      </c>
      <c r="I117" s="133">
        <f t="shared" si="28"/>
        <v>87.55</v>
      </c>
      <c r="J117" s="133">
        <f t="shared" si="28"/>
        <v>92.69999999999999</v>
      </c>
      <c r="K117" s="133">
        <f t="shared" si="28"/>
        <v>92.69999999999999</v>
      </c>
      <c r="L117" s="133">
        <f t="shared" si="28"/>
        <v>92.69999999999999</v>
      </c>
      <c r="M117" s="133">
        <f t="shared" si="28"/>
        <v>92.69999999999999</v>
      </c>
      <c r="N117" s="133">
        <f t="shared" si="28"/>
        <v>92.69999999999999</v>
      </c>
      <c r="O117" s="133">
        <f t="shared" si="28"/>
        <v>92.69999999999999</v>
      </c>
      <c r="P117" s="133">
        <f t="shared" si="28"/>
        <v>92.69999999999999</v>
      </c>
      <c r="Q117" s="133">
        <f t="shared" si="28"/>
        <v>92.69999999999999</v>
      </c>
      <c r="R117" s="133">
        <f t="shared" si="28"/>
        <v>92.69999999999999</v>
      </c>
      <c r="S117" s="133">
        <f t="shared" si="28"/>
        <v>92.69999999999999</v>
      </c>
      <c r="T117" s="133">
        <f t="shared" si="28"/>
        <v>92.69999999999999</v>
      </c>
      <c r="U117" s="133">
        <f t="shared" si="28"/>
        <v>92.69999999999999</v>
      </c>
      <c r="V117" s="133">
        <f t="shared" si="28"/>
        <v>92.69999999999999</v>
      </c>
    </row>
    <row r="118" spans="1:22" ht="11.25">
      <c r="A118" s="7" t="s">
        <v>265</v>
      </c>
      <c r="F118" s="9">
        <f aca="true" t="shared" si="29" ref="F118:V118">F9*(1+F58)</f>
        <v>390.0234536082474</v>
      </c>
      <c r="G118" s="9">
        <f t="shared" si="29"/>
        <v>408.5065721649484</v>
      </c>
      <c r="H118" s="9">
        <f t="shared" si="29"/>
        <v>430.133120625</v>
      </c>
      <c r="I118" s="9">
        <f t="shared" si="29"/>
        <v>452.56456286559376</v>
      </c>
      <c r="J118" s="9">
        <f t="shared" si="29"/>
        <v>476.16580481903435</v>
      </c>
      <c r="K118" s="9">
        <f t="shared" si="29"/>
        <v>500.997851540347</v>
      </c>
      <c r="L118" s="9">
        <f t="shared" si="29"/>
        <v>527.1237734721159</v>
      </c>
      <c r="M118" s="9">
        <f t="shared" si="29"/>
        <v>542.2635637886598</v>
      </c>
      <c r="N118" s="9">
        <f t="shared" si="29"/>
        <v>553.8137776973583</v>
      </c>
      <c r="O118" s="9">
        <f t="shared" si="29"/>
        <v>565.610011162312</v>
      </c>
      <c r="P118" s="9">
        <f t="shared" si="29"/>
        <v>577.6575044000693</v>
      </c>
      <c r="Q118" s="9">
        <f t="shared" si="29"/>
        <v>589.9522187732614</v>
      </c>
      <c r="R118" s="9">
        <f t="shared" si="29"/>
        <v>597.0442654639176</v>
      </c>
      <c r="S118" s="9">
        <f t="shared" si="29"/>
        <v>602.4176638530927</v>
      </c>
      <c r="T118" s="9">
        <f t="shared" si="29"/>
        <v>607.8394228277705</v>
      </c>
      <c r="U118" s="9">
        <f t="shared" si="29"/>
        <v>613.3099776332203</v>
      </c>
      <c r="V118" s="9">
        <f t="shared" si="29"/>
        <v>618.8297674319193</v>
      </c>
    </row>
    <row r="119" spans="1:22" ht="11.25">
      <c r="A119" s="2" t="s">
        <v>229</v>
      </c>
      <c r="F119" s="120">
        <f>IF($B$68=TRUE,F117*F118*(1+$B$66),F117*F118/(1-$B$66))</f>
        <v>2856.7051179839627</v>
      </c>
      <c r="G119" s="120">
        <f aca="true" t="shared" si="30" ref="G119:V119">IF($B$68=TRUE,G117*G118*(1+$B$66),G117*G118/(1-$B$66))</f>
        <v>18700.52308132875</v>
      </c>
      <c r="H119" s="120">
        <f t="shared" si="30"/>
        <v>36919.7595203125</v>
      </c>
      <c r="I119" s="120">
        <f t="shared" si="30"/>
        <v>44024.47497653637</v>
      </c>
      <c r="J119" s="120">
        <f t="shared" si="30"/>
        <v>49045.07789636053</v>
      </c>
      <c r="K119" s="120">
        <f t="shared" si="30"/>
        <v>51602.77870865574</v>
      </c>
      <c r="L119" s="120">
        <f t="shared" si="30"/>
        <v>54293.74866762792</v>
      </c>
      <c r="M119" s="120">
        <f t="shared" si="30"/>
        <v>55853.14707023195</v>
      </c>
      <c r="N119" s="120">
        <f t="shared" si="30"/>
        <v>57042.819102827896</v>
      </c>
      <c r="O119" s="120">
        <f t="shared" si="30"/>
        <v>58257.831149718135</v>
      </c>
      <c r="P119" s="120">
        <f t="shared" si="30"/>
        <v>59498.72295320713</v>
      </c>
      <c r="Q119" s="120">
        <f t="shared" si="30"/>
        <v>60765.07853364591</v>
      </c>
      <c r="R119" s="120">
        <f t="shared" si="30"/>
        <v>61495.5593427835</v>
      </c>
      <c r="S119" s="120">
        <f t="shared" si="30"/>
        <v>62049.019376868535</v>
      </c>
      <c r="T119" s="120">
        <f t="shared" si="30"/>
        <v>62607.460551260345</v>
      </c>
      <c r="U119" s="120">
        <f t="shared" si="30"/>
        <v>63170.92769622169</v>
      </c>
      <c r="V119" s="120">
        <f t="shared" si="30"/>
        <v>63739.46604548768</v>
      </c>
    </row>
    <row r="120" spans="1:22" ht="11.25">
      <c r="A120" s="147" t="s">
        <v>298</v>
      </c>
      <c r="F120" s="120">
        <f>F119-F121</f>
        <v>285.6705117983961</v>
      </c>
      <c r="G120" s="120">
        <f aca="true" t="shared" si="31" ref="G120:V120">G119-G121</f>
        <v>1870.0523081328756</v>
      </c>
      <c r="H120" s="120">
        <f t="shared" si="31"/>
        <v>3691.975952031251</v>
      </c>
      <c r="I120" s="120">
        <f t="shared" si="31"/>
        <v>4402.447497653637</v>
      </c>
      <c r="J120" s="120">
        <f t="shared" si="31"/>
        <v>4904.507789636053</v>
      </c>
      <c r="K120" s="120">
        <f t="shared" si="31"/>
        <v>5160.277870865575</v>
      </c>
      <c r="L120" s="120">
        <f t="shared" si="31"/>
        <v>5429.374866762788</v>
      </c>
      <c r="M120" s="120">
        <f t="shared" si="31"/>
        <v>5585.3147070231935</v>
      </c>
      <c r="N120" s="120">
        <f t="shared" si="31"/>
        <v>5704.281910282785</v>
      </c>
      <c r="O120" s="120">
        <f t="shared" si="31"/>
        <v>5825.783114971811</v>
      </c>
      <c r="P120" s="120">
        <f t="shared" si="31"/>
        <v>5949.872295320711</v>
      </c>
      <c r="Q120" s="120">
        <f t="shared" si="31"/>
        <v>6076.5078533645865</v>
      </c>
      <c r="R120" s="120">
        <f t="shared" si="31"/>
        <v>6149.555934278345</v>
      </c>
      <c r="S120" s="120">
        <f t="shared" si="31"/>
        <v>6204.901937686853</v>
      </c>
      <c r="T120" s="120">
        <f t="shared" si="31"/>
        <v>6260.74605512603</v>
      </c>
      <c r="U120" s="120">
        <f t="shared" si="31"/>
        <v>6317.09276962217</v>
      </c>
      <c r="V120" s="120">
        <f t="shared" si="31"/>
        <v>6373.946604548764</v>
      </c>
    </row>
    <row r="121" spans="1:22" ht="11.25">
      <c r="A121" s="2" t="s">
        <v>228</v>
      </c>
      <c r="F121" s="4">
        <f>F118*F117</f>
        <v>2571.0346061855666</v>
      </c>
      <c r="G121" s="4">
        <f aca="true" t="shared" si="32" ref="G121:V121">G118*G117</f>
        <v>16830.470773195873</v>
      </c>
      <c r="H121" s="4">
        <f t="shared" si="32"/>
        <v>33227.78356828125</v>
      </c>
      <c r="I121" s="4">
        <f t="shared" si="32"/>
        <v>39622.02747888273</v>
      </c>
      <c r="J121" s="4">
        <f t="shared" si="32"/>
        <v>44140.57010672448</v>
      </c>
      <c r="K121" s="4">
        <f t="shared" si="32"/>
        <v>46442.50083779016</v>
      </c>
      <c r="L121" s="4">
        <f t="shared" si="32"/>
        <v>48864.373800865134</v>
      </c>
      <c r="M121" s="4">
        <f t="shared" si="32"/>
        <v>50267.832363208756</v>
      </c>
      <c r="N121" s="4">
        <f t="shared" si="32"/>
        <v>51338.53719254511</v>
      </c>
      <c r="O121" s="4">
        <f t="shared" si="32"/>
        <v>52432.04803474632</v>
      </c>
      <c r="P121" s="4">
        <f t="shared" si="32"/>
        <v>53548.85065788642</v>
      </c>
      <c r="Q121" s="4">
        <f t="shared" si="32"/>
        <v>54688.57068028132</v>
      </c>
      <c r="R121" s="4">
        <f t="shared" si="32"/>
        <v>55346.00340850515</v>
      </c>
      <c r="S121" s="4">
        <f t="shared" si="32"/>
        <v>55844.11743918168</v>
      </c>
      <c r="T121" s="4">
        <f t="shared" si="32"/>
        <v>56346.714496134315</v>
      </c>
      <c r="U121" s="4">
        <f t="shared" si="32"/>
        <v>56853.83492659952</v>
      </c>
      <c r="V121" s="4">
        <f t="shared" si="32"/>
        <v>57365.519440938915</v>
      </c>
    </row>
    <row r="123" ht="12">
      <c r="A123" s="1" t="s">
        <v>10</v>
      </c>
    </row>
    <row r="124" spans="1:22" ht="11.25">
      <c r="A124" s="2" t="s">
        <v>256</v>
      </c>
      <c r="C124" s="10"/>
      <c r="D124" s="10"/>
      <c r="E124" s="10"/>
      <c r="F124" s="10">
        <f>F42/$E$7*F82</f>
        <v>13.333333333333334</v>
      </c>
      <c r="G124" s="10">
        <f aca="true" t="shared" si="33" ref="G124:V124">G42/$E$7*G82</f>
        <v>13.333333333333332</v>
      </c>
      <c r="H124" s="10">
        <f t="shared" si="33"/>
        <v>13.333333333333336</v>
      </c>
      <c r="I124" s="10">
        <f t="shared" si="33"/>
        <v>13.333333333333332</v>
      </c>
      <c r="J124" s="10">
        <f t="shared" si="33"/>
        <v>13.333333333333334</v>
      </c>
      <c r="K124" s="10">
        <f t="shared" si="33"/>
        <v>13.733333333333334</v>
      </c>
      <c r="L124" s="10">
        <f t="shared" si="33"/>
        <v>14.145333333333333</v>
      </c>
      <c r="M124" s="10">
        <f t="shared" si="33"/>
        <v>14.569693333333333</v>
      </c>
      <c r="N124" s="10">
        <f t="shared" si="33"/>
        <v>15.006784133333333</v>
      </c>
      <c r="O124" s="10">
        <f t="shared" si="33"/>
        <v>15.456987657333336</v>
      </c>
      <c r="P124" s="10">
        <f t="shared" si="33"/>
        <v>15.920697287053335</v>
      </c>
      <c r="Q124" s="10">
        <f t="shared" si="33"/>
        <v>16.398318205664935</v>
      </c>
      <c r="R124" s="10">
        <f t="shared" si="33"/>
        <v>16.890267751834877</v>
      </c>
      <c r="S124" s="10">
        <f t="shared" si="33"/>
        <v>17.396975784389934</v>
      </c>
      <c r="T124" s="10">
        <f t="shared" si="33"/>
        <v>17.91888505792163</v>
      </c>
      <c r="U124" s="10">
        <f t="shared" si="33"/>
        <v>18.456451609659275</v>
      </c>
      <c r="V124" s="10">
        <f t="shared" si="33"/>
        <v>19.01014515794905</v>
      </c>
    </row>
    <row r="125" spans="1:22" ht="11.25">
      <c r="A125" s="2" t="s">
        <v>230</v>
      </c>
      <c r="C125" s="10"/>
      <c r="D125" s="10"/>
      <c r="E125" s="9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 spans="1:22" ht="11.25">
      <c r="A126" s="12" t="s">
        <v>11</v>
      </c>
      <c r="F126" s="120">
        <f>F124*F116</f>
        <v>853.3333333333334</v>
      </c>
      <c r="G126" s="120">
        <f aca="true" t="shared" si="34" ref="G126:V126">G124*G116</f>
        <v>5333.333333333333</v>
      </c>
      <c r="H126" s="120">
        <f t="shared" si="34"/>
        <v>10000.000000000002</v>
      </c>
      <c r="I126" s="120">
        <f t="shared" si="34"/>
        <v>11333.333333333332</v>
      </c>
      <c r="J126" s="120">
        <f t="shared" si="34"/>
        <v>12000</v>
      </c>
      <c r="K126" s="120">
        <f t="shared" si="34"/>
        <v>12360</v>
      </c>
      <c r="L126" s="120">
        <f t="shared" si="34"/>
        <v>12730.8</v>
      </c>
      <c r="M126" s="120">
        <f t="shared" si="34"/>
        <v>13112.724</v>
      </c>
      <c r="N126" s="120">
        <f t="shared" si="34"/>
        <v>13506.10572</v>
      </c>
      <c r="O126" s="120">
        <f t="shared" si="34"/>
        <v>13911.288891600003</v>
      </c>
      <c r="P126" s="120">
        <f t="shared" si="34"/>
        <v>14328.627558348002</v>
      </c>
      <c r="Q126" s="120">
        <f t="shared" si="34"/>
        <v>14758.486385098442</v>
      </c>
      <c r="R126" s="120">
        <f t="shared" si="34"/>
        <v>15201.240976651388</v>
      </c>
      <c r="S126" s="120">
        <f t="shared" si="34"/>
        <v>15657.27820595094</v>
      </c>
      <c r="T126" s="120">
        <f t="shared" si="34"/>
        <v>16126.996552129469</v>
      </c>
      <c r="U126" s="120">
        <f t="shared" si="34"/>
        <v>16610.806448693347</v>
      </c>
      <c r="V126" s="120">
        <f t="shared" si="34"/>
        <v>17109.130642154145</v>
      </c>
    </row>
    <row r="127" spans="1:22" ht="11.25">
      <c r="A127" s="67" t="s">
        <v>75</v>
      </c>
      <c r="F127" s="120">
        <f aca="true" t="shared" si="35" ref="F127:V127">F$126*$B$47</f>
        <v>768</v>
      </c>
      <c r="G127" s="120">
        <f t="shared" si="35"/>
        <v>4800</v>
      </c>
      <c r="H127" s="120">
        <f t="shared" si="35"/>
        <v>9000.000000000002</v>
      </c>
      <c r="I127" s="120">
        <f t="shared" si="35"/>
        <v>10200</v>
      </c>
      <c r="J127" s="120">
        <f t="shared" si="35"/>
        <v>10800</v>
      </c>
      <c r="K127" s="120">
        <f t="shared" si="35"/>
        <v>11124</v>
      </c>
      <c r="L127" s="120">
        <f t="shared" si="35"/>
        <v>11457.72</v>
      </c>
      <c r="M127" s="120">
        <f t="shared" si="35"/>
        <v>11801.4516</v>
      </c>
      <c r="N127" s="120">
        <f t="shared" si="35"/>
        <v>12155.495148</v>
      </c>
      <c r="O127" s="120">
        <f t="shared" si="35"/>
        <v>12520.160002440003</v>
      </c>
      <c r="P127" s="120">
        <f t="shared" si="35"/>
        <v>12895.764802513202</v>
      </c>
      <c r="Q127" s="120">
        <f t="shared" si="35"/>
        <v>13282.637746588598</v>
      </c>
      <c r="R127" s="120">
        <f t="shared" si="35"/>
        <v>13681.11687898625</v>
      </c>
      <c r="S127" s="120">
        <f t="shared" si="35"/>
        <v>14091.550385355848</v>
      </c>
      <c r="T127" s="120">
        <f t="shared" si="35"/>
        <v>14514.296896916523</v>
      </c>
      <c r="U127" s="120">
        <f t="shared" si="35"/>
        <v>14949.725803824012</v>
      </c>
      <c r="V127" s="120">
        <f t="shared" si="35"/>
        <v>15398.21757793873</v>
      </c>
    </row>
    <row r="128" spans="1:22" ht="11.25">
      <c r="A128" s="67" t="s">
        <v>76</v>
      </c>
      <c r="F128" s="120">
        <f aca="true" t="shared" si="36" ref="F128:V128">F$126*(1-$B$47)</f>
        <v>85.33333333333331</v>
      </c>
      <c r="G128" s="120">
        <f t="shared" si="36"/>
        <v>533.3333333333331</v>
      </c>
      <c r="H128" s="120">
        <f t="shared" si="36"/>
        <v>1000</v>
      </c>
      <c r="I128" s="120">
        <f t="shared" si="36"/>
        <v>1133.333333333333</v>
      </c>
      <c r="J128" s="120">
        <f t="shared" si="36"/>
        <v>1199.9999999999998</v>
      </c>
      <c r="K128" s="120">
        <f t="shared" si="36"/>
        <v>1235.9999999999998</v>
      </c>
      <c r="L128" s="120">
        <f t="shared" si="36"/>
        <v>1273.0799999999997</v>
      </c>
      <c r="M128" s="120">
        <f t="shared" si="36"/>
        <v>1311.2723999999998</v>
      </c>
      <c r="N128" s="120">
        <f t="shared" si="36"/>
        <v>1350.6105719999996</v>
      </c>
      <c r="O128" s="120">
        <f t="shared" si="36"/>
        <v>1391.12888916</v>
      </c>
      <c r="P128" s="120">
        <f t="shared" si="36"/>
        <v>1432.8627558347998</v>
      </c>
      <c r="Q128" s="120">
        <f t="shared" si="36"/>
        <v>1475.8486385098438</v>
      </c>
      <c r="R128" s="120">
        <f t="shared" si="36"/>
        <v>1520.1240976651386</v>
      </c>
      <c r="S128" s="120">
        <f t="shared" si="36"/>
        <v>1565.7278205950938</v>
      </c>
      <c r="T128" s="120">
        <f t="shared" si="36"/>
        <v>1612.6996552129465</v>
      </c>
      <c r="U128" s="120">
        <f t="shared" si="36"/>
        <v>1661.0806448693343</v>
      </c>
      <c r="V128" s="120">
        <f t="shared" si="36"/>
        <v>1710.9130642154141</v>
      </c>
    </row>
    <row r="129" spans="1:22" ht="11.25">
      <c r="A129" s="12" t="s">
        <v>77</v>
      </c>
      <c r="F129" s="4">
        <f>F130+F131</f>
        <v>966.9</v>
      </c>
      <c r="G129" s="4">
        <f aca="true" t="shared" si="37" ref="G129:V129">G130+G131</f>
        <v>939</v>
      </c>
      <c r="H129" s="4">
        <f t="shared" si="37"/>
        <v>911.1</v>
      </c>
      <c r="I129" s="4">
        <f t="shared" si="37"/>
        <v>945</v>
      </c>
      <c r="J129" s="4">
        <f t="shared" si="37"/>
        <v>930</v>
      </c>
      <c r="K129" s="4">
        <f t="shared" si="37"/>
        <v>957.9</v>
      </c>
      <c r="L129" s="4">
        <f t="shared" si="37"/>
        <v>986.637</v>
      </c>
      <c r="M129" s="4">
        <f t="shared" si="37"/>
        <v>1016.23611</v>
      </c>
      <c r="N129" s="4">
        <f t="shared" si="37"/>
        <v>1046.7231933</v>
      </c>
      <c r="O129" s="4">
        <f t="shared" si="37"/>
        <v>1078.124889099</v>
      </c>
      <c r="P129" s="4">
        <f t="shared" si="37"/>
        <v>1110.4686357719702</v>
      </c>
      <c r="Q129" s="4">
        <f t="shared" si="37"/>
        <v>1143.7826948451293</v>
      </c>
      <c r="R129" s="4">
        <f t="shared" si="37"/>
        <v>1178.096175690483</v>
      </c>
      <c r="S129" s="4">
        <f t="shared" si="37"/>
        <v>1213.4390609611976</v>
      </c>
      <c r="T129" s="4">
        <f t="shared" si="37"/>
        <v>1249.8422327900334</v>
      </c>
      <c r="U129" s="4">
        <f t="shared" si="37"/>
        <v>1287.3374997737346</v>
      </c>
      <c r="V129" s="4">
        <f t="shared" si="37"/>
        <v>1325.9576247669468</v>
      </c>
    </row>
    <row r="130" spans="1:22" ht="11.25">
      <c r="A130" s="67" t="s">
        <v>80</v>
      </c>
      <c r="F130" s="4">
        <f aca="true" t="shared" si="38" ref="F130:J131">F48</f>
        <v>503</v>
      </c>
      <c r="G130" s="4">
        <f t="shared" si="38"/>
        <v>489</v>
      </c>
      <c r="H130" s="4">
        <f t="shared" si="38"/>
        <v>475</v>
      </c>
      <c r="I130" s="4">
        <f t="shared" si="38"/>
        <v>545</v>
      </c>
      <c r="J130" s="4">
        <f t="shared" si="38"/>
        <v>580</v>
      </c>
      <c r="K130" s="4">
        <f aca="true" t="shared" si="39" ref="K130:V130">J130*(1+$B$6)*K$116/J$116</f>
        <v>597.4</v>
      </c>
      <c r="L130" s="4">
        <f t="shared" si="39"/>
        <v>615.322</v>
      </c>
      <c r="M130" s="4">
        <f t="shared" si="39"/>
        <v>633.78166</v>
      </c>
      <c r="N130" s="4">
        <f t="shared" si="39"/>
        <v>652.7951098</v>
      </c>
      <c r="O130" s="4">
        <f t="shared" si="39"/>
        <v>672.378963094</v>
      </c>
      <c r="P130" s="4">
        <f t="shared" si="39"/>
        <v>692.5503319868201</v>
      </c>
      <c r="Q130" s="4">
        <f t="shared" si="39"/>
        <v>713.3268419464247</v>
      </c>
      <c r="R130" s="4">
        <f t="shared" si="39"/>
        <v>734.7266472048175</v>
      </c>
      <c r="S130" s="4">
        <f t="shared" si="39"/>
        <v>756.768446620962</v>
      </c>
      <c r="T130" s="4">
        <f t="shared" si="39"/>
        <v>779.4715000195908</v>
      </c>
      <c r="U130" s="4">
        <f t="shared" si="39"/>
        <v>802.8556450201786</v>
      </c>
      <c r="V130" s="4">
        <f t="shared" si="39"/>
        <v>826.9413143707841</v>
      </c>
    </row>
    <row r="131" spans="1:22" ht="11.25">
      <c r="A131" s="67" t="s">
        <v>81</v>
      </c>
      <c r="F131" s="4">
        <f t="shared" si="38"/>
        <v>463.9</v>
      </c>
      <c r="G131" s="4">
        <f t="shared" si="38"/>
        <v>450</v>
      </c>
      <c r="H131" s="4">
        <f t="shared" si="38"/>
        <v>436.1</v>
      </c>
      <c r="I131" s="4">
        <f t="shared" si="38"/>
        <v>400</v>
      </c>
      <c r="J131" s="4">
        <f t="shared" si="38"/>
        <v>350</v>
      </c>
      <c r="K131" s="4">
        <f aca="true" t="shared" si="40" ref="K131:V131">J131*(1+$B$6)*K$116/J$116</f>
        <v>360.5</v>
      </c>
      <c r="L131" s="4">
        <f t="shared" si="40"/>
        <v>371.315</v>
      </c>
      <c r="M131" s="4">
        <f t="shared" si="40"/>
        <v>382.45445</v>
      </c>
      <c r="N131" s="4">
        <f t="shared" si="40"/>
        <v>393.9280835</v>
      </c>
      <c r="O131" s="4">
        <f t="shared" si="40"/>
        <v>405.745926005</v>
      </c>
      <c r="P131" s="4">
        <f t="shared" si="40"/>
        <v>417.91830378515</v>
      </c>
      <c r="Q131" s="4">
        <f t="shared" si="40"/>
        <v>430.4558528987045</v>
      </c>
      <c r="R131" s="4">
        <f t="shared" si="40"/>
        <v>443.3695284856656</v>
      </c>
      <c r="S131" s="4">
        <f t="shared" si="40"/>
        <v>456.6706143402356</v>
      </c>
      <c r="T131" s="4">
        <f t="shared" si="40"/>
        <v>470.37073277044266</v>
      </c>
      <c r="U131" s="4">
        <f t="shared" si="40"/>
        <v>484.4818547535559</v>
      </c>
      <c r="V131" s="4">
        <f t="shared" si="40"/>
        <v>499.0163103961626</v>
      </c>
    </row>
    <row r="132" spans="1:22" ht="11.25">
      <c r="A132" s="12" t="s">
        <v>82</v>
      </c>
      <c r="F132" s="4">
        <f aca="true" t="shared" si="41" ref="F132:V132">$B$50*F116*F82*1000</f>
        <v>131.84</v>
      </c>
      <c r="G132" s="4">
        <f t="shared" si="41"/>
        <v>848.72</v>
      </c>
      <c r="H132" s="4">
        <f t="shared" si="41"/>
        <v>1639.0905</v>
      </c>
      <c r="I132" s="4">
        <f t="shared" si="41"/>
        <v>1913.3649770000002</v>
      </c>
      <c r="J132" s="4">
        <f t="shared" si="41"/>
        <v>2086.69333374</v>
      </c>
      <c r="K132" s="4">
        <f t="shared" si="41"/>
        <v>2149.2941337522</v>
      </c>
      <c r="L132" s="4">
        <f t="shared" si="41"/>
        <v>2213.772957764766</v>
      </c>
      <c r="M132" s="4">
        <f t="shared" si="41"/>
        <v>2280.1861464977096</v>
      </c>
      <c r="N132" s="4">
        <f t="shared" si="41"/>
        <v>2348.591730892641</v>
      </c>
      <c r="O132" s="4">
        <f t="shared" si="41"/>
        <v>2419.04948281942</v>
      </c>
      <c r="P132" s="4">
        <f t="shared" si="41"/>
        <v>2491.620967304003</v>
      </c>
      <c r="Q132" s="4">
        <f t="shared" si="41"/>
        <v>2566.369596323123</v>
      </c>
      <c r="R132" s="4">
        <f t="shared" si="41"/>
        <v>2643.3606842128165</v>
      </c>
      <c r="S132" s="4">
        <f t="shared" si="41"/>
        <v>2722.6615047392015</v>
      </c>
      <c r="T132" s="4">
        <f t="shared" si="41"/>
        <v>2804.3413498813775</v>
      </c>
      <c r="U132" s="4">
        <f t="shared" si="41"/>
        <v>2888.471590377819</v>
      </c>
      <c r="V132" s="4">
        <f t="shared" si="41"/>
        <v>2975.1257380891534</v>
      </c>
    </row>
    <row r="133" spans="1:22" ht="11.25">
      <c r="A133" s="7" t="s">
        <v>85</v>
      </c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:22" ht="11.25">
      <c r="A134" s="12" t="s">
        <v>86</v>
      </c>
      <c r="F134" s="4">
        <f aca="true" t="shared" si="42" ref="F134:J137">F51</f>
        <v>466</v>
      </c>
      <c r="G134" s="4">
        <f t="shared" si="42"/>
        <v>565</v>
      </c>
      <c r="H134" s="4">
        <f t="shared" si="42"/>
        <v>680</v>
      </c>
      <c r="I134" s="4">
        <f t="shared" si="42"/>
        <v>785</v>
      </c>
      <c r="J134" s="4">
        <f t="shared" si="42"/>
        <v>890</v>
      </c>
      <c r="K134" s="4">
        <f>J134*(1+$B$6)</f>
        <v>916.7</v>
      </c>
      <c r="L134" s="4">
        <f aca="true" t="shared" si="43" ref="L134:V137">K134*(1+$B$6)</f>
        <v>944.201</v>
      </c>
      <c r="M134" s="4">
        <f t="shared" si="43"/>
        <v>972.5270300000001</v>
      </c>
      <c r="N134" s="4">
        <f t="shared" si="43"/>
        <v>1001.7028409000001</v>
      </c>
      <c r="O134" s="4">
        <f t="shared" si="43"/>
        <v>1031.753926127</v>
      </c>
      <c r="P134" s="4">
        <f t="shared" si="43"/>
        <v>1062.70654391081</v>
      </c>
      <c r="Q134" s="4">
        <f t="shared" si="43"/>
        <v>1094.5877402281344</v>
      </c>
      <c r="R134" s="4">
        <f t="shared" si="43"/>
        <v>1127.4253724349785</v>
      </c>
      <c r="S134" s="4">
        <f t="shared" si="43"/>
        <v>1161.248133608028</v>
      </c>
      <c r="T134" s="4">
        <f t="shared" si="43"/>
        <v>1196.085577616269</v>
      </c>
      <c r="U134" s="4">
        <f t="shared" si="43"/>
        <v>1231.968144944757</v>
      </c>
      <c r="V134" s="4">
        <f t="shared" si="43"/>
        <v>1268.9271892930997</v>
      </c>
    </row>
    <row r="135" spans="1:22" ht="11.25">
      <c r="A135" s="12" t="s">
        <v>87</v>
      </c>
      <c r="F135" s="4">
        <f t="shared" si="42"/>
        <v>586</v>
      </c>
      <c r="G135" s="4">
        <f t="shared" si="42"/>
        <v>600</v>
      </c>
      <c r="H135" s="4">
        <f t="shared" si="42"/>
        <v>450</v>
      </c>
      <c r="I135" s="4">
        <f t="shared" si="42"/>
        <v>400</v>
      </c>
      <c r="J135" s="4">
        <f t="shared" si="42"/>
        <v>350</v>
      </c>
      <c r="K135" s="4">
        <f>J135*(1+$B$6)</f>
        <v>360.5</v>
      </c>
      <c r="L135" s="4">
        <f t="shared" si="43"/>
        <v>371.315</v>
      </c>
      <c r="M135" s="4">
        <f t="shared" si="43"/>
        <v>382.45445</v>
      </c>
      <c r="N135" s="4">
        <f t="shared" si="43"/>
        <v>393.9280835</v>
      </c>
      <c r="O135" s="4">
        <f t="shared" si="43"/>
        <v>405.745926005</v>
      </c>
      <c r="P135" s="4">
        <f t="shared" si="43"/>
        <v>417.91830378515</v>
      </c>
      <c r="Q135" s="4">
        <f t="shared" si="43"/>
        <v>430.4558528987045</v>
      </c>
      <c r="R135" s="4">
        <f t="shared" si="43"/>
        <v>443.3695284856656</v>
      </c>
      <c r="S135" s="4">
        <f t="shared" si="43"/>
        <v>456.6706143402356</v>
      </c>
      <c r="T135" s="4">
        <f t="shared" si="43"/>
        <v>470.37073277044266</v>
      </c>
      <c r="U135" s="4">
        <f t="shared" si="43"/>
        <v>484.4818547535559</v>
      </c>
      <c r="V135" s="4">
        <f t="shared" si="43"/>
        <v>499.0163103961626</v>
      </c>
    </row>
    <row r="136" spans="1:22" ht="11.25">
      <c r="A136" s="12" t="s">
        <v>88</v>
      </c>
      <c r="F136" s="4">
        <f t="shared" si="42"/>
        <v>16.6</v>
      </c>
      <c r="G136" s="4">
        <f t="shared" si="42"/>
        <v>44</v>
      </c>
      <c r="H136" s="4">
        <f t="shared" si="42"/>
        <v>57</v>
      </c>
      <c r="I136" s="4">
        <f t="shared" si="42"/>
        <v>58.71</v>
      </c>
      <c r="J136" s="4">
        <f t="shared" si="42"/>
        <v>60.4713</v>
      </c>
      <c r="K136" s="4">
        <f>J136*(1+$B$6)</f>
        <v>62.285439000000004</v>
      </c>
      <c r="L136" s="4">
        <f t="shared" si="43"/>
        <v>64.15400217000001</v>
      </c>
      <c r="M136" s="4">
        <f t="shared" si="43"/>
        <v>66.07862223510001</v>
      </c>
      <c r="N136" s="4">
        <f t="shared" si="43"/>
        <v>68.06098090215302</v>
      </c>
      <c r="O136" s="4">
        <f t="shared" si="43"/>
        <v>70.10281032921762</v>
      </c>
      <c r="P136" s="4">
        <f t="shared" si="43"/>
        <v>72.20589463909415</v>
      </c>
      <c r="Q136" s="4">
        <f t="shared" si="43"/>
        <v>74.37207147826697</v>
      </c>
      <c r="R136" s="4">
        <f t="shared" si="43"/>
        <v>76.60323362261498</v>
      </c>
      <c r="S136" s="4">
        <f t="shared" si="43"/>
        <v>78.90133063129343</v>
      </c>
      <c r="T136" s="4">
        <f t="shared" si="43"/>
        <v>81.26837055023223</v>
      </c>
      <c r="U136" s="4">
        <f t="shared" si="43"/>
        <v>83.7064216667392</v>
      </c>
      <c r="V136" s="4">
        <f t="shared" si="43"/>
        <v>86.21761431674138</v>
      </c>
    </row>
    <row r="137" spans="1:22" ht="11.25">
      <c r="A137" s="12" t="s">
        <v>89</v>
      </c>
      <c r="F137" s="4">
        <f t="shared" si="42"/>
        <v>4643</v>
      </c>
      <c r="G137" s="4">
        <f t="shared" si="42"/>
        <v>1900</v>
      </c>
      <c r="H137" s="4">
        <f t="shared" si="42"/>
        <v>1400</v>
      </c>
      <c r="I137" s="4">
        <f t="shared" si="42"/>
        <v>2000</v>
      </c>
      <c r="J137" s="4">
        <f t="shared" si="42"/>
        <v>2200</v>
      </c>
      <c r="K137" s="4">
        <f>J137*(1+$B$6)</f>
        <v>2266</v>
      </c>
      <c r="L137" s="4">
        <f t="shared" si="43"/>
        <v>2333.98</v>
      </c>
      <c r="M137" s="4">
        <f t="shared" si="43"/>
        <v>2403.9994</v>
      </c>
      <c r="N137" s="4">
        <f t="shared" si="43"/>
        <v>2476.1193820000003</v>
      </c>
      <c r="O137" s="4">
        <f t="shared" si="43"/>
        <v>2550.4029634600006</v>
      </c>
      <c r="P137" s="4">
        <f t="shared" si="43"/>
        <v>2626.915052363801</v>
      </c>
      <c r="Q137" s="4">
        <f t="shared" si="43"/>
        <v>2705.722503934715</v>
      </c>
      <c r="R137" s="4">
        <f t="shared" si="43"/>
        <v>2786.8941790527565</v>
      </c>
      <c r="S137" s="4">
        <f t="shared" si="43"/>
        <v>2870.501004424339</v>
      </c>
      <c r="T137" s="4">
        <f t="shared" si="43"/>
        <v>2956.6160345570693</v>
      </c>
      <c r="U137" s="4">
        <f t="shared" si="43"/>
        <v>3045.3145155937814</v>
      </c>
      <c r="V137" s="4">
        <f t="shared" si="43"/>
        <v>3136.673951061595</v>
      </c>
    </row>
    <row r="138" spans="1:22" ht="11.25">
      <c r="A138" s="7" t="s">
        <v>232</v>
      </c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:22" ht="11.25">
      <c r="A139" s="12" t="s">
        <v>233</v>
      </c>
      <c r="F139" s="120">
        <f>IF($B$68=TRUE,F132*$B67/(1+$B67),F132*$B67)</f>
        <v>13.184000000000001</v>
      </c>
      <c r="G139" s="120">
        <f aca="true" t="shared" si="44" ref="G139:V139">IF($B$68=TRUE,G132*$B67/(1+$B67),G132*$B67)</f>
        <v>84.87200000000001</v>
      </c>
      <c r="H139" s="120">
        <f t="shared" si="44"/>
        <v>163.90905</v>
      </c>
      <c r="I139" s="120">
        <f t="shared" si="44"/>
        <v>191.33649770000002</v>
      </c>
      <c r="J139" s="120">
        <f t="shared" si="44"/>
        <v>208.66933337400002</v>
      </c>
      <c r="K139" s="120">
        <f t="shared" si="44"/>
        <v>214.92941337522004</v>
      </c>
      <c r="L139" s="120">
        <f t="shared" si="44"/>
        <v>221.37729577647661</v>
      </c>
      <c r="M139" s="120">
        <f t="shared" si="44"/>
        <v>228.01861464977097</v>
      </c>
      <c r="N139" s="120">
        <f t="shared" si="44"/>
        <v>234.85917308926412</v>
      </c>
      <c r="O139" s="120">
        <f t="shared" si="44"/>
        <v>241.904948281942</v>
      </c>
      <c r="P139" s="120">
        <f t="shared" si="44"/>
        <v>249.16209673040032</v>
      </c>
      <c r="Q139" s="120">
        <f t="shared" si="44"/>
        <v>256.6369596323123</v>
      </c>
      <c r="R139" s="120">
        <f t="shared" si="44"/>
        <v>264.33606842128165</v>
      </c>
      <c r="S139" s="120">
        <f t="shared" si="44"/>
        <v>272.26615047392016</v>
      </c>
      <c r="T139" s="120">
        <f t="shared" si="44"/>
        <v>280.43413498813777</v>
      </c>
      <c r="U139" s="120">
        <f t="shared" si="44"/>
        <v>288.8471590377819</v>
      </c>
      <c r="V139" s="120">
        <f t="shared" si="44"/>
        <v>297.51257380891536</v>
      </c>
    </row>
    <row r="140" spans="1:22" ht="11.25">
      <c r="A140" s="12" t="s">
        <v>234</v>
      </c>
      <c r="F140" s="120">
        <f>IF($B$68=TRUE,F137*$B67/(1+$B67),F137*$B67)</f>
        <v>464.3</v>
      </c>
      <c r="G140" s="120">
        <f aca="true" t="shared" si="45" ref="G140:V140">IF($B$68=TRUE,G137*$B67/(1+$B67),G137*$B67)</f>
        <v>190</v>
      </c>
      <c r="H140" s="120">
        <f t="shared" si="45"/>
        <v>140</v>
      </c>
      <c r="I140" s="120">
        <f t="shared" si="45"/>
        <v>200</v>
      </c>
      <c r="J140" s="120">
        <f t="shared" si="45"/>
        <v>220</v>
      </c>
      <c r="K140" s="120">
        <f t="shared" si="45"/>
        <v>226.60000000000002</v>
      </c>
      <c r="L140" s="120">
        <f t="shared" si="45"/>
        <v>233.39800000000002</v>
      </c>
      <c r="M140" s="120">
        <f t="shared" si="45"/>
        <v>240.39994000000002</v>
      </c>
      <c r="N140" s="120">
        <f t="shared" si="45"/>
        <v>247.61193820000005</v>
      </c>
      <c r="O140" s="120">
        <f t="shared" si="45"/>
        <v>255.04029634600008</v>
      </c>
      <c r="P140" s="120">
        <f t="shared" si="45"/>
        <v>262.6915052363801</v>
      </c>
      <c r="Q140" s="120">
        <f t="shared" si="45"/>
        <v>270.5722503934715</v>
      </c>
      <c r="R140" s="120">
        <f t="shared" si="45"/>
        <v>278.68941790527566</v>
      </c>
      <c r="S140" s="120">
        <f t="shared" si="45"/>
        <v>287.0501004424339</v>
      </c>
      <c r="T140" s="120">
        <f t="shared" si="45"/>
        <v>295.66160345570694</v>
      </c>
      <c r="U140" s="120">
        <f t="shared" si="45"/>
        <v>304.5314515593781</v>
      </c>
      <c r="V140" s="120">
        <f t="shared" si="45"/>
        <v>313.6673951061595</v>
      </c>
    </row>
    <row r="141" spans="1:22" ht="11.25">
      <c r="A141" s="12" t="s">
        <v>272</v>
      </c>
      <c r="F141" s="120">
        <f>IF($B$69=1,0,F126*F71)</f>
        <v>42.66666666666667</v>
      </c>
      <c r="G141" s="120">
        <f aca="true" t="shared" si="46" ref="G141:V141">IF($B$69=1,0,G126*G71)</f>
        <v>266.6666666666667</v>
      </c>
      <c r="H141" s="120">
        <f t="shared" si="46"/>
        <v>200.00000000000003</v>
      </c>
      <c r="I141" s="120">
        <f t="shared" si="46"/>
        <v>226.66666666666666</v>
      </c>
      <c r="J141" s="120">
        <f t="shared" si="46"/>
        <v>240</v>
      </c>
      <c r="K141" s="120">
        <f t="shared" si="46"/>
        <v>247.20000000000002</v>
      </c>
      <c r="L141" s="120">
        <f t="shared" si="46"/>
        <v>254.61599999999999</v>
      </c>
      <c r="M141" s="120">
        <f t="shared" si="46"/>
        <v>262.25448</v>
      </c>
      <c r="N141" s="120">
        <f t="shared" si="46"/>
        <v>270.1221144</v>
      </c>
      <c r="O141" s="120">
        <f t="shared" si="46"/>
        <v>278.22577783200006</v>
      </c>
      <c r="P141" s="120">
        <f t="shared" si="46"/>
        <v>286.57255116696007</v>
      </c>
      <c r="Q141" s="120">
        <f t="shared" si="46"/>
        <v>295.16972770196884</v>
      </c>
      <c r="R141" s="120">
        <f t="shared" si="46"/>
        <v>304.02481953302777</v>
      </c>
      <c r="S141" s="120">
        <f t="shared" si="46"/>
        <v>313.14556411901884</v>
      </c>
      <c r="T141" s="120">
        <f t="shared" si="46"/>
        <v>322.5399310425894</v>
      </c>
      <c r="U141" s="120">
        <f t="shared" si="46"/>
        <v>332.21612897386694</v>
      </c>
      <c r="V141" s="120">
        <f t="shared" si="46"/>
        <v>342.1826128430829</v>
      </c>
    </row>
    <row r="142" spans="1:22" ht="12">
      <c r="A142" s="34" t="s">
        <v>114</v>
      </c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:22" ht="12">
      <c r="A143" s="34"/>
      <c r="B143" s="2" t="s">
        <v>116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:22" ht="11.25">
      <c r="A144" s="40">
        <v>2000</v>
      </c>
      <c r="B144" s="4">
        <f>SUM(C86:G86)</f>
        <v>66135.9</v>
      </c>
      <c r="F144" s="4"/>
      <c r="G144" s="4">
        <f>$B144/$B$55</f>
        <v>3306.7949999999996</v>
      </c>
      <c r="H144" s="4">
        <f aca="true" t="shared" si="47" ref="H144:U144">$B144/$B$55</f>
        <v>3306.7949999999996</v>
      </c>
      <c r="I144" s="4">
        <f t="shared" si="47"/>
        <v>3306.7949999999996</v>
      </c>
      <c r="J144" s="4">
        <f t="shared" si="47"/>
        <v>3306.7949999999996</v>
      </c>
      <c r="K144" s="4">
        <f t="shared" si="47"/>
        <v>3306.7949999999996</v>
      </c>
      <c r="L144" s="4">
        <f t="shared" si="47"/>
        <v>3306.7949999999996</v>
      </c>
      <c r="M144" s="4">
        <f t="shared" si="47"/>
        <v>3306.7949999999996</v>
      </c>
      <c r="N144" s="4">
        <f t="shared" si="47"/>
        <v>3306.7949999999996</v>
      </c>
      <c r="O144" s="4">
        <f t="shared" si="47"/>
        <v>3306.7949999999996</v>
      </c>
      <c r="P144" s="4">
        <f t="shared" si="47"/>
        <v>3306.7949999999996</v>
      </c>
      <c r="Q144" s="4">
        <f t="shared" si="47"/>
        <v>3306.7949999999996</v>
      </c>
      <c r="R144" s="4">
        <f t="shared" si="47"/>
        <v>3306.7949999999996</v>
      </c>
      <c r="S144" s="4">
        <f t="shared" si="47"/>
        <v>3306.7949999999996</v>
      </c>
      <c r="T144" s="4">
        <f t="shared" si="47"/>
        <v>3306.7949999999996</v>
      </c>
      <c r="U144" s="4">
        <f t="shared" si="47"/>
        <v>3306.7949999999996</v>
      </c>
      <c r="V144" s="120"/>
    </row>
    <row r="145" spans="1:22" ht="11.25">
      <c r="A145" s="40">
        <v>2001</v>
      </c>
      <c r="B145" s="4">
        <f>H86</f>
        <v>3306.795</v>
      </c>
      <c r="F145" s="4"/>
      <c r="G145" s="4"/>
      <c r="H145" s="4">
        <f aca="true" t="shared" si="48" ref="H145:V145">$B145/$B$55</f>
        <v>165.33975</v>
      </c>
      <c r="I145" s="4">
        <f t="shared" si="48"/>
        <v>165.33975</v>
      </c>
      <c r="J145" s="4">
        <f t="shared" si="48"/>
        <v>165.33975</v>
      </c>
      <c r="K145" s="4">
        <f t="shared" si="48"/>
        <v>165.33975</v>
      </c>
      <c r="L145" s="4">
        <f t="shared" si="48"/>
        <v>165.33975</v>
      </c>
      <c r="M145" s="4">
        <f t="shared" si="48"/>
        <v>165.33975</v>
      </c>
      <c r="N145" s="4">
        <f t="shared" si="48"/>
        <v>165.33975</v>
      </c>
      <c r="O145" s="4">
        <f t="shared" si="48"/>
        <v>165.33975</v>
      </c>
      <c r="P145" s="4">
        <f t="shared" si="48"/>
        <v>165.33975</v>
      </c>
      <c r="Q145" s="4">
        <f t="shared" si="48"/>
        <v>165.33975</v>
      </c>
      <c r="R145" s="4">
        <f t="shared" si="48"/>
        <v>165.33975</v>
      </c>
      <c r="S145" s="4">
        <f t="shared" si="48"/>
        <v>165.33975</v>
      </c>
      <c r="T145" s="4">
        <f t="shared" si="48"/>
        <v>165.33975</v>
      </c>
      <c r="U145" s="4">
        <f t="shared" si="48"/>
        <v>165.33975</v>
      </c>
      <c r="V145" s="4">
        <f t="shared" si="48"/>
        <v>165.33975</v>
      </c>
    </row>
    <row r="146" spans="1:22" ht="11.25">
      <c r="A146" s="40">
        <v>2002</v>
      </c>
      <c r="B146" s="4">
        <f aca="true" t="shared" si="49" ref="B146:B159">B145*(1+$B$6)</f>
        <v>3405.99885</v>
      </c>
      <c r="F146" s="4"/>
      <c r="G146" s="4"/>
      <c r="H146" s="4"/>
      <c r="I146" s="4">
        <f aca="true" t="shared" si="50" ref="I146:V146">$B146/$B$55</f>
        <v>170.2999425</v>
      </c>
      <c r="J146" s="4">
        <f t="shared" si="50"/>
        <v>170.2999425</v>
      </c>
      <c r="K146" s="4">
        <f t="shared" si="50"/>
        <v>170.2999425</v>
      </c>
      <c r="L146" s="4">
        <f t="shared" si="50"/>
        <v>170.2999425</v>
      </c>
      <c r="M146" s="4">
        <f t="shared" si="50"/>
        <v>170.2999425</v>
      </c>
      <c r="N146" s="4">
        <f t="shared" si="50"/>
        <v>170.2999425</v>
      </c>
      <c r="O146" s="4">
        <f t="shared" si="50"/>
        <v>170.2999425</v>
      </c>
      <c r="P146" s="4">
        <f t="shared" si="50"/>
        <v>170.2999425</v>
      </c>
      <c r="Q146" s="4">
        <f t="shared" si="50"/>
        <v>170.2999425</v>
      </c>
      <c r="R146" s="4">
        <f t="shared" si="50"/>
        <v>170.2999425</v>
      </c>
      <c r="S146" s="4">
        <f t="shared" si="50"/>
        <v>170.2999425</v>
      </c>
      <c r="T146" s="4">
        <f t="shared" si="50"/>
        <v>170.2999425</v>
      </c>
      <c r="U146" s="4">
        <f t="shared" si="50"/>
        <v>170.2999425</v>
      </c>
      <c r="V146" s="4">
        <f t="shared" si="50"/>
        <v>170.2999425</v>
      </c>
    </row>
    <row r="147" spans="1:23" ht="11.25">
      <c r="A147" s="40">
        <v>2003</v>
      </c>
      <c r="B147" s="4">
        <f t="shared" si="49"/>
        <v>3508.1788155</v>
      </c>
      <c r="F147" s="4"/>
      <c r="G147" s="4"/>
      <c r="H147" s="4"/>
      <c r="I147" s="4"/>
      <c r="J147" s="4">
        <f aca="true" t="shared" si="51" ref="J147:V147">$B147/$B$55</f>
        <v>175.408940775</v>
      </c>
      <c r="K147" s="4">
        <f t="shared" si="51"/>
        <v>175.408940775</v>
      </c>
      <c r="L147" s="4">
        <f t="shared" si="51"/>
        <v>175.408940775</v>
      </c>
      <c r="M147" s="4">
        <f t="shared" si="51"/>
        <v>175.408940775</v>
      </c>
      <c r="N147" s="4">
        <f t="shared" si="51"/>
        <v>175.408940775</v>
      </c>
      <c r="O147" s="4">
        <f t="shared" si="51"/>
        <v>175.408940775</v>
      </c>
      <c r="P147" s="4">
        <f t="shared" si="51"/>
        <v>175.408940775</v>
      </c>
      <c r="Q147" s="4">
        <f t="shared" si="51"/>
        <v>175.408940775</v>
      </c>
      <c r="R147" s="4">
        <f t="shared" si="51"/>
        <v>175.408940775</v>
      </c>
      <c r="S147" s="4">
        <f t="shared" si="51"/>
        <v>175.408940775</v>
      </c>
      <c r="T147" s="4">
        <f t="shared" si="51"/>
        <v>175.408940775</v>
      </c>
      <c r="U147" s="4">
        <f t="shared" si="51"/>
        <v>175.408940775</v>
      </c>
      <c r="V147" s="4">
        <f t="shared" si="51"/>
        <v>175.408940775</v>
      </c>
      <c r="W147" s="142"/>
    </row>
    <row r="148" spans="1:23" ht="11.25">
      <c r="A148" s="40">
        <v>2004</v>
      </c>
      <c r="B148" s="4">
        <f t="shared" si="49"/>
        <v>3613.424179965</v>
      </c>
      <c r="F148" s="4"/>
      <c r="G148" s="4"/>
      <c r="H148" s="4"/>
      <c r="I148" s="4"/>
      <c r="J148" s="4"/>
      <c r="K148" s="4">
        <f aca="true" t="shared" si="52" ref="K148:V148">$B148/$B$55</f>
        <v>180.67120899825</v>
      </c>
      <c r="L148" s="4">
        <f t="shared" si="52"/>
        <v>180.67120899825</v>
      </c>
      <c r="M148" s="4">
        <f t="shared" si="52"/>
        <v>180.67120899825</v>
      </c>
      <c r="N148" s="4">
        <f t="shared" si="52"/>
        <v>180.67120899825</v>
      </c>
      <c r="O148" s="4">
        <f t="shared" si="52"/>
        <v>180.67120899825</v>
      </c>
      <c r="P148" s="4">
        <f t="shared" si="52"/>
        <v>180.67120899825</v>
      </c>
      <c r="Q148" s="4">
        <f t="shared" si="52"/>
        <v>180.67120899825</v>
      </c>
      <c r="R148" s="4">
        <f t="shared" si="52"/>
        <v>180.67120899825</v>
      </c>
      <c r="S148" s="4">
        <f t="shared" si="52"/>
        <v>180.67120899825</v>
      </c>
      <c r="T148" s="4">
        <f t="shared" si="52"/>
        <v>180.67120899825</v>
      </c>
      <c r="U148" s="4">
        <f t="shared" si="52"/>
        <v>180.67120899825</v>
      </c>
      <c r="V148" s="4">
        <f t="shared" si="52"/>
        <v>180.67120899825</v>
      </c>
      <c r="W148" s="142"/>
    </row>
    <row r="149" spans="1:22" ht="11.25">
      <c r="A149" s="40">
        <v>2005</v>
      </c>
      <c r="B149" s="4">
        <f t="shared" si="49"/>
        <v>3721.82690536395</v>
      </c>
      <c r="F149" s="4"/>
      <c r="G149" s="4"/>
      <c r="H149" s="4"/>
      <c r="I149" s="4"/>
      <c r="J149" s="4"/>
      <c r="K149" s="4"/>
      <c r="L149" s="4">
        <f aca="true" t="shared" si="53" ref="L149:V149">$B149/$B$55</f>
        <v>186.0913452681975</v>
      </c>
      <c r="M149" s="4">
        <f t="shared" si="53"/>
        <v>186.0913452681975</v>
      </c>
      <c r="N149" s="4">
        <f t="shared" si="53"/>
        <v>186.0913452681975</v>
      </c>
      <c r="O149" s="4">
        <f t="shared" si="53"/>
        <v>186.0913452681975</v>
      </c>
      <c r="P149" s="4">
        <f t="shared" si="53"/>
        <v>186.0913452681975</v>
      </c>
      <c r="Q149" s="4">
        <f t="shared" si="53"/>
        <v>186.0913452681975</v>
      </c>
      <c r="R149" s="4">
        <f t="shared" si="53"/>
        <v>186.0913452681975</v>
      </c>
      <c r="S149" s="4">
        <f t="shared" si="53"/>
        <v>186.0913452681975</v>
      </c>
      <c r="T149" s="4">
        <f t="shared" si="53"/>
        <v>186.0913452681975</v>
      </c>
      <c r="U149" s="4">
        <f t="shared" si="53"/>
        <v>186.0913452681975</v>
      </c>
      <c r="V149" s="4">
        <f t="shared" si="53"/>
        <v>186.0913452681975</v>
      </c>
    </row>
    <row r="150" spans="1:22" ht="11.25">
      <c r="A150" s="40">
        <v>2006</v>
      </c>
      <c r="B150" s="4">
        <f t="shared" si="49"/>
        <v>3833.4817125248687</v>
      </c>
      <c r="F150" s="4"/>
      <c r="G150" s="4"/>
      <c r="H150" s="4"/>
      <c r="I150" s="4"/>
      <c r="J150" s="4"/>
      <c r="K150" s="4"/>
      <c r="L150" s="4"/>
      <c r="M150" s="4">
        <f aca="true" t="shared" si="54" ref="M150:V150">$B150/$B$55</f>
        <v>191.67408562624342</v>
      </c>
      <c r="N150" s="4">
        <f t="shared" si="54"/>
        <v>191.67408562624342</v>
      </c>
      <c r="O150" s="4">
        <f t="shared" si="54"/>
        <v>191.67408562624342</v>
      </c>
      <c r="P150" s="4">
        <f t="shared" si="54"/>
        <v>191.67408562624342</v>
      </c>
      <c r="Q150" s="4">
        <f t="shared" si="54"/>
        <v>191.67408562624342</v>
      </c>
      <c r="R150" s="4">
        <f t="shared" si="54"/>
        <v>191.67408562624342</v>
      </c>
      <c r="S150" s="4">
        <f t="shared" si="54"/>
        <v>191.67408562624342</v>
      </c>
      <c r="T150" s="4">
        <f t="shared" si="54"/>
        <v>191.67408562624342</v>
      </c>
      <c r="U150" s="4">
        <f t="shared" si="54"/>
        <v>191.67408562624342</v>
      </c>
      <c r="V150" s="4">
        <f t="shared" si="54"/>
        <v>191.67408562624342</v>
      </c>
    </row>
    <row r="151" spans="1:22" ht="11.25">
      <c r="A151" s="40">
        <v>2007</v>
      </c>
      <c r="B151" s="4">
        <f t="shared" si="49"/>
        <v>3948.486163900615</v>
      </c>
      <c r="F151" s="4"/>
      <c r="G151" s="4"/>
      <c r="H151" s="4"/>
      <c r="I151" s="4"/>
      <c r="J151" s="4"/>
      <c r="K151" s="4"/>
      <c r="L151" s="4"/>
      <c r="M151" s="4"/>
      <c r="N151" s="4">
        <f aca="true" t="shared" si="55" ref="N151:V151">$B151/$B$55</f>
        <v>197.42430819503073</v>
      </c>
      <c r="O151" s="4">
        <f t="shared" si="55"/>
        <v>197.42430819503073</v>
      </c>
      <c r="P151" s="4">
        <f t="shared" si="55"/>
        <v>197.42430819503073</v>
      </c>
      <c r="Q151" s="4">
        <f t="shared" si="55"/>
        <v>197.42430819503073</v>
      </c>
      <c r="R151" s="4">
        <f t="shared" si="55"/>
        <v>197.42430819503073</v>
      </c>
      <c r="S151" s="4">
        <f t="shared" si="55"/>
        <v>197.42430819503073</v>
      </c>
      <c r="T151" s="4">
        <f t="shared" si="55"/>
        <v>197.42430819503073</v>
      </c>
      <c r="U151" s="4">
        <f t="shared" si="55"/>
        <v>197.42430819503073</v>
      </c>
      <c r="V151" s="4">
        <f t="shared" si="55"/>
        <v>197.42430819503073</v>
      </c>
    </row>
    <row r="152" spans="1:22" ht="11.25">
      <c r="A152" s="40">
        <v>2008</v>
      </c>
      <c r="B152" s="4">
        <f t="shared" si="49"/>
        <v>4066.9407488176334</v>
      </c>
      <c r="F152" s="4"/>
      <c r="G152" s="4"/>
      <c r="H152" s="4"/>
      <c r="I152" s="4"/>
      <c r="J152" s="4"/>
      <c r="K152" s="4"/>
      <c r="L152" s="4"/>
      <c r="M152" s="4"/>
      <c r="N152" s="4"/>
      <c r="O152" s="4">
        <f aca="true" t="shared" si="56" ref="O152:V152">$B152/$B$55</f>
        <v>203.34703744088168</v>
      </c>
      <c r="P152" s="4">
        <f t="shared" si="56"/>
        <v>203.34703744088168</v>
      </c>
      <c r="Q152" s="4">
        <f t="shared" si="56"/>
        <v>203.34703744088168</v>
      </c>
      <c r="R152" s="4">
        <f t="shared" si="56"/>
        <v>203.34703744088168</v>
      </c>
      <c r="S152" s="4">
        <f t="shared" si="56"/>
        <v>203.34703744088168</v>
      </c>
      <c r="T152" s="4">
        <f t="shared" si="56"/>
        <v>203.34703744088168</v>
      </c>
      <c r="U152" s="4">
        <f t="shared" si="56"/>
        <v>203.34703744088168</v>
      </c>
      <c r="V152" s="4">
        <f t="shared" si="56"/>
        <v>203.34703744088168</v>
      </c>
    </row>
    <row r="153" spans="1:22" ht="11.25">
      <c r="A153" s="40">
        <v>2009</v>
      </c>
      <c r="B153" s="4">
        <f t="shared" si="49"/>
        <v>4188.948971282162</v>
      </c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>
        <f aca="true" t="shared" si="57" ref="P153:V153">$B153/$B$55</f>
        <v>209.44744856410813</v>
      </c>
      <c r="Q153" s="4">
        <f t="shared" si="57"/>
        <v>209.44744856410813</v>
      </c>
      <c r="R153" s="4">
        <f t="shared" si="57"/>
        <v>209.44744856410813</v>
      </c>
      <c r="S153" s="4">
        <f t="shared" si="57"/>
        <v>209.44744856410813</v>
      </c>
      <c r="T153" s="4">
        <f t="shared" si="57"/>
        <v>209.44744856410813</v>
      </c>
      <c r="U153" s="4">
        <f t="shared" si="57"/>
        <v>209.44744856410813</v>
      </c>
      <c r="V153" s="4">
        <f t="shared" si="57"/>
        <v>209.44744856410813</v>
      </c>
    </row>
    <row r="154" spans="1:22" ht="11.25">
      <c r="A154" s="40">
        <v>2010</v>
      </c>
      <c r="B154" s="4">
        <f t="shared" si="49"/>
        <v>4314.617440420628</v>
      </c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>
        <f aca="true" t="shared" si="58" ref="Q154:V154">$B154/$B$55</f>
        <v>215.7308720210314</v>
      </c>
      <c r="R154" s="4">
        <f t="shared" si="58"/>
        <v>215.7308720210314</v>
      </c>
      <c r="S154" s="4">
        <f t="shared" si="58"/>
        <v>215.7308720210314</v>
      </c>
      <c r="T154" s="4">
        <f t="shared" si="58"/>
        <v>215.7308720210314</v>
      </c>
      <c r="U154" s="4">
        <f t="shared" si="58"/>
        <v>215.7308720210314</v>
      </c>
      <c r="V154" s="4">
        <f t="shared" si="58"/>
        <v>215.7308720210314</v>
      </c>
    </row>
    <row r="155" spans="1:22" ht="11.25">
      <c r="A155" s="40">
        <v>2011</v>
      </c>
      <c r="B155" s="4">
        <f t="shared" si="49"/>
        <v>4444.055963633246</v>
      </c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>
        <f>$B155/$B$55</f>
        <v>222.20279818166233</v>
      </c>
      <c r="S155" s="4">
        <f>$B155/$B$55</f>
        <v>222.20279818166233</v>
      </c>
      <c r="T155" s="4">
        <f>$B155/$B$55</f>
        <v>222.20279818166233</v>
      </c>
      <c r="U155" s="4">
        <f>$B155/$B$55</f>
        <v>222.20279818166233</v>
      </c>
      <c r="V155" s="4">
        <f>$B155/$B$55</f>
        <v>222.20279818166233</v>
      </c>
    </row>
    <row r="156" spans="1:22" ht="11.25">
      <c r="A156" s="40">
        <v>2012</v>
      </c>
      <c r="B156" s="4">
        <f t="shared" si="49"/>
        <v>4577.377642542244</v>
      </c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>
        <f>$B156/$B$55</f>
        <v>228.8688821271122</v>
      </c>
      <c r="T156" s="4">
        <f>$B156/$B$55</f>
        <v>228.8688821271122</v>
      </c>
      <c r="U156" s="4">
        <f>$B156/$B$55</f>
        <v>228.8688821271122</v>
      </c>
      <c r="V156" s="4">
        <f>$B156/$B$55</f>
        <v>228.8688821271122</v>
      </c>
    </row>
    <row r="157" spans="1:22" ht="11.25">
      <c r="A157" s="40">
        <v>2013</v>
      </c>
      <c r="B157" s="4">
        <f t="shared" si="49"/>
        <v>4714.698971818511</v>
      </c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>
        <f>$B157/$B$55</f>
        <v>235.73494859092557</v>
      </c>
      <c r="U157" s="4">
        <f>$B157/$B$55</f>
        <v>235.73494859092557</v>
      </c>
      <c r="V157" s="4">
        <f>$B157/$B$55</f>
        <v>235.73494859092557</v>
      </c>
    </row>
    <row r="158" spans="1:22" ht="11.25">
      <c r="A158" s="40">
        <v>2014</v>
      </c>
      <c r="B158" s="4">
        <f t="shared" si="49"/>
        <v>4856.139940973067</v>
      </c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>
        <f>$B158/$B$55</f>
        <v>242.80699704865333</v>
      </c>
      <c r="V158" s="4">
        <f>$B158/$B$55</f>
        <v>242.80699704865333</v>
      </c>
    </row>
    <row r="159" spans="1:22" ht="11.25">
      <c r="A159" s="40">
        <v>2015</v>
      </c>
      <c r="B159" s="4">
        <f t="shared" si="49"/>
        <v>5001.824139202258</v>
      </c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>
        <f>$B159/$B$55</f>
        <v>250.0912069601129</v>
      </c>
    </row>
    <row r="160" spans="1:22" ht="11.25">
      <c r="A160" s="40" t="s">
        <v>12</v>
      </c>
      <c r="F160" s="150"/>
      <c r="G160" s="150">
        <f>SUM(G144:G159)</f>
        <v>3306.7949999999996</v>
      </c>
      <c r="H160" s="150">
        <f aca="true" t="shared" si="59" ref="H160:V160">SUM(H144:H159)</f>
        <v>3472.1347499999997</v>
      </c>
      <c r="I160" s="150">
        <f t="shared" si="59"/>
        <v>3642.4346924999995</v>
      </c>
      <c r="J160" s="150">
        <f t="shared" si="59"/>
        <v>3817.8436332749993</v>
      </c>
      <c r="K160" s="150">
        <f t="shared" si="59"/>
        <v>3998.514842273249</v>
      </c>
      <c r="L160" s="150">
        <f t="shared" si="59"/>
        <v>4184.606187541446</v>
      </c>
      <c r="M160" s="150">
        <f t="shared" si="59"/>
        <v>4376.280273167689</v>
      </c>
      <c r="N160" s="150">
        <f t="shared" si="59"/>
        <v>4573.70458136272</v>
      </c>
      <c r="O160" s="150">
        <f t="shared" si="59"/>
        <v>4777.051618803602</v>
      </c>
      <c r="P160" s="150">
        <f t="shared" si="59"/>
        <v>4986.49906736771</v>
      </c>
      <c r="Q160" s="150">
        <f t="shared" si="59"/>
        <v>5202.2299393887415</v>
      </c>
      <c r="R160" s="150">
        <f t="shared" si="59"/>
        <v>5424.432737570404</v>
      </c>
      <c r="S160" s="150">
        <f t="shared" si="59"/>
        <v>5653.301619697517</v>
      </c>
      <c r="T160" s="150">
        <f t="shared" si="59"/>
        <v>5889.036568288442</v>
      </c>
      <c r="U160" s="150">
        <f t="shared" si="59"/>
        <v>6131.843565337095</v>
      </c>
      <c r="V160" s="120">
        <f t="shared" si="59"/>
        <v>3075.1397722972088</v>
      </c>
    </row>
    <row r="161" spans="1:22" ht="11.25">
      <c r="A161" s="12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:5" ht="12">
      <c r="A162" s="1" t="s">
        <v>13</v>
      </c>
      <c r="B162" s="4"/>
      <c r="C162" s="4"/>
      <c r="D162" s="4"/>
      <c r="E162" s="4"/>
    </row>
    <row r="163" spans="1:22" ht="11.25">
      <c r="A163" s="2" t="s">
        <v>231</v>
      </c>
      <c r="B163" s="4"/>
      <c r="C163" s="4"/>
      <c r="D163" s="4"/>
      <c r="E163" s="4"/>
      <c r="F163" s="4">
        <f>F119</f>
        <v>2856.7051179839627</v>
      </c>
      <c r="G163" s="4">
        <f aca="true" t="shared" si="60" ref="G163:V163">G119</f>
        <v>18700.52308132875</v>
      </c>
      <c r="H163" s="4">
        <f t="shared" si="60"/>
        <v>36919.7595203125</v>
      </c>
      <c r="I163" s="4">
        <f t="shared" si="60"/>
        <v>44024.47497653637</v>
      </c>
      <c r="J163" s="4">
        <f t="shared" si="60"/>
        <v>49045.07789636053</v>
      </c>
      <c r="K163" s="4">
        <f t="shared" si="60"/>
        <v>51602.77870865574</v>
      </c>
      <c r="L163" s="4">
        <f t="shared" si="60"/>
        <v>54293.74866762792</v>
      </c>
      <c r="M163" s="4">
        <f t="shared" si="60"/>
        <v>55853.14707023195</v>
      </c>
      <c r="N163" s="4">
        <f t="shared" si="60"/>
        <v>57042.819102827896</v>
      </c>
      <c r="O163" s="4">
        <f t="shared" si="60"/>
        <v>58257.831149718135</v>
      </c>
      <c r="P163" s="4">
        <f t="shared" si="60"/>
        <v>59498.72295320713</v>
      </c>
      <c r="Q163" s="4">
        <f t="shared" si="60"/>
        <v>60765.07853364591</v>
      </c>
      <c r="R163" s="4">
        <f t="shared" si="60"/>
        <v>61495.5593427835</v>
      </c>
      <c r="S163" s="4">
        <f t="shared" si="60"/>
        <v>62049.019376868535</v>
      </c>
      <c r="T163" s="4">
        <f t="shared" si="60"/>
        <v>62607.460551260345</v>
      </c>
      <c r="U163" s="4">
        <f t="shared" si="60"/>
        <v>63170.92769622169</v>
      </c>
      <c r="V163" s="4">
        <f t="shared" si="60"/>
        <v>63739.46604548768</v>
      </c>
    </row>
    <row r="164" spans="1:22" ht="11.25">
      <c r="A164" s="147" t="s">
        <v>296</v>
      </c>
      <c r="B164" s="4"/>
      <c r="C164" s="4"/>
      <c r="D164" s="4"/>
      <c r="E164" s="4"/>
      <c r="F164" s="4">
        <f>F120</f>
        <v>285.6705117983961</v>
      </c>
      <c r="G164" s="4">
        <f aca="true" t="shared" si="61" ref="G164:V164">G120</f>
        <v>1870.0523081328756</v>
      </c>
      <c r="H164" s="4">
        <f t="shared" si="61"/>
        <v>3691.975952031251</v>
      </c>
      <c r="I164" s="4">
        <f t="shared" si="61"/>
        <v>4402.447497653637</v>
      </c>
      <c r="J164" s="4">
        <f t="shared" si="61"/>
        <v>4904.507789636053</v>
      </c>
      <c r="K164" s="4">
        <f t="shared" si="61"/>
        <v>5160.277870865575</v>
      </c>
      <c r="L164" s="4">
        <f t="shared" si="61"/>
        <v>5429.374866762788</v>
      </c>
      <c r="M164" s="4">
        <f t="shared" si="61"/>
        <v>5585.3147070231935</v>
      </c>
      <c r="N164" s="4">
        <f t="shared" si="61"/>
        <v>5704.281910282785</v>
      </c>
      <c r="O164" s="4">
        <f t="shared" si="61"/>
        <v>5825.783114971811</v>
      </c>
      <c r="P164" s="4">
        <f t="shared" si="61"/>
        <v>5949.872295320711</v>
      </c>
      <c r="Q164" s="4">
        <f t="shared" si="61"/>
        <v>6076.5078533645865</v>
      </c>
      <c r="R164" s="4">
        <f t="shared" si="61"/>
        <v>6149.555934278345</v>
      </c>
      <c r="S164" s="4">
        <f t="shared" si="61"/>
        <v>6204.901937686853</v>
      </c>
      <c r="T164" s="4">
        <f t="shared" si="61"/>
        <v>6260.74605512603</v>
      </c>
      <c r="U164" s="4">
        <f t="shared" si="61"/>
        <v>6317.09276962217</v>
      </c>
      <c r="V164" s="4">
        <f t="shared" si="61"/>
        <v>6373.946604548764</v>
      </c>
    </row>
    <row r="165" spans="1:22" ht="11.25">
      <c r="A165" s="2" t="s">
        <v>228</v>
      </c>
      <c r="B165" s="4"/>
      <c r="C165" s="4"/>
      <c r="D165" s="4"/>
      <c r="E165" s="4"/>
      <c r="F165" s="4">
        <f>F121</f>
        <v>2571.0346061855666</v>
      </c>
      <c r="G165" s="4">
        <f aca="true" t="shared" si="62" ref="G165:V165">G121</f>
        <v>16830.470773195873</v>
      </c>
      <c r="H165" s="4">
        <f t="shared" si="62"/>
        <v>33227.78356828125</v>
      </c>
      <c r="I165" s="4">
        <f t="shared" si="62"/>
        <v>39622.02747888273</v>
      </c>
      <c r="J165" s="4">
        <f t="shared" si="62"/>
        <v>44140.57010672448</v>
      </c>
      <c r="K165" s="4">
        <f t="shared" si="62"/>
        <v>46442.50083779016</v>
      </c>
      <c r="L165" s="4">
        <f t="shared" si="62"/>
        <v>48864.373800865134</v>
      </c>
      <c r="M165" s="4">
        <f t="shared" si="62"/>
        <v>50267.832363208756</v>
      </c>
      <c r="N165" s="4">
        <f t="shared" si="62"/>
        <v>51338.53719254511</v>
      </c>
      <c r="O165" s="4">
        <f t="shared" si="62"/>
        <v>52432.04803474632</v>
      </c>
      <c r="P165" s="4">
        <f t="shared" si="62"/>
        <v>53548.85065788642</v>
      </c>
      <c r="Q165" s="4">
        <f t="shared" si="62"/>
        <v>54688.57068028132</v>
      </c>
      <c r="R165" s="4">
        <f t="shared" si="62"/>
        <v>55346.00340850515</v>
      </c>
      <c r="S165" s="4">
        <f t="shared" si="62"/>
        <v>55844.11743918168</v>
      </c>
      <c r="T165" s="4">
        <f t="shared" si="62"/>
        <v>56346.714496134315</v>
      </c>
      <c r="U165" s="4">
        <f t="shared" si="62"/>
        <v>56853.83492659952</v>
      </c>
      <c r="V165" s="4">
        <f t="shared" si="62"/>
        <v>57365.519440938915</v>
      </c>
    </row>
    <row r="166" spans="2:22" ht="11.2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:22" ht="11.25">
      <c r="A167" s="2" t="s">
        <v>11</v>
      </c>
      <c r="B167" s="4"/>
      <c r="C167" s="4"/>
      <c r="D167" s="4"/>
      <c r="E167" s="4"/>
      <c r="F167" s="4">
        <f aca="true" t="shared" si="63" ref="F167:V167">F126</f>
        <v>853.3333333333334</v>
      </c>
      <c r="G167" s="4">
        <f t="shared" si="63"/>
        <v>5333.333333333333</v>
      </c>
      <c r="H167" s="4">
        <f t="shared" si="63"/>
        <v>10000.000000000002</v>
      </c>
      <c r="I167" s="4">
        <f t="shared" si="63"/>
        <v>11333.333333333332</v>
      </c>
      <c r="J167" s="4">
        <f t="shared" si="63"/>
        <v>12000</v>
      </c>
      <c r="K167" s="4">
        <f t="shared" si="63"/>
        <v>12360</v>
      </c>
      <c r="L167" s="4">
        <f t="shared" si="63"/>
        <v>12730.8</v>
      </c>
      <c r="M167" s="4">
        <f t="shared" si="63"/>
        <v>13112.724</v>
      </c>
      <c r="N167" s="4">
        <f t="shared" si="63"/>
        <v>13506.10572</v>
      </c>
      <c r="O167" s="4">
        <f t="shared" si="63"/>
        <v>13911.288891600003</v>
      </c>
      <c r="P167" s="4">
        <f t="shared" si="63"/>
        <v>14328.627558348002</v>
      </c>
      <c r="Q167" s="4">
        <f t="shared" si="63"/>
        <v>14758.486385098442</v>
      </c>
      <c r="R167" s="4">
        <f t="shared" si="63"/>
        <v>15201.240976651388</v>
      </c>
      <c r="S167" s="4">
        <f t="shared" si="63"/>
        <v>15657.27820595094</v>
      </c>
      <c r="T167" s="4">
        <f t="shared" si="63"/>
        <v>16126.996552129469</v>
      </c>
      <c r="U167" s="4">
        <f t="shared" si="63"/>
        <v>16610.806448693347</v>
      </c>
      <c r="V167" s="4">
        <f t="shared" si="63"/>
        <v>17109.130642154145</v>
      </c>
    </row>
    <row r="168" spans="1:22" ht="11.25">
      <c r="A168" s="2" t="s">
        <v>117</v>
      </c>
      <c r="B168" s="4"/>
      <c r="C168" s="4"/>
      <c r="D168" s="4"/>
      <c r="E168" s="4"/>
      <c r="F168" s="4">
        <f aca="true" t="shared" si="64" ref="F168:V168">F129+F132</f>
        <v>1098.74</v>
      </c>
      <c r="G168" s="4">
        <f t="shared" si="64"/>
        <v>1787.72</v>
      </c>
      <c r="H168" s="4">
        <f t="shared" si="64"/>
        <v>2550.1905</v>
      </c>
      <c r="I168" s="4">
        <f t="shared" si="64"/>
        <v>2858.364977</v>
      </c>
      <c r="J168" s="4">
        <f t="shared" si="64"/>
        <v>3016.69333374</v>
      </c>
      <c r="K168" s="4">
        <f t="shared" si="64"/>
        <v>3107.1941337522003</v>
      </c>
      <c r="L168" s="4">
        <f t="shared" si="64"/>
        <v>3200.4099577647657</v>
      </c>
      <c r="M168" s="4">
        <f t="shared" si="64"/>
        <v>3296.42225649771</v>
      </c>
      <c r="N168" s="4">
        <f t="shared" si="64"/>
        <v>3395.3149241926412</v>
      </c>
      <c r="O168" s="4">
        <f t="shared" si="64"/>
        <v>3497.17437191842</v>
      </c>
      <c r="P168" s="4">
        <f t="shared" si="64"/>
        <v>3602.089603075973</v>
      </c>
      <c r="Q168" s="4">
        <f t="shared" si="64"/>
        <v>3710.1522911682523</v>
      </c>
      <c r="R168" s="4">
        <f t="shared" si="64"/>
        <v>3821.4568599032996</v>
      </c>
      <c r="S168" s="4">
        <f t="shared" si="64"/>
        <v>3936.100565700399</v>
      </c>
      <c r="T168" s="4">
        <f t="shared" si="64"/>
        <v>4054.183582671411</v>
      </c>
      <c r="U168" s="4">
        <f t="shared" si="64"/>
        <v>4175.809090151553</v>
      </c>
      <c r="V168" s="4">
        <f t="shared" si="64"/>
        <v>4301.0833628561</v>
      </c>
    </row>
    <row r="169" spans="1:22" ht="11.25">
      <c r="A169" s="2" t="s">
        <v>19</v>
      </c>
      <c r="B169" s="4"/>
      <c r="C169" s="4"/>
      <c r="D169" s="4"/>
      <c r="E169" s="4"/>
      <c r="F169" s="4">
        <f>SUM(F134:F137)</f>
        <v>5711.6</v>
      </c>
      <c r="G169" s="4">
        <f>SUM(G134:G137)</f>
        <v>3109</v>
      </c>
      <c r="H169" s="4">
        <f aca="true" t="shared" si="65" ref="H169:V169">SUM(H134:H137)</f>
        <v>2587</v>
      </c>
      <c r="I169" s="4">
        <f t="shared" si="65"/>
        <v>3243.71</v>
      </c>
      <c r="J169" s="4">
        <f t="shared" si="65"/>
        <v>3500.4713</v>
      </c>
      <c r="K169" s="4">
        <f t="shared" si="65"/>
        <v>3605.485439</v>
      </c>
      <c r="L169" s="4">
        <f t="shared" si="65"/>
        <v>3713.6500021700003</v>
      </c>
      <c r="M169" s="4">
        <f t="shared" si="65"/>
        <v>3825.0595022351004</v>
      </c>
      <c r="N169" s="4">
        <f t="shared" si="65"/>
        <v>3939.8112873021537</v>
      </c>
      <c r="O169" s="4">
        <f t="shared" si="65"/>
        <v>4058.0056259212183</v>
      </c>
      <c r="P169" s="4">
        <f t="shared" si="65"/>
        <v>4179.745794698855</v>
      </c>
      <c r="Q169" s="4">
        <f t="shared" si="65"/>
        <v>4305.138168539821</v>
      </c>
      <c r="R169" s="4">
        <f t="shared" si="65"/>
        <v>4434.292313596015</v>
      </c>
      <c r="S169" s="4">
        <f t="shared" si="65"/>
        <v>4567.321083003896</v>
      </c>
      <c r="T169" s="4">
        <f t="shared" si="65"/>
        <v>4704.340715494013</v>
      </c>
      <c r="U169" s="4">
        <f t="shared" si="65"/>
        <v>4845.470936958834</v>
      </c>
      <c r="V169" s="4">
        <f t="shared" si="65"/>
        <v>4990.835065067598</v>
      </c>
    </row>
    <row r="170" spans="1:22" ht="11.25">
      <c r="A170" s="147" t="s">
        <v>297</v>
      </c>
      <c r="B170" s="4"/>
      <c r="C170" s="4"/>
      <c r="D170" s="4"/>
      <c r="E170" s="4"/>
      <c r="F170" s="4">
        <f>-SUM(F139:F141)</f>
        <v>-520.1506666666667</v>
      </c>
      <c r="G170" s="4">
        <f aca="true" t="shared" si="66" ref="G170:V170">-SUM(G139:G141)</f>
        <v>-541.5386666666667</v>
      </c>
      <c r="H170" s="4">
        <f t="shared" si="66"/>
        <v>-503.90905</v>
      </c>
      <c r="I170" s="4">
        <f t="shared" si="66"/>
        <v>-618.0031643666666</v>
      </c>
      <c r="J170" s="4">
        <f t="shared" si="66"/>
        <v>-668.669333374</v>
      </c>
      <c r="K170" s="4">
        <f t="shared" si="66"/>
        <v>-688.7294133752201</v>
      </c>
      <c r="L170" s="4">
        <f t="shared" si="66"/>
        <v>-709.3912957764767</v>
      </c>
      <c r="M170" s="4">
        <f t="shared" si="66"/>
        <v>-730.6730346497709</v>
      </c>
      <c r="N170" s="4">
        <f t="shared" si="66"/>
        <v>-752.5932256892642</v>
      </c>
      <c r="O170" s="4">
        <f t="shared" si="66"/>
        <v>-775.1710224599422</v>
      </c>
      <c r="P170" s="4">
        <f t="shared" si="66"/>
        <v>-798.4261531337405</v>
      </c>
      <c r="Q170" s="4">
        <f t="shared" si="66"/>
        <v>-822.3789377277526</v>
      </c>
      <c r="R170" s="4">
        <f t="shared" si="66"/>
        <v>-847.050305859585</v>
      </c>
      <c r="S170" s="4">
        <f t="shared" si="66"/>
        <v>-872.4618150353729</v>
      </c>
      <c r="T170" s="4">
        <f t="shared" si="66"/>
        <v>-898.6356694864342</v>
      </c>
      <c r="U170" s="4">
        <f t="shared" si="66"/>
        <v>-925.594739571027</v>
      </c>
      <c r="V170" s="4">
        <f t="shared" si="66"/>
        <v>-953.3625817581577</v>
      </c>
    </row>
    <row r="171" spans="1:22" ht="11.25">
      <c r="A171" s="7" t="s">
        <v>14</v>
      </c>
      <c r="B171" s="4"/>
      <c r="C171" s="4"/>
      <c r="D171" s="4"/>
      <c r="E171" s="4"/>
      <c r="F171" s="4">
        <f>SUM(F167:F170)</f>
        <v>7143.522666666668</v>
      </c>
      <c r="G171" s="4">
        <f aca="true" t="shared" si="67" ref="G171:V171">SUM(G167:G170)</f>
        <v>9688.514666666666</v>
      </c>
      <c r="H171" s="4">
        <f t="shared" si="67"/>
        <v>14633.281450000002</v>
      </c>
      <c r="I171" s="4">
        <f t="shared" si="67"/>
        <v>16817.405145966666</v>
      </c>
      <c r="J171" s="4">
        <f t="shared" si="67"/>
        <v>17848.495300366</v>
      </c>
      <c r="K171" s="4">
        <f t="shared" si="67"/>
        <v>18383.950159376982</v>
      </c>
      <c r="L171" s="4">
        <f t="shared" si="67"/>
        <v>18935.46866415829</v>
      </c>
      <c r="M171" s="4">
        <f t="shared" si="67"/>
        <v>19503.53272408304</v>
      </c>
      <c r="N171" s="4">
        <f t="shared" si="67"/>
        <v>20088.63870580553</v>
      </c>
      <c r="O171" s="4">
        <f t="shared" si="67"/>
        <v>20691.2978669797</v>
      </c>
      <c r="P171" s="4">
        <f t="shared" si="67"/>
        <v>21312.03680298909</v>
      </c>
      <c r="Q171" s="4">
        <f t="shared" si="67"/>
        <v>21951.397907078765</v>
      </c>
      <c r="R171" s="4">
        <f t="shared" si="67"/>
        <v>22609.93984429112</v>
      </c>
      <c r="S171" s="4">
        <f t="shared" si="67"/>
        <v>23288.23803961986</v>
      </c>
      <c r="T171" s="4">
        <f t="shared" si="67"/>
        <v>23986.885180808462</v>
      </c>
      <c r="U171" s="4">
        <f t="shared" si="67"/>
        <v>24706.491736232707</v>
      </c>
      <c r="V171" s="4">
        <f t="shared" si="67"/>
        <v>25447.68648831969</v>
      </c>
    </row>
    <row r="172" spans="2:22" ht="11.2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:22" ht="11.25">
      <c r="A173" s="2" t="s">
        <v>278</v>
      </c>
      <c r="B173" s="4"/>
      <c r="C173" s="4"/>
      <c r="D173" s="4"/>
      <c r="E173" s="4"/>
      <c r="F173" s="4">
        <f aca="true" t="shared" si="68" ref="F173:V173">F165-F171</f>
        <v>-4572.488060481101</v>
      </c>
      <c r="G173" s="4">
        <f t="shared" si="68"/>
        <v>7141.956106529207</v>
      </c>
      <c r="H173" s="4">
        <f t="shared" si="68"/>
        <v>18594.50211828125</v>
      </c>
      <c r="I173" s="4">
        <f t="shared" si="68"/>
        <v>22804.622332916064</v>
      </c>
      <c r="J173" s="4">
        <f t="shared" si="68"/>
        <v>26292.07480635848</v>
      </c>
      <c r="K173" s="4">
        <f t="shared" si="68"/>
        <v>28058.55067841318</v>
      </c>
      <c r="L173" s="4">
        <f t="shared" si="68"/>
        <v>29928.905136706846</v>
      </c>
      <c r="M173" s="4">
        <f t="shared" si="68"/>
        <v>30764.299639125715</v>
      </c>
      <c r="N173" s="4">
        <f t="shared" si="68"/>
        <v>31249.89848673958</v>
      </c>
      <c r="O173" s="4">
        <f t="shared" si="68"/>
        <v>31740.750167766622</v>
      </c>
      <c r="P173" s="4">
        <f t="shared" si="68"/>
        <v>32236.81385489733</v>
      </c>
      <c r="Q173" s="4">
        <f t="shared" si="68"/>
        <v>32737.172773202557</v>
      </c>
      <c r="R173" s="4">
        <f t="shared" si="68"/>
        <v>32736.063564214033</v>
      </c>
      <c r="S173" s="4">
        <f t="shared" si="68"/>
        <v>32555.87939956182</v>
      </c>
      <c r="T173" s="4">
        <f t="shared" si="68"/>
        <v>32359.829315325853</v>
      </c>
      <c r="U173" s="4">
        <f t="shared" si="68"/>
        <v>32147.343190366813</v>
      </c>
      <c r="V173" s="4">
        <f t="shared" si="68"/>
        <v>31917.832952619225</v>
      </c>
    </row>
    <row r="174" spans="1:22" ht="11.25">
      <c r="A174" s="147" t="s">
        <v>295</v>
      </c>
      <c r="B174" s="4"/>
      <c r="C174" s="4"/>
      <c r="D174" s="4"/>
      <c r="E174" s="4"/>
      <c r="F174" s="4">
        <f>F160</f>
        <v>0</v>
      </c>
      <c r="G174" s="4">
        <f aca="true" t="shared" si="69" ref="G174:V174">G160</f>
        <v>3306.7949999999996</v>
      </c>
      <c r="H174" s="4">
        <f t="shared" si="69"/>
        <v>3472.1347499999997</v>
      </c>
      <c r="I174" s="4">
        <f t="shared" si="69"/>
        <v>3642.4346924999995</v>
      </c>
      <c r="J174" s="4">
        <f t="shared" si="69"/>
        <v>3817.8436332749993</v>
      </c>
      <c r="K174" s="4">
        <f t="shared" si="69"/>
        <v>3998.514842273249</v>
      </c>
      <c r="L174" s="4">
        <f t="shared" si="69"/>
        <v>4184.606187541446</v>
      </c>
      <c r="M174" s="4">
        <f t="shared" si="69"/>
        <v>4376.280273167689</v>
      </c>
      <c r="N174" s="4">
        <f t="shared" si="69"/>
        <v>4573.70458136272</v>
      </c>
      <c r="O174" s="4">
        <f t="shared" si="69"/>
        <v>4777.051618803602</v>
      </c>
      <c r="P174" s="4">
        <f t="shared" si="69"/>
        <v>4986.49906736771</v>
      </c>
      <c r="Q174" s="4">
        <f t="shared" si="69"/>
        <v>5202.2299393887415</v>
      </c>
      <c r="R174" s="4">
        <f t="shared" si="69"/>
        <v>5424.432737570404</v>
      </c>
      <c r="S174" s="4">
        <f t="shared" si="69"/>
        <v>5653.301619697517</v>
      </c>
      <c r="T174" s="4">
        <f t="shared" si="69"/>
        <v>5889.036568288442</v>
      </c>
      <c r="U174" s="4">
        <f t="shared" si="69"/>
        <v>6131.843565337095</v>
      </c>
      <c r="V174" s="4">
        <f t="shared" si="69"/>
        <v>3075.1397722972088</v>
      </c>
    </row>
    <row r="175" spans="1:22" ht="11.25">
      <c r="A175" s="2" t="s">
        <v>279</v>
      </c>
      <c r="B175" s="4"/>
      <c r="C175" s="4"/>
      <c r="D175" s="4"/>
      <c r="E175" s="4"/>
      <c r="F175" s="4">
        <f>F173-F174</f>
        <v>-4572.488060481101</v>
      </c>
      <c r="G175" s="4">
        <f aca="true" t="shared" si="70" ref="G175:V175">G173-G174</f>
        <v>3835.1611065292077</v>
      </c>
      <c r="H175" s="4">
        <f t="shared" si="70"/>
        <v>15122.36736828125</v>
      </c>
      <c r="I175" s="4">
        <f t="shared" si="70"/>
        <v>19162.187640416065</v>
      </c>
      <c r="J175" s="4">
        <f t="shared" si="70"/>
        <v>22474.23117308348</v>
      </c>
      <c r="K175" s="4">
        <f t="shared" si="70"/>
        <v>24060.03583613993</v>
      </c>
      <c r="L175" s="4">
        <f t="shared" si="70"/>
        <v>25744.2989491654</v>
      </c>
      <c r="M175" s="4">
        <f t="shared" si="70"/>
        <v>26388.019365958025</v>
      </c>
      <c r="N175" s="4">
        <f t="shared" si="70"/>
        <v>26676.193905376862</v>
      </c>
      <c r="O175" s="4">
        <f t="shared" si="70"/>
        <v>26963.69854896302</v>
      </c>
      <c r="P175" s="4">
        <f t="shared" si="70"/>
        <v>27250.31478752962</v>
      </c>
      <c r="Q175" s="4">
        <f t="shared" si="70"/>
        <v>27534.942833813817</v>
      </c>
      <c r="R175" s="4">
        <f t="shared" si="70"/>
        <v>27311.630826643628</v>
      </c>
      <c r="S175" s="4">
        <f t="shared" si="70"/>
        <v>26902.577779864303</v>
      </c>
      <c r="T175" s="4">
        <f t="shared" si="70"/>
        <v>26470.792747037412</v>
      </c>
      <c r="U175" s="4">
        <f t="shared" si="70"/>
        <v>26015.49962502972</v>
      </c>
      <c r="V175" s="4">
        <f t="shared" si="70"/>
        <v>28842.693180322014</v>
      </c>
    </row>
    <row r="176" spans="1:22" ht="11.25">
      <c r="A176" s="147" t="s">
        <v>294</v>
      </c>
      <c r="B176" s="4"/>
      <c r="C176" s="4"/>
      <c r="D176" s="4"/>
      <c r="E176" s="4"/>
      <c r="F176" s="4">
        <f>F31</f>
        <v>4500</v>
      </c>
      <c r="G176" s="4">
        <f>G31</f>
        <v>5600</v>
      </c>
      <c r="H176" s="4">
        <f>H110</f>
        <v>5593.749999999996</v>
      </c>
      <c r="I176" s="4">
        <f aca="true" t="shared" si="71" ref="I176:V176">I110</f>
        <v>5419.034090909087</v>
      </c>
      <c r="J176" s="4">
        <f t="shared" si="71"/>
        <v>4797.664141414138</v>
      </c>
      <c r="K176" s="4">
        <f t="shared" si="71"/>
        <v>3807.1338383838356</v>
      </c>
      <c r="L176" s="4">
        <f t="shared" si="71"/>
        <v>2719.3813131313113</v>
      </c>
      <c r="M176" s="4">
        <f t="shared" si="71"/>
        <v>1631.6287878787866</v>
      </c>
      <c r="N176" s="4">
        <f t="shared" si="71"/>
        <v>543.8762626262624</v>
      </c>
      <c r="O176" s="4">
        <f t="shared" si="71"/>
        <v>0</v>
      </c>
      <c r="P176" s="4">
        <f t="shared" si="71"/>
        <v>0</v>
      </c>
      <c r="Q176" s="4">
        <f t="shared" si="71"/>
        <v>0</v>
      </c>
      <c r="R176" s="4">
        <f t="shared" si="71"/>
        <v>0</v>
      </c>
      <c r="S176" s="4">
        <f t="shared" si="71"/>
        <v>0</v>
      </c>
      <c r="T176" s="4">
        <f t="shared" si="71"/>
        <v>0</v>
      </c>
      <c r="U176" s="4">
        <f t="shared" si="71"/>
        <v>0</v>
      </c>
      <c r="V176" s="4">
        <f t="shared" si="71"/>
        <v>0</v>
      </c>
    </row>
    <row r="177" spans="1:22" ht="11.25">
      <c r="A177" s="2" t="s">
        <v>280</v>
      </c>
      <c r="B177" s="4"/>
      <c r="C177" s="4"/>
      <c r="D177" s="4"/>
      <c r="E177" s="4"/>
      <c r="F177" s="4">
        <f>F175-F176</f>
        <v>-9072.4880604811</v>
      </c>
      <c r="G177" s="4">
        <f aca="true" t="shared" si="72" ref="G177:V177">G175-G176</f>
        <v>-1764.8388934707923</v>
      </c>
      <c r="H177" s="4">
        <f t="shared" si="72"/>
        <v>9528.617368281253</v>
      </c>
      <c r="I177" s="4">
        <f t="shared" si="72"/>
        <v>13743.153549506977</v>
      </c>
      <c r="J177" s="4">
        <f t="shared" si="72"/>
        <v>17676.567031669343</v>
      </c>
      <c r="K177" s="4">
        <f t="shared" si="72"/>
        <v>20252.901997756097</v>
      </c>
      <c r="L177" s="4">
        <f t="shared" si="72"/>
        <v>23024.91763603409</v>
      </c>
      <c r="M177" s="4">
        <f t="shared" si="72"/>
        <v>24756.390578079237</v>
      </c>
      <c r="N177" s="4">
        <f t="shared" si="72"/>
        <v>26132.3176427506</v>
      </c>
      <c r="O177" s="4">
        <f t="shared" si="72"/>
        <v>26963.69854896302</v>
      </c>
      <c r="P177" s="4">
        <f t="shared" si="72"/>
        <v>27250.31478752962</v>
      </c>
      <c r="Q177" s="4">
        <f t="shared" si="72"/>
        <v>27534.942833813817</v>
      </c>
      <c r="R177" s="4">
        <f t="shared" si="72"/>
        <v>27311.630826643628</v>
      </c>
      <c r="S177" s="4">
        <f t="shared" si="72"/>
        <v>26902.577779864303</v>
      </c>
      <c r="T177" s="4">
        <f t="shared" si="72"/>
        <v>26470.792747037412</v>
      </c>
      <c r="U177" s="4">
        <f t="shared" si="72"/>
        <v>26015.49962502972</v>
      </c>
      <c r="V177" s="4">
        <f t="shared" si="72"/>
        <v>28842.693180322014</v>
      </c>
    </row>
    <row r="178" spans="1:22" ht="11.25">
      <c r="A178" s="12" t="s">
        <v>281</v>
      </c>
      <c r="B178" s="4"/>
      <c r="C178" s="4"/>
      <c r="D178" s="4"/>
      <c r="E178" s="4"/>
      <c r="F178" s="19">
        <f>IF(AND(SUM($C$177:F177)&gt;0,A177&gt;0),$B$72,0)</f>
        <v>0</v>
      </c>
      <c r="G178" s="19">
        <f>IF(AND(SUM($C$177:G177)&gt;0,B177&gt;0),$B$72,0)</f>
        <v>0</v>
      </c>
      <c r="H178" s="19">
        <f>IF(AND(SUM($C$177:H177)&gt;0,C177&gt;0),$B$72,0)</f>
        <v>0</v>
      </c>
      <c r="I178" s="19">
        <f>IF(AND(SUM($C$177:I177)&gt;0,D177&gt;0),$B$72,0)</f>
        <v>0</v>
      </c>
      <c r="J178" s="19">
        <f>IF(AND(SUM($C$177:J177)&gt;0,E177&gt;0),$B$72,0)</f>
        <v>0</v>
      </c>
      <c r="K178" s="19">
        <f>IF(AND(SUM($C$177:K177)&gt;0,F177&gt;0),$B$72,0)</f>
        <v>0</v>
      </c>
      <c r="L178" s="19">
        <f>IF(AND(SUM($C$177:L177)&gt;0,G177&gt;0),$B$72,0)</f>
        <v>0</v>
      </c>
      <c r="M178" s="19">
        <f>IF(AND(SUM($C$177:M177)&gt;0,H177&gt;0),$B$72,0)</f>
        <v>0.25</v>
      </c>
      <c r="N178" s="19">
        <f>IF(AND(SUM($C$177:N177)&gt;0,I177&gt;0),$B$72,0)</f>
        <v>0.25</v>
      </c>
      <c r="O178" s="19">
        <f>IF(AND(SUM($C$177:O177)&gt;0,J177&gt;0),$B$72,0)</f>
        <v>0.25</v>
      </c>
      <c r="P178" s="19">
        <f>IF(AND(SUM($C$177:P177)&gt;0,K177&gt;0),$B$72,0)</f>
        <v>0.25</v>
      </c>
      <c r="Q178" s="19">
        <f>IF(AND(SUM($C$177:Q177)&gt;0,L177&gt;0),$B$72,0)</f>
        <v>0.25</v>
      </c>
      <c r="R178" s="19">
        <f>IF(AND(SUM($C$177:R177)&gt;0,M177&gt;0),$B$72,0)</f>
        <v>0.25</v>
      </c>
      <c r="S178" s="19">
        <f>IF(AND(SUM($C$177:S177)&gt;0,N177&gt;0),$B$72,0)</f>
        <v>0.25</v>
      </c>
      <c r="T178" s="19">
        <f>IF(AND(SUM($C$177:T177)&gt;0,O177&gt;0),$B$72,0)</f>
        <v>0.25</v>
      </c>
      <c r="U178" s="19">
        <f>IF(AND(SUM($C$177:U177)&gt;0,P177&gt;0),$B$72,0)</f>
        <v>0.25</v>
      </c>
      <c r="V178" s="19">
        <f>IF(AND(SUM($C$177:V177)&gt;0,Q177&gt;0),$B$72,0)</f>
        <v>0.25</v>
      </c>
    </row>
    <row r="179" spans="1:22" ht="11.25">
      <c r="A179" s="5" t="s">
        <v>277</v>
      </c>
      <c r="B179" s="4"/>
      <c r="C179" s="4"/>
      <c r="D179" s="4"/>
      <c r="E179" s="4"/>
      <c r="F179" s="4">
        <f aca="true" t="shared" si="73" ref="F179:V179">F178*F177</f>
        <v>0</v>
      </c>
      <c r="G179" s="4">
        <f t="shared" si="73"/>
        <v>0</v>
      </c>
      <c r="H179" s="4">
        <f t="shared" si="73"/>
        <v>0</v>
      </c>
      <c r="I179" s="4">
        <f t="shared" si="73"/>
        <v>0</v>
      </c>
      <c r="J179" s="4">
        <f t="shared" si="73"/>
        <v>0</v>
      </c>
      <c r="K179" s="4">
        <f t="shared" si="73"/>
        <v>0</v>
      </c>
      <c r="L179" s="4">
        <f t="shared" si="73"/>
        <v>0</v>
      </c>
      <c r="M179" s="4">
        <f t="shared" si="73"/>
        <v>6189.097644519809</v>
      </c>
      <c r="N179" s="4">
        <f t="shared" si="73"/>
        <v>6533.07941068765</v>
      </c>
      <c r="O179" s="4">
        <f t="shared" si="73"/>
        <v>6740.924637240755</v>
      </c>
      <c r="P179" s="4">
        <f t="shared" si="73"/>
        <v>6812.578696882405</v>
      </c>
      <c r="Q179" s="4">
        <f t="shared" si="73"/>
        <v>6883.735708453454</v>
      </c>
      <c r="R179" s="4">
        <f t="shared" si="73"/>
        <v>6827.907706660907</v>
      </c>
      <c r="S179" s="4">
        <f t="shared" si="73"/>
        <v>6725.644444966076</v>
      </c>
      <c r="T179" s="4">
        <f t="shared" si="73"/>
        <v>6617.698186759353</v>
      </c>
      <c r="U179" s="4">
        <f t="shared" si="73"/>
        <v>6503.87490625743</v>
      </c>
      <c r="V179" s="4">
        <f t="shared" si="73"/>
        <v>7210.6732950805035</v>
      </c>
    </row>
    <row r="180" spans="1:22" ht="11.25">
      <c r="A180" s="2" t="s">
        <v>121</v>
      </c>
      <c r="B180" s="4"/>
      <c r="C180" s="4"/>
      <c r="D180" s="4"/>
      <c r="E180" s="4"/>
      <c r="F180" s="4">
        <f aca="true" t="shared" si="74" ref="F180:V180">F177-F179</f>
        <v>-9072.4880604811</v>
      </c>
      <c r="G180" s="4">
        <f t="shared" si="74"/>
        <v>-1764.8388934707923</v>
      </c>
      <c r="H180" s="4">
        <f t="shared" si="74"/>
        <v>9528.617368281253</v>
      </c>
      <c r="I180" s="4">
        <f t="shared" si="74"/>
        <v>13743.153549506977</v>
      </c>
      <c r="J180" s="4">
        <f t="shared" si="74"/>
        <v>17676.567031669343</v>
      </c>
      <c r="K180" s="4">
        <f t="shared" si="74"/>
        <v>20252.901997756097</v>
      </c>
      <c r="L180" s="4">
        <f t="shared" si="74"/>
        <v>23024.91763603409</v>
      </c>
      <c r="M180" s="4">
        <f t="shared" si="74"/>
        <v>18567.292933559427</v>
      </c>
      <c r="N180" s="4">
        <f t="shared" si="74"/>
        <v>19599.23823206295</v>
      </c>
      <c r="O180" s="4">
        <f t="shared" si="74"/>
        <v>20222.773911722266</v>
      </c>
      <c r="P180" s="4">
        <f t="shared" si="74"/>
        <v>20437.736090647217</v>
      </c>
      <c r="Q180" s="4">
        <f t="shared" si="74"/>
        <v>20651.207125360364</v>
      </c>
      <c r="R180" s="4">
        <f t="shared" si="74"/>
        <v>20483.723119982722</v>
      </c>
      <c r="S180" s="4">
        <f t="shared" si="74"/>
        <v>20176.933334898225</v>
      </c>
      <c r="T180" s="4">
        <f t="shared" si="74"/>
        <v>19853.09456027806</v>
      </c>
      <c r="U180" s="4">
        <f t="shared" si="74"/>
        <v>19511.62471877229</v>
      </c>
      <c r="V180" s="4">
        <f t="shared" si="74"/>
        <v>21632.019885241512</v>
      </c>
    </row>
    <row r="181" spans="2:26" ht="11.25">
      <c r="B181" s="4"/>
      <c r="C181" s="4"/>
      <c r="D181" s="4"/>
      <c r="E181" s="4"/>
      <c r="X181" s="13"/>
      <c r="Y181" s="13"/>
      <c r="Z181" s="13"/>
    </row>
    <row r="182" spans="1:26" ht="12">
      <c r="A182" s="1" t="s">
        <v>118</v>
      </c>
      <c r="B182" s="4"/>
      <c r="C182" s="4"/>
      <c r="D182" s="4"/>
      <c r="E182" s="4"/>
      <c r="X182" s="13"/>
      <c r="Y182" s="13"/>
      <c r="Z182" s="13"/>
    </row>
    <row r="183" spans="1:23" s="4" customFormat="1" ht="11.25">
      <c r="A183" s="4" t="s">
        <v>120</v>
      </c>
      <c r="C183" s="4">
        <f>C56</f>
        <v>150</v>
      </c>
      <c r="D183" s="4">
        <f>D56</f>
        <v>710</v>
      </c>
      <c r="E183" s="4">
        <f>E56</f>
        <v>1340</v>
      </c>
      <c r="F183" s="4">
        <f>F56</f>
        <v>1650</v>
      </c>
      <c r="G183" s="4">
        <f aca="true" t="shared" si="75" ref="G183:V183">G119*$B$57</f>
        <v>1870.052308132875</v>
      </c>
      <c r="H183" s="4">
        <f t="shared" si="75"/>
        <v>3691.9759520312505</v>
      </c>
      <c r="I183" s="4">
        <f t="shared" si="75"/>
        <v>4402.447497653637</v>
      </c>
      <c r="J183" s="4">
        <f t="shared" si="75"/>
        <v>4904.5077896360535</v>
      </c>
      <c r="K183" s="4">
        <f t="shared" si="75"/>
        <v>5160.277870865574</v>
      </c>
      <c r="L183" s="4">
        <f t="shared" si="75"/>
        <v>5429.374866762792</v>
      </c>
      <c r="M183" s="4">
        <f t="shared" si="75"/>
        <v>5585.314707023195</v>
      </c>
      <c r="N183" s="4">
        <f t="shared" si="75"/>
        <v>5704.28191028279</v>
      </c>
      <c r="O183" s="4">
        <f t="shared" si="75"/>
        <v>5825.783114971814</v>
      </c>
      <c r="P183" s="4">
        <f t="shared" si="75"/>
        <v>5949.872295320713</v>
      </c>
      <c r="Q183" s="4">
        <f t="shared" si="75"/>
        <v>6076.507853364591</v>
      </c>
      <c r="R183" s="4">
        <f t="shared" si="75"/>
        <v>6149.55593427835</v>
      </c>
      <c r="S183" s="4">
        <f t="shared" si="75"/>
        <v>6204.901937686854</v>
      </c>
      <c r="T183" s="4">
        <f t="shared" si="75"/>
        <v>6260.746055126035</v>
      </c>
      <c r="U183" s="4">
        <f t="shared" si="75"/>
        <v>6317.09276962217</v>
      </c>
      <c r="V183" s="4">
        <f t="shared" si="75"/>
        <v>6373.946604548768</v>
      </c>
      <c r="W183" s="142"/>
    </row>
    <row r="184" spans="1:26" ht="11.25">
      <c r="A184" s="2" t="s">
        <v>20</v>
      </c>
      <c r="B184" s="4"/>
      <c r="C184" s="4">
        <f>C183</f>
        <v>150</v>
      </c>
      <c r="D184" s="4">
        <f>D183-C183</f>
        <v>560</v>
      </c>
      <c r="E184" s="4">
        <f aca="true" t="shared" si="76" ref="E184:V184">E183-D183</f>
        <v>630</v>
      </c>
      <c r="F184" s="4">
        <f t="shared" si="76"/>
        <v>310</v>
      </c>
      <c r="G184" s="4">
        <f t="shared" si="76"/>
        <v>220.05230813287494</v>
      </c>
      <c r="H184" s="4">
        <f t="shared" si="76"/>
        <v>1821.9236438983755</v>
      </c>
      <c r="I184" s="4">
        <f t="shared" si="76"/>
        <v>710.4715456223862</v>
      </c>
      <c r="J184" s="4">
        <f t="shared" si="76"/>
        <v>502.06029198241686</v>
      </c>
      <c r="K184" s="4">
        <f t="shared" si="76"/>
        <v>255.77008122952066</v>
      </c>
      <c r="L184" s="4">
        <f t="shared" si="76"/>
        <v>269.0969958972182</v>
      </c>
      <c r="M184" s="4">
        <f t="shared" si="76"/>
        <v>155.9398402604029</v>
      </c>
      <c r="N184" s="4">
        <f t="shared" si="76"/>
        <v>118.9672032595945</v>
      </c>
      <c r="O184" s="4">
        <f t="shared" si="76"/>
        <v>121.50120468902423</v>
      </c>
      <c r="P184" s="4">
        <f t="shared" si="76"/>
        <v>124.08918034889939</v>
      </c>
      <c r="Q184" s="4">
        <f t="shared" si="76"/>
        <v>126.63555804387761</v>
      </c>
      <c r="R184" s="4">
        <f t="shared" si="76"/>
        <v>73.0480809137589</v>
      </c>
      <c r="S184" s="4">
        <f t="shared" si="76"/>
        <v>55.34600340850375</v>
      </c>
      <c r="T184" s="4">
        <f t="shared" si="76"/>
        <v>55.84411743918099</v>
      </c>
      <c r="U184" s="4">
        <f t="shared" si="76"/>
        <v>56.346714496135064</v>
      </c>
      <c r="V184" s="4">
        <f t="shared" si="76"/>
        <v>56.85383492659821</v>
      </c>
      <c r="X184" s="13"/>
      <c r="Y184" s="13"/>
      <c r="Z184" s="13"/>
    </row>
    <row r="185" spans="2:26" ht="11.25">
      <c r="B185" s="4"/>
      <c r="C185" s="4"/>
      <c r="D185" s="4"/>
      <c r="E185" s="4"/>
      <c r="X185" s="13"/>
      <c r="Y185" s="13"/>
      <c r="Z185" s="13"/>
    </row>
    <row r="186" spans="1:26" ht="12" thickBot="1">
      <c r="A186" s="143" t="s">
        <v>275</v>
      </c>
      <c r="B186" s="83"/>
      <c r="C186" s="83"/>
      <c r="D186" s="83"/>
      <c r="E186" s="83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  <c r="U186" s="144"/>
      <c r="V186" s="144"/>
      <c r="X186" s="13"/>
      <c r="Y186" s="13"/>
      <c r="Z186" s="13"/>
    </row>
    <row r="187" spans="1:26" ht="12">
      <c r="A187" s="135"/>
      <c r="B187" s="4"/>
      <c r="C187" s="4"/>
      <c r="D187" s="4"/>
      <c r="E187" s="4"/>
      <c r="X187" s="13"/>
      <c r="Y187" s="13"/>
      <c r="Z187" s="13"/>
    </row>
    <row r="188" spans="1:26" ht="11.25">
      <c r="A188" s="2" t="s">
        <v>276</v>
      </c>
      <c r="B188" s="32"/>
      <c r="C188" s="4">
        <f>C175</f>
        <v>0</v>
      </c>
      <c r="D188" s="4">
        <f aca="true" t="shared" si="77" ref="D188:V188">D175</f>
        <v>0</v>
      </c>
      <c r="E188" s="4">
        <f t="shared" si="77"/>
        <v>0</v>
      </c>
      <c r="F188" s="4">
        <f t="shared" si="77"/>
        <v>-4572.488060481101</v>
      </c>
      <c r="G188" s="4">
        <f t="shared" si="77"/>
        <v>3835.1611065292077</v>
      </c>
      <c r="H188" s="4">
        <f t="shared" si="77"/>
        <v>15122.36736828125</v>
      </c>
      <c r="I188" s="4">
        <f t="shared" si="77"/>
        <v>19162.187640416065</v>
      </c>
      <c r="J188" s="4">
        <f t="shared" si="77"/>
        <v>22474.23117308348</v>
      </c>
      <c r="K188" s="4">
        <f t="shared" si="77"/>
        <v>24060.03583613993</v>
      </c>
      <c r="L188" s="4">
        <f t="shared" si="77"/>
        <v>25744.2989491654</v>
      </c>
      <c r="M188" s="4">
        <f t="shared" si="77"/>
        <v>26388.019365958025</v>
      </c>
      <c r="N188" s="4">
        <f t="shared" si="77"/>
        <v>26676.193905376862</v>
      </c>
      <c r="O188" s="4">
        <f t="shared" si="77"/>
        <v>26963.69854896302</v>
      </c>
      <c r="P188" s="4">
        <f t="shared" si="77"/>
        <v>27250.31478752962</v>
      </c>
      <c r="Q188" s="4">
        <f t="shared" si="77"/>
        <v>27534.942833813817</v>
      </c>
      <c r="R188" s="4">
        <f t="shared" si="77"/>
        <v>27311.630826643628</v>
      </c>
      <c r="S188" s="4">
        <f t="shared" si="77"/>
        <v>26902.577779864303</v>
      </c>
      <c r="T188" s="4">
        <f t="shared" si="77"/>
        <v>26470.792747037412</v>
      </c>
      <c r="U188" s="4">
        <f t="shared" si="77"/>
        <v>26015.49962502972</v>
      </c>
      <c r="V188" s="4">
        <f t="shared" si="77"/>
        <v>28842.693180322014</v>
      </c>
      <c r="X188" s="13"/>
      <c r="Y188" s="13"/>
      <c r="Z188" s="13"/>
    </row>
    <row r="189" spans="1:26" ht="11.25">
      <c r="A189" s="5" t="s">
        <v>277</v>
      </c>
      <c r="B189" s="32"/>
      <c r="C189" s="4">
        <f>C188*C178</f>
        <v>0</v>
      </c>
      <c r="D189" s="4">
        <f>D188*D178</f>
        <v>0</v>
      </c>
      <c r="E189" s="4">
        <f>E188*E178</f>
        <v>0</v>
      </c>
      <c r="F189" s="4">
        <f>F188*F178</f>
        <v>0</v>
      </c>
      <c r="G189" s="4">
        <f aca="true" t="shared" si="78" ref="G189:V189">G188*G178</f>
        <v>0</v>
      </c>
      <c r="H189" s="4">
        <f t="shared" si="78"/>
        <v>0</v>
      </c>
      <c r="I189" s="4">
        <f t="shared" si="78"/>
        <v>0</v>
      </c>
      <c r="J189" s="4">
        <f t="shared" si="78"/>
        <v>0</v>
      </c>
      <c r="K189" s="4">
        <f t="shared" si="78"/>
        <v>0</v>
      </c>
      <c r="L189" s="4">
        <f t="shared" si="78"/>
        <v>0</v>
      </c>
      <c r="M189" s="4">
        <f t="shared" si="78"/>
        <v>6597.004841489506</v>
      </c>
      <c r="N189" s="4">
        <f t="shared" si="78"/>
        <v>6669.0484763442155</v>
      </c>
      <c r="O189" s="4">
        <f t="shared" si="78"/>
        <v>6740.924637240755</v>
      </c>
      <c r="P189" s="4">
        <f t="shared" si="78"/>
        <v>6812.578696882405</v>
      </c>
      <c r="Q189" s="4">
        <f t="shared" si="78"/>
        <v>6883.735708453454</v>
      </c>
      <c r="R189" s="4">
        <f t="shared" si="78"/>
        <v>6827.907706660907</v>
      </c>
      <c r="S189" s="4">
        <f t="shared" si="78"/>
        <v>6725.644444966076</v>
      </c>
      <c r="T189" s="4">
        <f t="shared" si="78"/>
        <v>6617.698186759353</v>
      </c>
      <c r="U189" s="4">
        <f t="shared" si="78"/>
        <v>6503.87490625743</v>
      </c>
      <c r="V189" s="4">
        <f t="shared" si="78"/>
        <v>7210.6732950805035</v>
      </c>
      <c r="X189" s="13"/>
      <c r="Y189" s="13"/>
      <c r="Z189" s="13"/>
    </row>
    <row r="190" spans="1:26" ht="11.25">
      <c r="A190" s="2" t="s">
        <v>313</v>
      </c>
      <c r="B190" s="32"/>
      <c r="C190" s="4">
        <f>C188-C189</f>
        <v>0</v>
      </c>
      <c r="D190" s="4">
        <f aca="true" t="shared" si="79" ref="D190:V190">D188-D189</f>
        <v>0</v>
      </c>
      <c r="E190" s="4">
        <f t="shared" si="79"/>
        <v>0</v>
      </c>
      <c r="F190" s="4">
        <f t="shared" si="79"/>
        <v>-4572.488060481101</v>
      </c>
      <c r="G190" s="4">
        <f t="shared" si="79"/>
        <v>3835.1611065292077</v>
      </c>
      <c r="H190" s="4">
        <f t="shared" si="79"/>
        <v>15122.36736828125</v>
      </c>
      <c r="I190" s="4">
        <f t="shared" si="79"/>
        <v>19162.187640416065</v>
      </c>
      <c r="J190" s="4">
        <f t="shared" si="79"/>
        <v>22474.23117308348</v>
      </c>
      <c r="K190" s="4">
        <f t="shared" si="79"/>
        <v>24060.03583613993</v>
      </c>
      <c r="L190" s="4">
        <f t="shared" si="79"/>
        <v>25744.2989491654</v>
      </c>
      <c r="M190" s="4">
        <f t="shared" si="79"/>
        <v>19791.01452446852</v>
      </c>
      <c r="N190" s="4">
        <f t="shared" si="79"/>
        <v>20007.145429032647</v>
      </c>
      <c r="O190" s="4">
        <f t="shared" si="79"/>
        <v>20222.773911722266</v>
      </c>
      <c r="P190" s="4">
        <f t="shared" si="79"/>
        <v>20437.736090647217</v>
      </c>
      <c r="Q190" s="4">
        <f t="shared" si="79"/>
        <v>20651.207125360364</v>
      </c>
      <c r="R190" s="4">
        <f t="shared" si="79"/>
        <v>20483.723119982722</v>
      </c>
      <c r="S190" s="4">
        <f t="shared" si="79"/>
        <v>20176.933334898225</v>
      </c>
      <c r="T190" s="4">
        <f t="shared" si="79"/>
        <v>19853.09456027806</v>
      </c>
      <c r="U190" s="4">
        <f t="shared" si="79"/>
        <v>19511.62471877229</v>
      </c>
      <c r="V190" s="4">
        <f t="shared" si="79"/>
        <v>21632.019885241512</v>
      </c>
      <c r="X190" s="13"/>
      <c r="Y190" s="13"/>
      <c r="Z190" s="13"/>
    </row>
    <row r="191" spans="1:26" ht="11.25">
      <c r="A191" s="5" t="s">
        <v>282</v>
      </c>
      <c r="B191" s="32"/>
      <c r="C191" s="4">
        <f>C160</f>
        <v>0</v>
      </c>
      <c r="D191" s="4">
        <f aca="true" t="shared" si="80" ref="D191:V191">D160</f>
        <v>0</v>
      </c>
      <c r="E191" s="4">
        <f t="shared" si="80"/>
        <v>0</v>
      </c>
      <c r="F191" s="4">
        <f t="shared" si="80"/>
        <v>0</v>
      </c>
      <c r="G191" s="4">
        <f t="shared" si="80"/>
        <v>3306.7949999999996</v>
      </c>
      <c r="H191" s="4">
        <f t="shared" si="80"/>
        <v>3472.1347499999997</v>
      </c>
      <c r="I191" s="4">
        <f t="shared" si="80"/>
        <v>3642.4346924999995</v>
      </c>
      <c r="J191" s="4">
        <f t="shared" si="80"/>
        <v>3817.8436332749993</v>
      </c>
      <c r="K191" s="4">
        <f t="shared" si="80"/>
        <v>3998.514842273249</v>
      </c>
      <c r="L191" s="4">
        <f t="shared" si="80"/>
        <v>4184.606187541446</v>
      </c>
      <c r="M191" s="4">
        <f t="shared" si="80"/>
        <v>4376.280273167689</v>
      </c>
      <c r="N191" s="4">
        <f t="shared" si="80"/>
        <v>4573.70458136272</v>
      </c>
      <c r="O191" s="4">
        <f t="shared" si="80"/>
        <v>4777.051618803602</v>
      </c>
      <c r="P191" s="4">
        <f t="shared" si="80"/>
        <v>4986.49906736771</v>
      </c>
      <c r="Q191" s="4">
        <f t="shared" si="80"/>
        <v>5202.2299393887415</v>
      </c>
      <c r="R191" s="4">
        <f t="shared" si="80"/>
        <v>5424.432737570404</v>
      </c>
      <c r="S191" s="4">
        <f t="shared" si="80"/>
        <v>5653.301619697517</v>
      </c>
      <c r="T191" s="4">
        <f t="shared" si="80"/>
        <v>5889.036568288442</v>
      </c>
      <c r="U191" s="4">
        <f t="shared" si="80"/>
        <v>6131.843565337095</v>
      </c>
      <c r="V191" s="4">
        <f t="shared" si="80"/>
        <v>3075.1397722972088</v>
      </c>
      <c r="X191" s="13"/>
      <c r="Y191" s="13"/>
      <c r="Z191" s="13"/>
    </row>
    <row r="192" spans="1:26" ht="11.25">
      <c r="A192" s="5" t="s">
        <v>283</v>
      </c>
      <c r="B192" s="32"/>
      <c r="C192" s="4">
        <f>C184</f>
        <v>150</v>
      </c>
      <c r="D192" s="4">
        <f aca="true" t="shared" si="81" ref="D192:V192">D184</f>
        <v>560</v>
      </c>
      <c r="E192" s="4">
        <f t="shared" si="81"/>
        <v>630</v>
      </c>
      <c r="F192" s="4">
        <f t="shared" si="81"/>
        <v>310</v>
      </c>
      <c r="G192" s="4">
        <f t="shared" si="81"/>
        <v>220.05230813287494</v>
      </c>
      <c r="H192" s="4">
        <f t="shared" si="81"/>
        <v>1821.9236438983755</v>
      </c>
      <c r="I192" s="4">
        <f t="shared" si="81"/>
        <v>710.4715456223862</v>
      </c>
      <c r="J192" s="4">
        <f t="shared" si="81"/>
        <v>502.06029198241686</v>
      </c>
      <c r="K192" s="4">
        <f t="shared" si="81"/>
        <v>255.77008122952066</v>
      </c>
      <c r="L192" s="4">
        <f t="shared" si="81"/>
        <v>269.0969958972182</v>
      </c>
      <c r="M192" s="4">
        <f t="shared" si="81"/>
        <v>155.9398402604029</v>
      </c>
      <c r="N192" s="4">
        <f t="shared" si="81"/>
        <v>118.9672032595945</v>
      </c>
      <c r="O192" s="4">
        <f t="shared" si="81"/>
        <v>121.50120468902423</v>
      </c>
      <c r="P192" s="4">
        <f t="shared" si="81"/>
        <v>124.08918034889939</v>
      </c>
      <c r="Q192" s="4">
        <f t="shared" si="81"/>
        <v>126.63555804387761</v>
      </c>
      <c r="R192" s="4">
        <f t="shared" si="81"/>
        <v>73.0480809137589</v>
      </c>
      <c r="S192" s="4">
        <f t="shared" si="81"/>
        <v>55.34600340850375</v>
      </c>
      <c r="T192" s="4">
        <f t="shared" si="81"/>
        <v>55.84411743918099</v>
      </c>
      <c r="U192" s="4">
        <f t="shared" si="81"/>
        <v>56.346714496135064</v>
      </c>
      <c r="V192" s="4">
        <f t="shared" si="81"/>
        <v>56.85383492659821</v>
      </c>
      <c r="X192" s="13"/>
      <c r="Y192" s="13"/>
      <c r="Z192" s="13"/>
    </row>
    <row r="193" spans="1:26" ht="11.25">
      <c r="A193" s="5" t="s">
        <v>284</v>
      </c>
      <c r="B193" s="32"/>
      <c r="C193" s="4">
        <f>C86</f>
        <v>1548.3</v>
      </c>
      <c r="D193" s="4">
        <f aca="true" t="shared" si="82" ref="D193:V193">D86</f>
        <v>14041.6</v>
      </c>
      <c r="E193" s="4">
        <f t="shared" si="82"/>
        <v>38585</v>
      </c>
      <c r="F193" s="4">
        <f t="shared" si="82"/>
        <v>10376</v>
      </c>
      <c r="G193" s="4">
        <f t="shared" si="82"/>
        <v>1585</v>
      </c>
      <c r="H193" s="4">
        <f t="shared" si="82"/>
        <v>3306.795</v>
      </c>
      <c r="I193" s="4">
        <f t="shared" si="82"/>
        <v>3405.99885</v>
      </c>
      <c r="J193" s="4">
        <f t="shared" si="82"/>
        <v>3508.1788155</v>
      </c>
      <c r="K193" s="4">
        <f t="shared" si="82"/>
        <v>3613.424179965</v>
      </c>
      <c r="L193" s="4">
        <f t="shared" si="82"/>
        <v>3721.82690536395</v>
      </c>
      <c r="M193" s="4">
        <f t="shared" si="82"/>
        <v>3833.4817125248687</v>
      </c>
      <c r="N193" s="4">
        <f t="shared" si="82"/>
        <v>3948.486163900615</v>
      </c>
      <c r="O193" s="4">
        <f t="shared" si="82"/>
        <v>4066.9407488176334</v>
      </c>
      <c r="P193" s="4">
        <f t="shared" si="82"/>
        <v>4188.948971282162</v>
      </c>
      <c r="Q193" s="4">
        <f t="shared" si="82"/>
        <v>4314.617440420628</v>
      </c>
      <c r="R193" s="4">
        <f t="shared" si="82"/>
        <v>4444.055963633246</v>
      </c>
      <c r="S193" s="4">
        <f t="shared" si="82"/>
        <v>4577.377642542244</v>
      </c>
      <c r="T193" s="4">
        <f t="shared" si="82"/>
        <v>4714.698971818511</v>
      </c>
      <c r="U193" s="4">
        <f t="shared" si="82"/>
        <v>4856.139940973067</v>
      </c>
      <c r="V193" s="4">
        <f t="shared" si="82"/>
        <v>5001.824139202258</v>
      </c>
      <c r="X193" s="13"/>
      <c r="Y193" s="13"/>
      <c r="Z193" s="13"/>
    </row>
    <row r="194" spans="1:26" ht="11.25">
      <c r="A194" s="5" t="s">
        <v>285</v>
      </c>
      <c r="B194" s="32"/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f>(V190+V191-V192-V193)*(1+B6)/(B76-B6)</f>
        <v>196484.81683409825</v>
      </c>
      <c r="X194" s="13"/>
      <c r="Y194" s="13"/>
      <c r="Z194" s="13"/>
    </row>
    <row r="195" spans="1:26" ht="11.25">
      <c r="A195" s="5"/>
      <c r="B195" s="32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X195" s="13"/>
      <c r="Y195" s="13"/>
      <c r="Z195" s="13"/>
    </row>
    <row r="196" spans="1:26" ht="12">
      <c r="A196" s="135" t="s">
        <v>286</v>
      </c>
      <c r="B196" s="32"/>
      <c r="C196" s="4">
        <f>C190+C191-C192-C193+C194</f>
        <v>-1698.3</v>
      </c>
      <c r="D196" s="4">
        <f aca="true" t="shared" si="83" ref="D196:U196">D190+D191-D192-D193+D194</f>
        <v>-14601.6</v>
      </c>
      <c r="E196" s="4">
        <f t="shared" si="83"/>
        <v>-39215</v>
      </c>
      <c r="F196" s="4">
        <f t="shared" si="83"/>
        <v>-15258.4880604811</v>
      </c>
      <c r="G196" s="4">
        <f t="shared" si="83"/>
        <v>5336.903798396333</v>
      </c>
      <c r="H196" s="4">
        <f t="shared" si="83"/>
        <v>13465.783474382873</v>
      </c>
      <c r="I196" s="4">
        <f t="shared" si="83"/>
        <v>18688.15193729368</v>
      </c>
      <c r="J196" s="4">
        <f t="shared" si="83"/>
        <v>22281.835698876064</v>
      </c>
      <c r="K196" s="4">
        <f t="shared" si="83"/>
        <v>24189.356417218656</v>
      </c>
      <c r="L196" s="4">
        <f t="shared" si="83"/>
        <v>25937.981235445677</v>
      </c>
      <c r="M196" s="4">
        <f t="shared" si="83"/>
        <v>20177.873244850936</v>
      </c>
      <c r="N196" s="4">
        <f t="shared" si="83"/>
        <v>20513.396643235155</v>
      </c>
      <c r="O196" s="4">
        <f t="shared" si="83"/>
        <v>20811.383577019213</v>
      </c>
      <c r="P196" s="4">
        <f t="shared" si="83"/>
        <v>21111.197006383863</v>
      </c>
      <c r="Q196" s="4">
        <f t="shared" si="83"/>
        <v>21412.184066284597</v>
      </c>
      <c r="R196" s="4">
        <f t="shared" si="83"/>
        <v>21391.05181300612</v>
      </c>
      <c r="S196" s="4">
        <f t="shared" si="83"/>
        <v>21197.511308644993</v>
      </c>
      <c r="T196" s="4">
        <f t="shared" si="83"/>
        <v>20971.58803930881</v>
      </c>
      <c r="U196" s="4">
        <f t="shared" si="83"/>
        <v>20730.981628640184</v>
      </c>
      <c r="V196" s="4">
        <f>V190+V191-V192-V193+V194</f>
        <v>216133.2985175081</v>
      </c>
      <c r="X196" s="13"/>
      <c r="Y196" s="13"/>
      <c r="Z196" s="13"/>
    </row>
    <row r="197" spans="1:26" ht="11.25">
      <c r="A197" s="145" t="s">
        <v>299</v>
      </c>
      <c r="B197" s="32"/>
      <c r="C197" s="4">
        <f>C196/(1+$B$76)^C2</f>
        <v>-2180.0890287000007</v>
      </c>
      <c r="D197" s="4">
        <f aca="true" t="shared" si="84" ref="D197:V197">D196/(1+$B$76)^D2</f>
        <v>-16543.612800000003</v>
      </c>
      <c r="E197" s="4">
        <f t="shared" si="84"/>
        <v>-39215</v>
      </c>
      <c r="F197" s="4">
        <f t="shared" si="84"/>
        <v>-13467.332798306352</v>
      </c>
      <c r="G197" s="4">
        <f t="shared" si="84"/>
        <v>4157.474122156013</v>
      </c>
      <c r="H197" s="4">
        <f t="shared" si="84"/>
        <v>9258.52699717287</v>
      </c>
      <c r="I197" s="4">
        <f t="shared" si="84"/>
        <v>11340.879001274441</v>
      </c>
      <c r="J197" s="4">
        <f t="shared" si="84"/>
        <v>11934.422764251778</v>
      </c>
      <c r="K197" s="4">
        <f t="shared" si="84"/>
        <v>11435.228693073694</v>
      </c>
      <c r="L197" s="4">
        <f t="shared" si="84"/>
        <v>10822.480268646508</v>
      </c>
      <c r="M197" s="4">
        <f t="shared" si="84"/>
        <v>7430.809208367438</v>
      </c>
      <c r="N197" s="4">
        <f t="shared" si="84"/>
        <v>6667.582357566804</v>
      </c>
      <c r="O197" s="4">
        <f t="shared" si="84"/>
        <v>5970.378369656857</v>
      </c>
      <c r="P197" s="4">
        <f t="shared" si="84"/>
        <v>5345.444811009341</v>
      </c>
      <c r="Q197" s="4">
        <f t="shared" si="84"/>
        <v>4785.2215479810575</v>
      </c>
      <c r="R197" s="4">
        <f t="shared" si="84"/>
        <v>4219.328230992038</v>
      </c>
      <c r="S197" s="4">
        <f t="shared" si="84"/>
        <v>3690.3379345694507</v>
      </c>
      <c r="T197" s="4">
        <f t="shared" si="84"/>
        <v>3222.4239003725365</v>
      </c>
      <c r="U197" s="4">
        <f t="shared" si="84"/>
        <v>2811.520852658992</v>
      </c>
      <c r="V197" s="4">
        <f t="shared" si="84"/>
        <v>25870.999872334185</v>
      </c>
      <c r="X197" s="13"/>
      <c r="Y197" s="13"/>
      <c r="Z197" s="13"/>
    </row>
    <row r="198" spans="1:26" ht="12">
      <c r="A198" s="136" t="s">
        <v>23</v>
      </c>
      <c r="B198" s="137">
        <f>NPV($B$76,F196:V196)+E196+D196/(1+$B$76)^D$2+C196/(1+$B$76)^C$2</f>
        <v>57557.024305077655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X198" s="13"/>
      <c r="Y198" s="13"/>
      <c r="Z198" s="13"/>
    </row>
    <row r="199" spans="1:26" ht="12">
      <c r="A199" s="136" t="s">
        <v>288</v>
      </c>
      <c r="B199" s="138">
        <f>IRR(C196:V196)</f>
        <v>0.21200272456351965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X199" s="13"/>
      <c r="Y199" s="13"/>
      <c r="Z199" s="13"/>
    </row>
    <row r="200" spans="1:26" ht="11.25">
      <c r="A200" s="146" t="s">
        <v>257</v>
      </c>
      <c r="B200" s="149">
        <f>tghv(C196:V196)</f>
        <v>7.454774941581395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X200" s="13"/>
      <c r="Y200" s="13"/>
      <c r="Z200" s="13"/>
    </row>
    <row r="201" spans="1:26" ht="11.25">
      <c r="A201" s="146" t="s">
        <v>258</v>
      </c>
      <c r="B201" s="149">
        <f>tghv(C197:V197)</f>
        <v>10.75382849472561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X201" s="13"/>
      <c r="Y201" s="13"/>
      <c r="Z201" s="13"/>
    </row>
    <row r="202" spans="2:26" ht="11.25">
      <c r="B202" s="32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X202" s="13"/>
      <c r="Y202" s="13"/>
      <c r="Z202" s="13"/>
    </row>
    <row r="203" spans="1:26" ht="12">
      <c r="A203" s="135" t="s">
        <v>287</v>
      </c>
      <c r="B203" s="32"/>
      <c r="C203" s="4">
        <f>C196/(1+$B$6)^C2</f>
        <v>-1801.72647</v>
      </c>
      <c r="D203" s="4">
        <f aca="true" t="shared" si="85" ref="D203:V203">D196/(1+$B$6)^D2</f>
        <v>-15039.648000000001</v>
      </c>
      <c r="E203" s="4">
        <f t="shared" si="85"/>
        <v>-39215</v>
      </c>
      <c r="F203" s="4">
        <f t="shared" si="85"/>
        <v>-14814.06607813699</v>
      </c>
      <c r="G203" s="4">
        <f t="shared" si="85"/>
        <v>5030.5436878087785</v>
      </c>
      <c r="H203" s="4">
        <f t="shared" si="85"/>
        <v>12323.099433237097</v>
      </c>
      <c r="I203" s="4">
        <f t="shared" si="85"/>
        <v>16604.180945765926</v>
      </c>
      <c r="J203" s="4">
        <f t="shared" si="85"/>
        <v>19220.507206055154</v>
      </c>
      <c r="K203" s="4">
        <f t="shared" si="85"/>
        <v>20258.205178730354</v>
      </c>
      <c r="L203" s="4">
        <f t="shared" si="85"/>
        <v>21089.952363924076</v>
      </c>
      <c r="M203" s="4">
        <f t="shared" si="85"/>
        <v>15928.599468301429</v>
      </c>
      <c r="N203" s="4">
        <f t="shared" si="85"/>
        <v>15721.810424577014</v>
      </c>
      <c r="O203" s="4">
        <f t="shared" si="85"/>
        <v>15485.62388024164</v>
      </c>
      <c r="P203" s="4">
        <f t="shared" si="85"/>
        <v>15251.177891879799</v>
      </c>
      <c r="Q203" s="4">
        <f t="shared" si="85"/>
        <v>15018.075095080581</v>
      </c>
      <c r="R203" s="4">
        <f t="shared" si="85"/>
        <v>14566.265395930015</v>
      </c>
      <c r="S203" s="4">
        <f t="shared" si="85"/>
        <v>14014.052165186746</v>
      </c>
      <c r="T203" s="4">
        <f t="shared" si="85"/>
        <v>13460.864338912465</v>
      </c>
      <c r="U203" s="4">
        <f t="shared" si="85"/>
        <v>12918.862368548125</v>
      </c>
      <c r="V203" s="4">
        <f t="shared" si="85"/>
        <v>130764.20009776972</v>
      </c>
      <c r="X203" s="13"/>
      <c r="Y203" s="13"/>
      <c r="Z203" s="13"/>
    </row>
    <row r="204" spans="1:26" ht="11.25">
      <c r="A204" s="145" t="s">
        <v>299</v>
      </c>
      <c r="B204" s="32"/>
      <c r="C204" s="4">
        <f>C203/(1+$B$75)^C2</f>
        <v>-2180.0890287</v>
      </c>
      <c r="D204" s="4">
        <f aca="true" t="shared" si="86" ref="D204:V204">D203/(1+$B$75)^D2</f>
        <v>-16543.612800000003</v>
      </c>
      <c r="E204" s="4">
        <f t="shared" si="86"/>
        <v>-39215</v>
      </c>
      <c r="F204" s="4">
        <f t="shared" si="86"/>
        <v>-13467.332798306354</v>
      </c>
      <c r="G204" s="4">
        <f t="shared" si="86"/>
        <v>4157.474122156014</v>
      </c>
      <c r="H204" s="4">
        <f t="shared" si="86"/>
        <v>9258.526997172872</v>
      </c>
      <c r="I204" s="4">
        <f t="shared" si="86"/>
        <v>11340.879001274448</v>
      </c>
      <c r="J204" s="4">
        <f t="shared" si="86"/>
        <v>11934.422764251789</v>
      </c>
      <c r="K204" s="4">
        <f t="shared" si="86"/>
        <v>11435.228693073705</v>
      </c>
      <c r="L204" s="4">
        <f t="shared" si="86"/>
        <v>10822.480268646517</v>
      </c>
      <c r="M204" s="4">
        <f t="shared" si="86"/>
        <v>7430.809208367448</v>
      </c>
      <c r="N204" s="4">
        <f t="shared" si="86"/>
        <v>6667.582357566814</v>
      </c>
      <c r="O204" s="4">
        <f t="shared" si="86"/>
        <v>5970.378369656866</v>
      </c>
      <c r="P204" s="4">
        <f t="shared" si="86"/>
        <v>5345.444811009349</v>
      </c>
      <c r="Q204" s="4">
        <f t="shared" si="86"/>
        <v>4785.221547981067</v>
      </c>
      <c r="R204" s="4">
        <f t="shared" si="86"/>
        <v>4219.328230992047</v>
      </c>
      <c r="S204" s="4">
        <f t="shared" si="86"/>
        <v>3690.3379345694584</v>
      </c>
      <c r="T204" s="4">
        <f t="shared" si="86"/>
        <v>3222.423900372544</v>
      </c>
      <c r="U204" s="4">
        <f t="shared" si="86"/>
        <v>2811.520852659</v>
      </c>
      <c r="V204" s="4">
        <f t="shared" si="86"/>
        <v>25870.999872334254</v>
      </c>
      <c r="X204" s="13"/>
      <c r="Y204" s="13"/>
      <c r="Z204" s="13"/>
    </row>
    <row r="205" spans="1:26" ht="12">
      <c r="A205" s="136" t="s">
        <v>23</v>
      </c>
      <c r="B205" s="137">
        <f>NPV($B$75,F203:V203)+E203+D203/(1+$B$75)^D$2+C203/(1+$B$75)^C$2</f>
        <v>57557.02430507783</v>
      </c>
      <c r="C205" s="4"/>
      <c r="D205" s="4"/>
      <c r="E205" s="4"/>
      <c r="X205" s="13"/>
      <c r="Y205" s="13"/>
      <c r="Z205" s="13"/>
    </row>
    <row r="206" spans="1:26" ht="12">
      <c r="A206" s="136" t="s">
        <v>288</v>
      </c>
      <c r="B206" s="138">
        <f>IRR(C203:V203)</f>
        <v>0.17670167433351192</v>
      </c>
      <c r="C206" s="4"/>
      <c r="D206" s="4"/>
      <c r="E206" s="4"/>
      <c r="X206" s="13"/>
      <c r="Y206" s="13"/>
      <c r="Z206" s="13"/>
    </row>
    <row r="207" spans="1:26" ht="11.25">
      <c r="A207" s="146" t="s">
        <v>257</v>
      </c>
      <c r="B207" s="149">
        <f>tghv(C203:V203)</f>
        <v>7.873330540350409</v>
      </c>
      <c r="C207" s="4"/>
      <c r="D207" s="4"/>
      <c r="E207" s="4"/>
      <c r="X207" s="13"/>
      <c r="Y207" s="13"/>
      <c r="Z207" s="13"/>
    </row>
    <row r="208" spans="1:26" ht="11.25">
      <c r="A208" s="146" t="s">
        <v>258</v>
      </c>
      <c r="B208" s="149">
        <f>tghv(C204:V204)</f>
        <v>10.753828494725603</v>
      </c>
      <c r="C208" s="4"/>
      <c r="D208" s="4"/>
      <c r="E208" s="4"/>
      <c r="X208" s="13"/>
      <c r="Y208" s="13"/>
      <c r="Z208" s="13"/>
    </row>
    <row r="209" ht="11.25">
      <c r="G209" s="64"/>
    </row>
    <row r="210" ht="11.25">
      <c r="G210" s="64"/>
    </row>
    <row r="211" ht="11.25">
      <c r="G211" s="64"/>
    </row>
    <row r="212" ht="11.25">
      <c r="G212" s="64"/>
    </row>
    <row r="213" ht="11.25">
      <c r="G213" s="64"/>
    </row>
    <row r="214" ht="11.25">
      <c r="G214" s="64"/>
    </row>
  </sheetData>
  <sheetProtection/>
  <mergeCells count="1">
    <mergeCell ref="A1:A2"/>
  </mergeCells>
  <printOptions gridLines="1" headings="1" horizontalCentered="1"/>
  <pageMargins left="0.75" right="0.75" top="0.25" bottom="0.25" header="0.5" footer="0.5"/>
  <pageSetup fitToHeight="10" fitToWidth="1" horizontalDpi="600" verticalDpi="600" orientation="landscape" scale="59" r:id="rId2"/>
  <ignoredErrors>
    <ignoredError sqref="F176:V176" formula="1"/>
    <ignoredError sqref="H86" formulaRange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J51"/>
  <sheetViews>
    <sheetView zoomScalePageLayoutView="0" workbookViewId="0" topLeftCell="A1">
      <pane xSplit="1" ySplit="2" topLeftCell="B2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33" sqref="F33"/>
    </sheetView>
  </sheetViews>
  <sheetFormatPr defaultColWidth="9.28125" defaultRowHeight="12.75"/>
  <cols>
    <col min="1" max="1" width="49.421875" style="2" customWidth="1"/>
    <col min="2" max="4" width="8.421875" style="2" customWidth="1"/>
    <col min="5" max="5" width="12.00390625" style="2" customWidth="1"/>
    <col min="6" max="22" width="8.28125" style="2" customWidth="1"/>
    <col min="23" max="16384" width="9.28125" style="2" customWidth="1"/>
  </cols>
  <sheetData>
    <row r="1" spans="3:22" ht="11.25">
      <c r="C1" s="2">
        <v>1996</v>
      </c>
      <c r="D1" s="2">
        <v>1997</v>
      </c>
      <c r="E1" s="2">
        <v>1998</v>
      </c>
      <c r="F1" s="2">
        <v>1999</v>
      </c>
      <c r="G1" s="2">
        <v>2000</v>
      </c>
      <c r="H1" s="2">
        <v>2001</v>
      </c>
      <c r="I1" s="2">
        <v>2002</v>
      </c>
      <c r="J1" s="2">
        <v>2003</v>
      </c>
      <c r="K1" s="2">
        <v>2004</v>
      </c>
      <c r="L1" s="2">
        <v>2005</v>
      </c>
      <c r="M1" s="2">
        <v>2006</v>
      </c>
      <c r="N1" s="2">
        <v>2007</v>
      </c>
      <c r="O1" s="2">
        <v>2008</v>
      </c>
      <c r="P1" s="2">
        <v>2009</v>
      </c>
      <c r="Q1" s="2">
        <v>2010</v>
      </c>
      <c r="R1" s="2">
        <v>2011</v>
      </c>
      <c r="S1" s="2">
        <v>2012</v>
      </c>
      <c r="T1" s="2">
        <v>2013</v>
      </c>
      <c r="U1" s="2">
        <v>2014</v>
      </c>
      <c r="V1" s="2">
        <v>2015</v>
      </c>
    </row>
    <row r="2" spans="3:22" ht="11.25">
      <c r="C2" s="2">
        <v>-2</v>
      </c>
      <c r="D2" s="2">
        <v>-1</v>
      </c>
      <c r="E2" s="2">
        <v>0</v>
      </c>
      <c r="F2" s="2">
        <v>1</v>
      </c>
      <c r="G2" s="2">
        <v>2</v>
      </c>
      <c r="H2" s="2">
        <v>3</v>
      </c>
      <c r="I2" s="2">
        <v>4</v>
      </c>
      <c r="J2" s="2">
        <v>5</v>
      </c>
      <c r="K2" s="2">
        <v>6</v>
      </c>
      <c r="L2" s="2">
        <v>7</v>
      </c>
      <c r="M2" s="2">
        <v>8</v>
      </c>
      <c r="N2" s="2">
        <v>9</v>
      </c>
      <c r="O2" s="2">
        <v>10</v>
      </c>
      <c r="P2" s="2">
        <v>11</v>
      </c>
      <c r="Q2" s="2">
        <v>12</v>
      </c>
      <c r="R2" s="2">
        <v>13</v>
      </c>
      <c r="S2" s="2">
        <v>14</v>
      </c>
      <c r="T2" s="2">
        <v>15</v>
      </c>
      <c r="U2" s="2">
        <v>16</v>
      </c>
      <c r="V2" s="2">
        <v>17</v>
      </c>
    </row>
    <row r="3" spans="1:22" ht="12">
      <c r="A3" s="1" t="s">
        <v>213</v>
      </c>
      <c r="B3" s="1"/>
      <c r="C3" s="1"/>
      <c r="D3" s="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1.25">
      <c r="A4" s="2" t="s">
        <v>208</v>
      </c>
      <c r="C4" s="2">
        <v>0.5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2" ht="11.25">
      <c r="A5" s="2" t="s">
        <v>206</v>
      </c>
      <c r="C5" s="4">
        <f>'Tai chinh'!C87+'Tai chinh'!C130+'Tai chinh'!C134</f>
        <v>37.15</v>
      </c>
      <c r="D5" s="4">
        <f>'Tai chinh'!D87+'Tai chinh'!D130+'Tai chinh'!D134</f>
        <v>1594.5</v>
      </c>
      <c r="E5" s="4">
        <f>'Tai chinh'!E87+'Tai chinh'!E130+'Tai chinh'!E134</f>
        <v>3291.05</v>
      </c>
      <c r="F5" s="4">
        <f>'Tai chinh'!F87+'Tai chinh'!F130+'Tai chinh'!F134</f>
        <v>3086</v>
      </c>
      <c r="G5" s="4">
        <f>'Tai chinh'!G87+'Tai chinh'!G130+'Tai chinh'!G134</f>
        <v>1232</v>
      </c>
      <c r="H5" s="4">
        <f>'Tai chinh'!H87+'Tai chinh'!H130+'Tai chinh'!H134</f>
        <v>1155</v>
      </c>
      <c r="I5" s="4">
        <f>'Tai chinh'!I87+'Tai chinh'!I130+'Tai chinh'!I134</f>
        <v>1330</v>
      </c>
      <c r="J5" s="4">
        <f>'Tai chinh'!J87+'Tai chinh'!J130+'Tai chinh'!J134</f>
        <v>1560.22125</v>
      </c>
      <c r="K5" s="4">
        <f>'Tai chinh'!K87+'Tai chinh'!K130+'Tai chinh'!K134</f>
        <v>1607.0278875</v>
      </c>
      <c r="L5" s="4">
        <f>'Tai chinh'!L87+'Tai chinh'!L130+'Tai chinh'!L134</f>
        <v>1655.2387241249999</v>
      </c>
      <c r="M5" s="4">
        <f>'Tai chinh'!M87+'Tai chinh'!M130+'Tai chinh'!M134</f>
        <v>1704.89588584875</v>
      </c>
      <c r="N5" s="4">
        <f>'Tai chinh'!N87+'Tai chinh'!N130+'Tai chinh'!N134</f>
        <v>1756.0427624242125</v>
      </c>
      <c r="O5" s="4">
        <f>'Tai chinh'!O87+'Tai chinh'!O130+'Tai chinh'!O134</f>
        <v>1808.724045296939</v>
      </c>
      <c r="P5" s="4">
        <f>'Tai chinh'!P87+'Tai chinh'!P130+'Tai chinh'!P134</f>
        <v>1862.9857666558473</v>
      </c>
      <c r="Q5" s="4">
        <f>'Tai chinh'!Q87+'Tai chinh'!Q130+'Tai chinh'!Q134</f>
        <v>1918.8753396555226</v>
      </c>
      <c r="R5" s="4">
        <f>'Tai chinh'!R87+'Tai chinh'!R130+'Tai chinh'!R134</f>
        <v>1976.4415998451884</v>
      </c>
      <c r="S5" s="4">
        <f>'Tai chinh'!S87+'Tai chinh'!S130+'Tai chinh'!S134</f>
        <v>2035.7348478405443</v>
      </c>
      <c r="T5" s="4">
        <f>'Tai chinh'!T87+'Tai chinh'!T130+'Tai chinh'!T134</f>
        <v>2096.8068932757606</v>
      </c>
      <c r="U5" s="4">
        <f>'Tai chinh'!U87+'Tai chinh'!U130+'Tai chinh'!U134</f>
        <v>2159.7111000740333</v>
      </c>
      <c r="V5" s="4">
        <f>'Tai chinh'!V87+'Tai chinh'!V130+'Tai chinh'!V134</f>
        <v>2224.5024330762544</v>
      </c>
    </row>
    <row r="6" spans="1:22" ht="11.25">
      <c r="A6" s="2" t="s">
        <v>207</v>
      </c>
      <c r="C6" s="9">
        <f>C5*$C$4</f>
        <v>18.575</v>
      </c>
      <c r="D6" s="9">
        <f aca="true" t="shared" si="0" ref="D6:V6">D5*$C$4</f>
        <v>797.25</v>
      </c>
      <c r="E6" s="9">
        <f t="shared" si="0"/>
        <v>1645.525</v>
      </c>
      <c r="F6" s="9">
        <f t="shared" si="0"/>
        <v>1543</v>
      </c>
      <c r="G6" s="9">
        <f t="shared" si="0"/>
        <v>616</v>
      </c>
      <c r="H6" s="9">
        <f t="shared" si="0"/>
        <v>577.5</v>
      </c>
      <c r="I6" s="9">
        <f t="shared" si="0"/>
        <v>665</v>
      </c>
      <c r="J6" s="9">
        <f t="shared" si="0"/>
        <v>780.110625</v>
      </c>
      <c r="K6" s="9">
        <f t="shared" si="0"/>
        <v>803.51394375</v>
      </c>
      <c r="L6" s="9">
        <f t="shared" si="0"/>
        <v>827.6193620624999</v>
      </c>
      <c r="M6" s="9">
        <f t="shared" si="0"/>
        <v>852.447942924375</v>
      </c>
      <c r="N6" s="9">
        <f t="shared" si="0"/>
        <v>878.0213812121062</v>
      </c>
      <c r="O6" s="9">
        <f t="shared" si="0"/>
        <v>904.3620226484695</v>
      </c>
      <c r="P6" s="9">
        <f t="shared" si="0"/>
        <v>931.4928833279237</v>
      </c>
      <c r="Q6" s="9">
        <f t="shared" si="0"/>
        <v>959.4376698277613</v>
      </c>
      <c r="R6" s="9">
        <f t="shared" si="0"/>
        <v>988.2207999225942</v>
      </c>
      <c r="S6" s="9">
        <f t="shared" si="0"/>
        <v>1017.8674239202721</v>
      </c>
      <c r="T6" s="9">
        <f t="shared" si="0"/>
        <v>1048.4034466378803</v>
      </c>
      <c r="U6" s="9">
        <f t="shared" si="0"/>
        <v>1079.8555500370167</v>
      </c>
      <c r="V6" s="9">
        <f t="shared" si="0"/>
        <v>1112.2512165381272</v>
      </c>
    </row>
    <row r="7" spans="1:22" ht="11.25">
      <c r="A7" s="2" t="s">
        <v>209</v>
      </c>
      <c r="C7" s="9">
        <f>'Tai chinh'!C136</f>
        <v>0</v>
      </c>
      <c r="D7" s="9">
        <f>'Tai chinh'!D136</f>
        <v>0</v>
      </c>
      <c r="E7" s="9">
        <f>'Tai chinh'!E136</f>
        <v>0</v>
      </c>
      <c r="F7" s="9">
        <f>'Tai chinh'!F136</f>
        <v>16.6</v>
      </c>
      <c r="G7" s="9">
        <f>'Tai chinh'!G136</f>
        <v>44</v>
      </c>
      <c r="H7" s="9">
        <f>'Tai chinh'!H136</f>
        <v>57</v>
      </c>
      <c r="I7" s="9">
        <f>'Tai chinh'!I136</f>
        <v>58.71</v>
      </c>
      <c r="J7" s="9">
        <f>'Tai chinh'!J136</f>
        <v>60.4713</v>
      </c>
      <c r="K7" s="9">
        <f>'Tai chinh'!K136</f>
        <v>62.285439000000004</v>
      </c>
      <c r="L7" s="9">
        <f>'Tai chinh'!L136</f>
        <v>64.15400217000001</v>
      </c>
      <c r="M7" s="9">
        <f>'Tai chinh'!M136</f>
        <v>66.07862223510001</v>
      </c>
      <c r="N7" s="9">
        <f>'Tai chinh'!N136</f>
        <v>68.06098090215302</v>
      </c>
      <c r="O7" s="9">
        <f>'Tai chinh'!O136</f>
        <v>70.10281032921762</v>
      </c>
      <c r="P7" s="9">
        <f>'Tai chinh'!P136</f>
        <v>72.20589463909415</v>
      </c>
      <c r="Q7" s="9">
        <f>'Tai chinh'!Q136</f>
        <v>74.37207147826697</v>
      </c>
      <c r="R7" s="9">
        <f>'Tai chinh'!R136</f>
        <v>76.60323362261498</v>
      </c>
      <c r="S7" s="9">
        <f>'Tai chinh'!S136</f>
        <v>78.90133063129343</v>
      </c>
      <c r="T7" s="9">
        <f>'Tai chinh'!T136</f>
        <v>81.26837055023223</v>
      </c>
      <c r="U7" s="9">
        <f>'Tai chinh'!U136</f>
        <v>83.7064216667392</v>
      </c>
      <c r="V7" s="9">
        <f>'Tai chinh'!V136</f>
        <v>86.21761431674138</v>
      </c>
    </row>
    <row r="8" spans="1:22" ht="12">
      <c r="A8" s="1" t="s">
        <v>212</v>
      </c>
      <c r="B8" s="1"/>
      <c r="C8" s="16">
        <f>C5-C6+C7</f>
        <v>18.575</v>
      </c>
      <c r="D8" s="16">
        <f aca="true" t="shared" si="1" ref="D8:V8">D5-D6+D7</f>
        <v>797.25</v>
      </c>
      <c r="E8" s="16">
        <f t="shared" si="1"/>
        <v>1645.525</v>
      </c>
      <c r="F8" s="16">
        <f t="shared" si="1"/>
        <v>1559.6</v>
      </c>
      <c r="G8" s="16">
        <f t="shared" si="1"/>
        <v>660</v>
      </c>
      <c r="H8" s="16">
        <f t="shared" si="1"/>
        <v>634.5</v>
      </c>
      <c r="I8" s="16">
        <f t="shared" si="1"/>
        <v>723.71</v>
      </c>
      <c r="J8" s="16">
        <f t="shared" si="1"/>
        <v>840.5819250000001</v>
      </c>
      <c r="K8" s="16">
        <f t="shared" si="1"/>
        <v>865.79938275</v>
      </c>
      <c r="L8" s="16">
        <f t="shared" si="1"/>
        <v>891.7733642325</v>
      </c>
      <c r="M8" s="16">
        <f t="shared" si="1"/>
        <v>918.526565159475</v>
      </c>
      <c r="N8" s="16">
        <f t="shared" si="1"/>
        <v>946.0823621142592</v>
      </c>
      <c r="O8" s="16">
        <f t="shared" si="1"/>
        <v>974.4648329776871</v>
      </c>
      <c r="P8" s="16">
        <f t="shared" si="1"/>
        <v>1003.6987779670178</v>
      </c>
      <c r="Q8" s="16">
        <f t="shared" si="1"/>
        <v>1033.8097413060282</v>
      </c>
      <c r="R8" s="16">
        <f t="shared" si="1"/>
        <v>1064.8240335452092</v>
      </c>
      <c r="S8" s="16">
        <f t="shared" si="1"/>
        <v>1096.7687545515655</v>
      </c>
      <c r="T8" s="16">
        <f t="shared" si="1"/>
        <v>1129.6718171881125</v>
      </c>
      <c r="U8" s="16">
        <f t="shared" si="1"/>
        <v>1163.561971703756</v>
      </c>
      <c r="V8" s="16">
        <f t="shared" si="1"/>
        <v>1198.4688308548687</v>
      </c>
    </row>
    <row r="10" spans="1:22" ht="12">
      <c r="A10" s="1" t="s">
        <v>310</v>
      </c>
      <c r="B10" s="1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4" ht="12">
      <c r="A11" s="1" t="s">
        <v>201</v>
      </c>
      <c r="B11" s="1"/>
      <c r="C11" s="1"/>
      <c r="D11" s="1"/>
    </row>
    <row r="12" spans="1:22" ht="11.25">
      <c r="A12" s="12" t="s">
        <v>200</v>
      </c>
      <c r="B12" s="12"/>
      <c r="C12" s="12"/>
      <c r="D12" s="12"/>
      <c r="E12" s="21">
        <f>AVERAGE(E13:E15)</f>
        <v>-1010.4888888888889</v>
      </c>
      <c r="F12" s="21">
        <f aca="true" t="shared" si="2" ref="F12:V12">AVERAGE(F13:F15)</f>
        <v>-5473.599999999999</v>
      </c>
      <c r="G12" s="21">
        <f t="shared" si="2"/>
        <v>-6636.333333333333</v>
      </c>
      <c r="H12" s="21">
        <f t="shared" si="2"/>
        <v>-3947.8444444444444</v>
      </c>
      <c r="I12" s="21">
        <f t="shared" si="2"/>
        <v>-3426.7111111111103</v>
      </c>
      <c r="J12" s="21">
        <f t="shared" si="2"/>
        <v>-302.6666666666667</v>
      </c>
      <c r="K12" s="21">
        <f t="shared" si="2"/>
        <v>2284.933333333333</v>
      </c>
      <c r="L12" s="21">
        <f t="shared" si="2"/>
        <v>912.1777777777776</v>
      </c>
      <c r="M12" s="21">
        <f t="shared" si="2"/>
        <v>1148.8000000000002</v>
      </c>
      <c r="N12" s="21">
        <f t="shared" si="2"/>
        <v>4231.599999999999</v>
      </c>
      <c r="O12" s="21">
        <f t="shared" si="2"/>
        <v>3161.3777777777777</v>
      </c>
      <c r="P12" s="21">
        <f t="shared" si="2"/>
        <v>709.0222222222222</v>
      </c>
      <c r="Q12" s="21">
        <f t="shared" si="2"/>
        <v>271.8222222222218</v>
      </c>
      <c r="R12" s="21">
        <f t="shared" si="2"/>
        <v>-1836.7111111111117</v>
      </c>
      <c r="S12" s="21">
        <f t="shared" si="2"/>
        <v>89.55555555555566</v>
      </c>
      <c r="T12" s="21">
        <f t="shared" si="2"/>
        <v>4898.266666666666</v>
      </c>
      <c r="U12" s="21">
        <f t="shared" si="2"/>
        <v>3847.7333333333336</v>
      </c>
      <c r="V12" s="21">
        <f t="shared" si="2"/>
        <v>4288.444444444444</v>
      </c>
    </row>
    <row r="13" spans="1:22" ht="11.25">
      <c r="A13" s="12" t="s">
        <v>35</v>
      </c>
      <c r="B13" s="12"/>
      <c r="C13" s="12"/>
      <c r="D13" s="12"/>
      <c r="E13" s="21">
        <f>'Cay trong'!E146</f>
        <v>-972.8000000000001</v>
      </c>
      <c r="F13" s="21">
        <f>'Cay trong'!F146</f>
        <v>-4556.8</v>
      </c>
      <c r="G13" s="21">
        <f>'Cay trong'!G146</f>
        <v>-1581.3333333333335</v>
      </c>
      <c r="H13" s="21">
        <f>'Cay trong'!H146</f>
        <v>4974.8</v>
      </c>
      <c r="I13" s="21">
        <f>'Cay trong'!I146</f>
        <v>186.53333333333376</v>
      </c>
      <c r="J13" s="21">
        <f>'Cay trong'!J146</f>
        <v>175.33333333333326</v>
      </c>
      <c r="K13" s="21">
        <f>'Cay trong'!K146</f>
        <v>5638.133333333333</v>
      </c>
      <c r="L13" s="21">
        <f>'Cay trong'!L146</f>
        <v>186.53333333333376</v>
      </c>
      <c r="M13" s="21">
        <f>'Cay trong'!M146</f>
        <v>175.33333333333326</v>
      </c>
      <c r="N13" s="21">
        <f>'Cay trong'!N146</f>
        <v>5638.133333333333</v>
      </c>
      <c r="O13" s="21">
        <f>'Cay trong'!O146</f>
        <v>186.53333333333376</v>
      </c>
      <c r="P13" s="21">
        <f>'Cay trong'!P146</f>
        <v>175.33333333333326</v>
      </c>
      <c r="Q13" s="21">
        <f>'Cay trong'!Q146</f>
        <v>5638.133333333333</v>
      </c>
      <c r="R13" s="21">
        <f>'Cay trong'!R146</f>
        <v>186.53333333333376</v>
      </c>
      <c r="S13" s="21">
        <f>'Cay trong'!S146</f>
        <v>175.33333333333326</v>
      </c>
      <c r="T13" s="21">
        <f>'Cay trong'!T146</f>
        <v>5638.133333333333</v>
      </c>
      <c r="U13" s="21">
        <f>'Cay trong'!U146</f>
        <v>186.53333333333376</v>
      </c>
      <c r="V13" s="21">
        <f>'Cay trong'!V146</f>
        <v>175.33333333333326</v>
      </c>
    </row>
    <row r="14" spans="1:22" ht="11.25">
      <c r="A14" s="12" t="s">
        <v>36</v>
      </c>
      <c r="B14" s="12"/>
      <c r="C14" s="12"/>
      <c r="D14" s="12"/>
      <c r="E14" s="21">
        <f>'Cay trong'!E169</f>
        <v>-1120</v>
      </c>
      <c r="F14" s="21">
        <f>'Cay trong'!F169</f>
        <v>-6534.933333333333</v>
      </c>
      <c r="G14" s="21">
        <f>'Cay trong'!G169</f>
        <v>-10687.666666666668</v>
      </c>
      <c r="H14" s="21">
        <f>'Cay trong'!H169</f>
        <v>-10651.666666666668</v>
      </c>
      <c r="I14" s="21">
        <f>'Cay trong'!I169</f>
        <v>-4406.666666666666</v>
      </c>
      <c r="J14" s="21">
        <f>'Cay trong'!J169</f>
        <v>4556.666666666667</v>
      </c>
      <c r="K14" s="21">
        <f>'Cay trong'!K169</f>
        <v>6856.666666666667</v>
      </c>
      <c r="L14" s="21">
        <f>'Cay trong'!L169</f>
        <v>8190</v>
      </c>
      <c r="M14" s="21">
        <f>'Cay trong'!M169</f>
        <v>8190</v>
      </c>
      <c r="N14" s="21">
        <f>'Cay trong'!N169</f>
        <v>8190</v>
      </c>
      <c r="O14" s="21">
        <f>'Cay trong'!O169</f>
        <v>6487.6</v>
      </c>
      <c r="P14" s="21">
        <f>'Cay trong'!P169</f>
        <v>-1984.9333333333334</v>
      </c>
      <c r="Q14" s="21">
        <f>'Cay trong'!Q169</f>
        <v>-9322.666666666668</v>
      </c>
      <c r="R14" s="21">
        <f>'Cay trong'!R169</f>
        <v>-10196.666666666668</v>
      </c>
      <c r="S14" s="21">
        <f>'Cay trong'!S169</f>
        <v>-4406.666666666666</v>
      </c>
      <c r="T14" s="21">
        <f>'Cay trong'!T169</f>
        <v>4556.666666666667</v>
      </c>
      <c r="U14" s="21">
        <f>'Cay trong'!U169</f>
        <v>6856.666666666667</v>
      </c>
      <c r="V14" s="21">
        <f>'Cay trong'!V169</f>
        <v>8190</v>
      </c>
    </row>
    <row r="15" spans="1:22" ht="11.25">
      <c r="A15" s="12" t="s">
        <v>37</v>
      </c>
      <c r="B15" s="12"/>
      <c r="C15" s="12"/>
      <c r="D15" s="12"/>
      <c r="E15" s="21">
        <f>'Cay trong'!E192</f>
        <v>-938.6666666666666</v>
      </c>
      <c r="F15" s="21">
        <f>'Cay trong'!F192</f>
        <v>-5329.066666666666</v>
      </c>
      <c r="G15" s="21">
        <f>'Cay trong'!G192</f>
        <v>-7640</v>
      </c>
      <c r="H15" s="21">
        <f>'Cay trong'!H192</f>
        <v>-6166.666666666666</v>
      </c>
      <c r="I15" s="21">
        <f>'Cay trong'!I192</f>
        <v>-6060</v>
      </c>
      <c r="J15" s="21">
        <f>'Cay trong'!J192</f>
        <v>-5640</v>
      </c>
      <c r="K15" s="21">
        <f>'Cay trong'!K192</f>
        <v>-5640</v>
      </c>
      <c r="L15" s="21">
        <f>'Cay trong'!L192</f>
        <v>-5640</v>
      </c>
      <c r="M15" s="21">
        <f>'Cay trong'!M192</f>
        <v>-4918.933333333333</v>
      </c>
      <c r="N15" s="21">
        <f>'Cay trong'!N192</f>
        <v>-1133.3333333333335</v>
      </c>
      <c r="O15" s="21">
        <f>'Cay trong'!O192</f>
        <v>2809.9999999999995</v>
      </c>
      <c r="P15" s="21">
        <f>'Cay trong'!P192</f>
        <v>3936.6666666666665</v>
      </c>
      <c r="Q15" s="21">
        <f>'Cay trong'!Q192</f>
        <v>4500</v>
      </c>
      <c r="R15" s="21">
        <f>'Cay trong'!R192</f>
        <v>4500</v>
      </c>
      <c r="S15" s="21">
        <f>'Cay trong'!S192</f>
        <v>4500</v>
      </c>
      <c r="T15" s="21">
        <f>'Cay trong'!T192</f>
        <v>4500</v>
      </c>
      <c r="U15" s="21">
        <f>'Cay trong'!U192</f>
        <v>4500</v>
      </c>
      <c r="V15" s="21">
        <f>'Cay trong'!V192</f>
        <v>4500</v>
      </c>
    </row>
    <row r="16" spans="1:22" ht="11.25">
      <c r="A16" s="12" t="s">
        <v>38</v>
      </c>
      <c r="B16" s="12"/>
      <c r="C16" s="12"/>
      <c r="D16" s="12"/>
      <c r="E16" s="21">
        <f>'Cay trong'!E215</f>
        <v>-170.66666666666666</v>
      </c>
      <c r="F16" s="21">
        <f>'Cay trong'!F215</f>
        <v>-1066.6666666666665</v>
      </c>
      <c r="G16" s="21">
        <f>'Cay trong'!G215</f>
        <v>-1999.9999999999998</v>
      </c>
      <c r="H16" s="21">
        <f>'Cay trong'!H215</f>
        <v>-2266.6666666666665</v>
      </c>
      <c r="I16" s="21">
        <f>'Cay trong'!I215</f>
        <v>-2400</v>
      </c>
      <c r="J16" s="21">
        <f>'Cay trong'!J215</f>
        <v>-2400</v>
      </c>
      <c r="K16" s="21">
        <f>'Cay trong'!K215</f>
        <v>-2400</v>
      </c>
      <c r="L16" s="21">
        <f>'Cay trong'!L215</f>
        <v>-2400</v>
      </c>
      <c r="M16" s="21">
        <f>'Cay trong'!M215</f>
        <v>-2400</v>
      </c>
      <c r="N16" s="21">
        <f>'Cay trong'!N215</f>
        <v>-2400</v>
      </c>
      <c r="O16" s="21">
        <f>'Cay trong'!O215</f>
        <v>-2400</v>
      </c>
      <c r="P16" s="21">
        <f>'Cay trong'!P215</f>
        <v>-2400</v>
      </c>
      <c r="Q16" s="21">
        <f>'Cay trong'!Q215</f>
        <v>-2400</v>
      </c>
      <c r="R16" s="21">
        <f>'Cay trong'!R215</f>
        <v>-2400</v>
      </c>
      <c r="S16" s="21">
        <f>'Cay trong'!S215</f>
        <v>-2400</v>
      </c>
      <c r="T16" s="21">
        <f>'Cay trong'!T215</f>
        <v>-2400</v>
      </c>
      <c r="U16" s="21">
        <f>'Cay trong'!U215</f>
        <v>-2400</v>
      </c>
      <c r="V16" s="21">
        <f>'Cay trong'!V215</f>
        <v>-2400</v>
      </c>
    </row>
    <row r="17" spans="1:22" ht="11.25">
      <c r="A17" s="12" t="s">
        <v>39</v>
      </c>
      <c r="B17" s="12"/>
      <c r="C17" s="12"/>
      <c r="D17" s="12"/>
      <c r="E17" s="21">
        <f>'Cay trong'!E238</f>
        <v>34.13333333333333</v>
      </c>
      <c r="F17" s="21">
        <f>'Cay trong'!F238</f>
        <v>213.33333333333331</v>
      </c>
      <c r="G17" s="21">
        <f>'Cay trong'!G238</f>
        <v>400</v>
      </c>
      <c r="H17" s="21">
        <f>'Cay trong'!H238</f>
        <v>453.3333333333333</v>
      </c>
      <c r="I17" s="21">
        <f>'Cay trong'!I238</f>
        <v>480</v>
      </c>
      <c r="J17" s="21">
        <f>'Cay trong'!J238</f>
        <v>480</v>
      </c>
      <c r="K17" s="21">
        <f>'Cay trong'!K238</f>
        <v>480</v>
      </c>
      <c r="L17" s="21">
        <f>'Cay trong'!L238</f>
        <v>480</v>
      </c>
      <c r="M17" s="21">
        <f>'Cay trong'!M238</f>
        <v>480</v>
      </c>
      <c r="N17" s="21">
        <f>'Cay trong'!N238</f>
        <v>480</v>
      </c>
      <c r="O17" s="21">
        <f>'Cay trong'!O238</f>
        <v>480</v>
      </c>
      <c r="P17" s="21">
        <f>'Cay trong'!P238</f>
        <v>480</v>
      </c>
      <c r="Q17" s="21">
        <f>'Cay trong'!Q238</f>
        <v>480</v>
      </c>
      <c r="R17" s="21">
        <f>'Cay trong'!R238</f>
        <v>480</v>
      </c>
      <c r="S17" s="21">
        <f>'Cay trong'!S238</f>
        <v>480</v>
      </c>
      <c r="T17" s="21">
        <f>'Cay trong'!T238</f>
        <v>480</v>
      </c>
      <c r="U17" s="21">
        <f>'Cay trong'!U238</f>
        <v>480</v>
      </c>
      <c r="V17" s="21">
        <f>'Cay trong'!V238</f>
        <v>480</v>
      </c>
    </row>
    <row r="18" spans="1:22" ht="11.25">
      <c r="A18" s="12" t="s">
        <v>40</v>
      </c>
      <c r="B18" s="12"/>
      <c r="C18" s="12"/>
      <c r="D18" s="12"/>
      <c r="E18" s="21">
        <f>'Cay trong'!E261</f>
        <v>-10.666666666666668</v>
      </c>
      <c r="F18" s="21">
        <f>'Cay trong'!F261</f>
        <v>-66.66666666666667</v>
      </c>
      <c r="G18" s="21">
        <f>'Cay trong'!G261</f>
        <v>-125</v>
      </c>
      <c r="H18" s="21">
        <f>'Cay trong'!H261</f>
        <v>-141.66666666666666</v>
      </c>
      <c r="I18" s="21">
        <f>'Cay trong'!I261</f>
        <v>-150</v>
      </c>
      <c r="J18" s="21">
        <f>'Cay trong'!J261</f>
        <v>-150</v>
      </c>
      <c r="K18" s="21">
        <f>'Cay trong'!K261</f>
        <v>-150</v>
      </c>
      <c r="L18" s="21">
        <f>'Cay trong'!L261</f>
        <v>-150</v>
      </c>
      <c r="M18" s="21">
        <f>'Cay trong'!M261</f>
        <v>-150</v>
      </c>
      <c r="N18" s="21">
        <f>'Cay trong'!N261</f>
        <v>-150</v>
      </c>
      <c r="O18" s="21">
        <f>'Cay trong'!O261</f>
        <v>-150</v>
      </c>
      <c r="P18" s="21">
        <f>'Cay trong'!P261</f>
        <v>-150</v>
      </c>
      <c r="Q18" s="21">
        <f>'Cay trong'!Q261</f>
        <v>-150</v>
      </c>
      <c r="R18" s="21">
        <f>'Cay trong'!R261</f>
        <v>-150</v>
      </c>
      <c r="S18" s="21">
        <f>'Cay trong'!S261</f>
        <v>-150</v>
      </c>
      <c r="T18" s="21">
        <f>'Cay trong'!T261</f>
        <v>-150</v>
      </c>
      <c r="U18" s="21">
        <f>'Cay trong'!U261</f>
        <v>-150</v>
      </c>
      <c r="V18" s="21">
        <f>'Cay trong'!V261</f>
        <v>-150</v>
      </c>
    </row>
    <row r="19" ht="12"/>
    <row r="20" spans="1:2" ht="12">
      <c r="A20" s="22" t="s">
        <v>199</v>
      </c>
      <c r="B20" s="2">
        <v>1</v>
      </c>
    </row>
    <row r="21" spans="1:22" ht="12">
      <c r="A21" s="2" t="s">
        <v>202</v>
      </c>
      <c r="E21" s="21">
        <f>'Cay trong'!E123</f>
        <v>-614.4</v>
      </c>
      <c r="F21" s="21">
        <f>'Cay trong'!F123</f>
        <v>-2846.902265372168</v>
      </c>
      <c r="G21" s="21">
        <f>'Cay trong'!G123</f>
        <v>-1128.8729694913127</v>
      </c>
      <c r="H21" s="21">
        <f>'Cay trong'!H123</f>
        <v>2976.2749341784383</v>
      </c>
      <c r="I21" s="21">
        <f>'Cay trong'!I123</f>
        <v>3461.767888740026</v>
      </c>
      <c r="J21" s="21">
        <f>'Cay trong'!J123</f>
        <v>2856.9748713489707</v>
      </c>
      <c r="K21" s="21">
        <f>'Cay trong'!K123</f>
        <v>2802.8415380156366</v>
      </c>
      <c r="L21" s="21">
        <f>'Cay trong'!L123</f>
        <v>3769.5082046823018</v>
      </c>
      <c r="M21" s="21">
        <f>'Cay trong'!M123</f>
        <v>3715.3748713489686</v>
      </c>
      <c r="N21" s="21">
        <f>'Cay trong'!N123</f>
        <v>2856.974871348969</v>
      </c>
      <c r="O21" s="21">
        <f>'Cay trong'!O123</f>
        <v>2802.8415380156366</v>
      </c>
      <c r="P21" s="21">
        <f>'Cay trong'!P123</f>
        <v>3769.5082046823036</v>
      </c>
      <c r="Q21" s="21">
        <f>'Cay trong'!Q123</f>
        <v>3715.3748713489704</v>
      </c>
      <c r="R21" s="21">
        <f>'Cay trong'!R123</f>
        <v>2856.9748713489653</v>
      </c>
      <c r="S21" s="21">
        <f>'Cay trong'!S123</f>
        <v>2802.8415380156366</v>
      </c>
      <c r="T21" s="21">
        <f>'Cay trong'!T123</f>
        <v>3769.5082046823036</v>
      </c>
      <c r="U21" s="21">
        <f>'Cay trong'!U123</f>
        <v>3715.3748713489667</v>
      </c>
      <c r="V21" s="21">
        <f>'Cay trong'!V123</f>
        <v>2856.9748713489653</v>
      </c>
    </row>
    <row r="22" spans="1:22" ht="11.25">
      <c r="A22" s="2" t="s">
        <v>203</v>
      </c>
      <c r="E22" s="9">
        <f aca="true" t="shared" si="3" ref="E22:V22">INDEX($E$12:$V$18,$B$20,E2+1)</f>
        <v>-1010.4888888888889</v>
      </c>
      <c r="F22" s="9">
        <f t="shared" si="3"/>
        <v>-5473.599999999999</v>
      </c>
      <c r="G22" s="9">
        <f t="shared" si="3"/>
        <v>-6636.333333333333</v>
      </c>
      <c r="H22" s="9">
        <f t="shared" si="3"/>
        <v>-3947.8444444444444</v>
      </c>
      <c r="I22" s="9">
        <f t="shared" si="3"/>
        <v>-3426.7111111111103</v>
      </c>
      <c r="J22" s="9">
        <f t="shared" si="3"/>
        <v>-302.6666666666667</v>
      </c>
      <c r="K22" s="9">
        <f t="shared" si="3"/>
        <v>2284.933333333333</v>
      </c>
      <c r="L22" s="9">
        <f t="shared" si="3"/>
        <v>912.1777777777776</v>
      </c>
      <c r="M22" s="9">
        <f t="shared" si="3"/>
        <v>1148.8000000000002</v>
      </c>
      <c r="N22" s="9">
        <f t="shared" si="3"/>
        <v>4231.599999999999</v>
      </c>
      <c r="O22" s="9">
        <f t="shared" si="3"/>
        <v>3161.3777777777777</v>
      </c>
      <c r="P22" s="9">
        <f t="shared" si="3"/>
        <v>709.0222222222222</v>
      </c>
      <c r="Q22" s="9">
        <f t="shared" si="3"/>
        <v>271.8222222222218</v>
      </c>
      <c r="R22" s="9">
        <f t="shared" si="3"/>
        <v>-1836.7111111111117</v>
      </c>
      <c r="S22" s="9">
        <f t="shared" si="3"/>
        <v>89.55555555555566</v>
      </c>
      <c r="T22" s="9">
        <f t="shared" si="3"/>
        <v>4898.266666666666</v>
      </c>
      <c r="U22" s="9">
        <f t="shared" si="3"/>
        <v>3847.7333333333336</v>
      </c>
      <c r="V22" s="9">
        <f t="shared" si="3"/>
        <v>4288.444444444444</v>
      </c>
    </row>
    <row r="23" spans="1:22" ht="12">
      <c r="A23" s="1" t="s">
        <v>211</v>
      </c>
      <c r="B23" s="1"/>
      <c r="C23" s="1"/>
      <c r="D23" s="1"/>
      <c r="E23" s="16">
        <f>E21-E22</f>
        <v>396.08888888888896</v>
      </c>
      <c r="F23" s="16">
        <f aca="true" t="shared" si="4" ref="F23:V23">F21-F22</f>
        <v>2626.6977346278313</v>
      </c>
      <c r="G23" s="16">
        <f t="shared" si="4"/>
        <v>5507.46036384202</v>
      </c>
      <c r="H23" s="16">
        <f t="shared" si="4"/>
        <v>6924.119378622883</v>
      </c>
      <c r="I23" s="16">
        <f t="shared" si="4"/>
        <v>6888.478999851137</v>
      </c>
      <c r="J23" s="16">
        <f t="shared" si="4"/>
        <v>3159.6415380156373</v>
      </c>
      <c r="K23" s="16">
        <f t="shared" si="4"/>
        <v>517.9082046823037</v>
      </c>
      <c r="L23" s="16">
        <f t="shared" si="4"/>
        <v>2857.3304269045243</v>
      </c>
      <c r="M23" s="16">
        <f t="shared" si="4"/>
        <v>2566.5748713489684</v>
      </c>
      <c r="N23" s="16">
        <f t="shared" si="4"/>
        <v>-1374.6251286510305</v>
      </c>
      <c r="O23" s="16">
        <f t="shared" si="4"/>
        <v>-358.5362397621411</v>
      </c>
      <c r="P23" s="16">
        <f t="shared" si="4"/>
        <v>3060.4859824600812</v>
      </c>
      <c r="Q23" s="16">
        <f t="shared" si="4"/>
        <v>3443.5526491267487</v>
      </c>
      <c r="R23" s="16">
        <f t="shared" si="4"/>
        <v>4693.685982460077</v>
      </c>
      <c r="S23" s="16">
        <f t="shared" si="4"/>
        <v>2713.285982460081</v>
      </c>
      <c r="T23" s="16">
        <f t="shared" si="4"/>
        <v>-1128.7584619843628</v>
      </c>
      <c r="U23" s="16">
        <f t="shared" si="4"/>
        <v>-132.35846198436684</v>
      </c>
      <c r="V23" s="16">
        <f t="shared" si="4"/>
        <v>-1431.469573095479</v>
      </c>
    </row>
    <row r="25" spans="1:4" ht="12">
      <c r="A25" s="1" t="s">
        <v>214</v>
      </c>
      <c r="B25" s="1"/>
      <c r="C25" s="1"/>
      <c r="D25" s="1"/>
    </row>
    <row r="26" spans="1:22" ht="11.25">
      <c r="A26" s="2" t="s">
        <v>62</v>
      </c>
      <c r="F26" s="4">
        <f>'Tai chinh'!F126</f>
        <v>853.3333333333334</v>
      </c>
      <c r="G26" s="4">
        <f>'Tai chinh'!G126</f>
        <v>5333.333333333333</v>
      </c>
      <c r="H26" s="4">
        <f>'Tai chinh'!H126</f>
        <v>10000.000000000002</v>
      </c>
      <c r="I26" s="4">
        <f>'Tai chinh'!I126</f>
        <v>11333.333333333332</v>
      </c>
      <c r="J26" s="4">
        <f>'Tai chinh'!J126</f>
        <v>12000</v>
      </c>
      <c r="K26" s="4">
        <f>'Tai chinh'!K126</f>
        <v>12360</v>
      </c>
      <c r="L26" s="4">
        <f>'Tai chinh'!L126</f>
        <v>12730.8</v>
      </c>
      <c r="M26" s="4">
        <f>'Tai chinh'!M126</f>
        <v>13112.724</v>
      </c>
      <c r="N26" s="4">
        <f>'Tai chinh'!N126</f>
        <v>13506.10572</v>
      </c>
      <c r="O26" s="4">
        <f>'Tai chinh'!O126</f>
        <v>13911.288891600003</v>
      </c>
      <c r="P26" s="4">
        <f>'Tai chinh'!P126</f>
        <v>14328.627558348002</v>
      </c>
      <c r="Q26" s="4">
        <f>'Tai chinh'!Q126</f>
        <v>14758.486385098442</v>
      </c>
      <c r="R26" s="4">
        <f>'Tai chinh'!R126</f>
        <v>15201.240976651388</v>
      </c>
      <c r="S26" s="4">
        <f>'Tai chinh'!S126</f>
        <v>15657.27820595094</v>
      </c>
      <c r="T26" s="4">
        <f>'Tai chinh'!T126</f>
        <v>16126.996552129469</v>
      </c>
      <c r="U26" s="4">
        <f>'Tai chinh'!U126</f>
        <v>16610.806448693347</v>
      </c>
      <c r="V26" s="4">
        <f>'Tai chinh'!V126</f>
        <v>17109.130642154145</v>
      </c>
    </row>
    <row r="27" spans="1:62" ht="11.25">
      <c r="A27" s="4" t="s">
        <v>63</v>
      </c>
      <c r="B27" s="4"/>
      <c r="C27" s="4"/>
      <c r="D27" s="4"/>
      <c r="E27" s="4"/>
      <c r="F27" s="4">
        <f>F26*(1-'Tai chinh'!$B$47)</f>
        <v>85.33333333333331</v>
      </c>
      <c r="G27" s="4">
        <f>G26*(1-'Tai chinh'!$B$47)</f>
        <v>533.3333333333331</v>
      </c>
      <c r="H27" s="4">
        <f>H26*(1-'Tai chinh'!$B$47)</f>
        <v>1000</v>
      </c>
      <c r="I27" s="4">
        <f>I26*(1-'Tai chinh'!$B$47)</f>
        <v>1133.333333333333</v>
      </c>
      <c r="J27" s="4">
        <f>J26*(1-'Tai chinh'!$B$47)</f>
        <v>1199.9999999999998</v>
      </c>
      <c r="K27" s="4">
        <f>K26*(1-'Tai chinh'!$B$47)</f>
        <v>1235.9999999999998</v>
      </c>
      <c r="L27" s="4">
        <f>L26*(1-'Tai chinh'!$B$47)</f>
        <v>1273.0799999999997</v>
      </c>
      <c r="M27" s="4">
        <f>M26*(1-'Tai chinh'!$B$47)</f>
        <v>1311.2723999999998</v>
      </c>
      <c r="N27" s="4">
        <f>N26*(1-'Tai chinh'!$B$47)</f>
        <v>1350.6105719999996</v>
      </c>
      <c r="O27" s="4">
        <f>O26*(1-'Tai chinh'!$B$47)</f>
        <v>1391.12888916</v>
      </c>
      <c r="P27" s="4">
        <f>P26*(1-'Tai chinh'!$B$47)</f>
        <v>1432.8627558347998</v>
      </c>
      <c r="Q27" s="4">
        <f>Q26*(1-'Tai chinh'!$B$47)</f>
        <v>1475.8486385098438</v>
      </c>
      <c r="R27" s="4">
        <f>R26*(1-'Tai chinh'!$B$47)</f>
        <v>1520.1240976651386</v>
      </c>
      <c r="S27" s="4">
        <f>S26*(1-'Tai chinh'!$B$47)</f>
        <v>1565.7278205950938</v>
      </c>
      <c r="T27" s="4">
        <f>T26*(1-'Tai chinh'!$B$47)</f>
        <v>1612.6996552129465</v>
      </c>
      <c r="U27" s="4">
        <f>U26*(1-'Tai chinh'!$B$47)</f>
        <v>1661.0806448693343</v>
      </c>
      <c r="V27" s="4">
        <f>V26*(1-'Tai chinh'!$B$47)</f>
        <v>1710.9130642154141</v>
      </c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</row>
    <row r="28" spans="1:22" ht="11.25">
      <c r="A28" s="2" t="s">
        <v>61</v>
      </c>
      <c r="F28" s="20">
        <f>'Van chuyen'!$D$33</f>
        <v>0.20897823637549653</v>
      </c>
      <c r="G28" s="20">
        <f>'Van chuyen'!$D$33</f>
        <v>0.20897823637549653</v>
      </c>
      <c r="H28" s="20">
        <f>'Van chuyen'!$D$33</f>
        <v>0.20897823637549653</v>
      </c>
      <c r="I28" s="20">
        <f>'Van chuyen'!$D$33</f>
        <v>0.20897823637549653</v>
      </c>
      <c r="J28" s="20">
        <f>'Van chuyen'!$D$33</f>
        <v>0.20897823637549653</v>
      </c>
      <c r="K28" s="20">
        <f>'Van chuyen'!$D$33</f>
        <v>0.20897823637549653</v>
      </c>
      <c r="L28" s="20">
        <f>'Van chuyen'!$D$33</f>
        <v>0.20897823637549653</v>
      </c>
      <c r="M28" s="20">
        <f>'Van chuyen'!$D$33</f>
        <v>0.20897823637549653</v>
      </c>
      <c r="N28" s="20">
        <f>'Van chuyen'!$D$33</f>
        <v>0.20897823637549653</v>
      </c>
      <c r="O28" s="20">
        <f>'Van chuyen'!$D$33</f>
        <v>0.20897823637549653</v>
      </c>
      <c r="P28" s="20">
        <f>'Van chuyen'!$D$33</f>
        <v>0.20897823637549653</v>
      </c>
      <c r="Q28" s="20">
        <f>'Van chuyen'!$D$33</f>
        <v>0.20897823637549653</v>
      </c>
      <c r="R28" s="20">
        <f>'Van chuyen'!$D$33</f>
        <v>0.20897823637549653</v>
      </c>
      <c r="S28" s="20">
        <f>'Van chuyen'!$D$33</f>
        <v>0.20897823637549653</v>
      </c>
      <c r="T28" s="20">
        <f>'Van chuyen'!$D$33</f>
        <v>0.20897823637549653</v>
      </c>
      <c r="U28" s="20">
        <f>'Van chuyen'!$D$33</f>
        <v>0.20897823637549653</v>
      </c>
      <c r="V28" s="20">
        <f>'Van chuyen'!$D$33</f>
        <v>0.20897823637549653</v>
      </c>
    </row>
    <row r="29" spans="1:22" ht="12">
      <c r="A29" s="1" t="s">
        <v>210</v>
      </c>
      <c r="B29" s="1"/>
      <c r="C29" s="1"/>
      <c r="D29" s="1"/>
      <c r="F29" s="16">
        <f>F28*F27</f>
        <v>17.832809504042366</v>
      </c>
      <c r="G29" s="16">
        <f aca="true" t="shared" si="5" ref="G29:V29">G28*G27</f>
        <v>111.45505940026477</v>
      </c>
      <c r="H29" s="16">
        <f t="shared" si="5"/>
        <v>208.97823637549652</v>
      </c>
      <c r="I29" s="16">
        <f t="shared" si="5"/>
        <v>236.84200122556268</v>
      </c>
      <c r="J29" s="16">
        <f t="shared" si="5"/>
        <v>250.7738836505958</v>
      </c>
      <c r="K29" s="16">
        <f t="shared" si="5"/>
        <v>258.29710016011364</v>
      </c>
      <c r="L29" s="16">
        <f t="shared" si="5"/>
        <v>266.04601316491704</v>
      </c>
      <c r="M29" s="16">
        <f t="shared" si="5"/>
        <v>274.0273935598646</v>
      </c>
      <c r="N29" s="16">
        <f t="shared" si="5"/>
        <v>282.2482153666605</v>
      </c>
      <c r="O29" s="16">
        <f t="shared" si="5"/>
        <v>290.71566182766037</v>
      </c>
      <c r="P29" s="16">
        <f t="shared" si="5"/>
        <v>299.4371316824902</v>
      </c>
      <c r="Q29" s="16">
        <f t="shared" si="5"/>
        <v>308.42024563296485</v>
      </c>
      <c r="R29" s="16">
        <f t="shared" si="5"/>
        <v>317.67285300195374</v>
      </c>
      <c r="S29" s="16">
        <f t="shared" si="5"/>
        <v>327.20303859201255</v>
      </c>
      <c r="T29" s="16">
        <f t="shared" si="5"/>
        <v>337.0191297497729</v>
      </c>
      <c r="U29" s="16">
        <f t="shared" si="5"/>
        <v>347.12970364226595</v>
      </c>
      <c r="V29" s="16">
        <f t="shared" si="5"/>
        <v>357.5435947515339</v>
      </c>
    </row>
    <row r="30" spans="1:22" ht="12">
      <c r="A30" s="1"/>
      <c r="B30" s="1"/>
      <c r="C30" s="1"/>
      <c r="D30" s="1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" ht="12" thickBot="1">
      <c r="A31" s="1" t="s">
        <v>311</v>
      </c>
      <c r="B31" s="122" t="s">
        <v>23</v>
      </c>
    </row>
    <row r="32" spans="1:22" ht="11.25">
      <c r="A32" s="123" t="s">
        <v>16</v>
      </c>
      <c r="B32" s="124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6"/>
    </row>
    <row r="33" spans="1:22" ht="11.25">
      <c r="A33" s="81" t="s">
        <v>9</v>
      </c>
      <c r="B33" s="32">
        <f>NPV('Tai chinh'!$B$76,F33:V33)+E33+D33/(1+'Tai chinh'!$B$76)^D$2+C33/(1+'Tai chinh'!$B$76)^C$2</f>
        <v>190886.03399369193</v>
      </c>
      <c r="C33" s="127">
        <f>'Tai chinh'!C116*'Tai chinh'!$B$40*'Tai chinh'!C11</f>
        <v>0</v>
      </c>
      <c r="D33" s="127">
        <f>'Tai chinh'!D116*'Tai chinh'!$B$40*'Tai chinh'!D11</f>
        <v>0</v>
      </c>
      <c r="E33" s="127">
        <f>'Tai chinh'!E116*'Tai chinh'!$B$40*'Tai chinh'!E11</f>
        <v>0</v>
      </c>
      <c r="F33" s="127">
        <f>'Tai chinh'!F116*'Tai chinh'!$B$40*'Tai chinh'!F9</f>
        <v>1977.7189278350513</v>
      </c>
      <c r="G33" s="127">
        <f>'Tai chinh'!G116*'Tai chinh'!$B$40*'Tai chinh'!G9</f>
        <v>12946.51597938144</v>
      </c>
      <c r="H33" s="127">
        <f>'Tai chinh'!H116*'Tai chinh'!$B$40*'Tai chinh'!H9</f>
        <v>25559.833514062502</v>
      </c>
      <c r="I33" s="127">
        <f>'Tai chinh'!I116*'Tai chinh'!$B$40*'Tai chinh'!I9</f>
        <v>30478.48267606364</v>
      </c>
      <c r="J33" s="127">
        <f>'Tai chinh'!J116*'Tai chinh'!$B$40*'Tai chinh'!J9</f>
        <v>33954.28469748037</v>
      </c>
      <c r="K33" s="127">
        <f>'Tai chinh'!K116*'Tai chinh'!$B$40*'Tai chinh'!K9</f>
        <v>35725.00064445397</v>
      </c>
      <c r="L33" s="127">
        <f>'Tai chinh'!L116*'Tai chinh'!$B$40*'Tai chinh'!L9</f>
        <v>37587.97984681933</v>
      </c>
      <c r="M33" s="127">
        <f>'Tai chinh'!M116*'Tai chinh'!$B$40*'Tai chinh'!M9</f>
        <v>38667.56335631443</v>
      </c>
      <c r="N33" s="127">
        <f>'Tai chinh'!N116*'Tai chinh'!$B$40*'Tai chinh'!N9</f>
        <v>39491.18245580393</v>
      </c>
      <c r="O33" s="127">
        <f>'Tai chinh'!O116*'Tai chinh'!$B$40*'Tai chinh'!O9</f>
        <v>40332.344642112555</v>
      </c>
      <c r="P33" s="127">
        <f>'Tai chinh'!P116*'Tai chinh'!$B$40*'Tai chinh'!P9</f>
        <v>41191.423582989555</v>
      </c>
      <c r="Q33" s="127">
        <f>'Tai chinh'!Q116*'Tai chinh'!$B$40*'Tai chinh'!Q9</f>
        <v>42068.13129252409</v>
      </c>
      <c r="R33" s="127">
        <f>'Tai chinh'!R116*'Tai chinh'!$B$40*'Tai chinh'!R9</f>
        <v>42573.84877577319</v>
      </c>
      <c r="S33" s="127">
        <f>'Tai chinh'!S116*'Tai chinh'!$B$40*'Tai chinh'!S9</f>
        <v>42957.01341475514</v>
      </c>
      <c r="T33" s="127">
        <f>'Tai chinh'!T116*'Tai chinh'!$B$40*'Tai chinh'!T9</f>
        <v>43343.626535487936</v>
      </c>
      <c r="U33" s="127">
        <f>'Tai chinh'!U116*'Tai chinh'!$B$40*'Tai chinh'!U9</f>
        <v>43733.71917430733</v>
      </c>
      <c r="V33" s="128">
        <f>'Tai chinh'!V116*'Tai chinh'!$B$40*'Tai chinh'!V9</f>
        <v>44127.322646876084</v>
      </c>
    </row>
    <row r="34" spans="1:22" ht="11.25">
      <c r="A34" s="81" t="s">
        <v>218</v>
      </c>
      <c r="B34" s="32">
        <f>NPV('Tai chinh'!$B$76,F34:V34)+E34+D34/(1+'Tai chinh'!$B$76)^D$2+C34/(1+'Tai chinh'!$B$76)^C$2</f>
        <v>8856.685014575369</v>
      </c>
      <c r="C34" s="127">
        <f>C8</f>
        <v>18.575</v>
      </c>
      <c r="D34" s="127">
        <f aca="true" t="shared" si="6" ref="D34:V34">D8</f>
        <v>797.25</v>
      </c>
      <c r="E34" s="127">
        <f t="shared" si="6"/>
        <v>1645.525</v>
      </c>
      <c r="F34" s="127">
        <f t="shared" si="6"/>
        <v>1559.6</v>
      </c>
      <c r="G34" s="127">
        <f t="shared" si="6"/>
        <v>660</v>
      </c>
      <c r="H34" s="127">
        <f t="shared" si="6"/>
        <v>634.5</v>
      </c>
      <c r="I34" s="127">
        <f t="shared" si="6"/>
        <v>723.71</v>
      </c>
      <c r="J34" s="127">
        <f t="shared" si="6"/>
        <v>840.5819250000001</v>
      </c>
      <c r="K34" s="127">
        <f t="shared" si="6"/>
        <v>865.79938275</v>
      </c>
      <c r="L34" s="127">
        <f t="shared" si="6"/>
        <v>891.7733642325</v>
      </c>
      <c r="M34" s="127">
        <f t="shared" si="6"/>
        <v>918.526565159475</v>
      </c>
      <c r="N34" s="127">
        <f t="shared" si="6"/>
        <v>946.0823621142592</v>
      </c>
      <c r="O34" s="127">
        <f t="shared" si="6"/>
        <v>974.4648329776871</v>
      </c>
      <c r="P34" s="127">
        <f t="shared" si="6"/>
        <v>1003.6987779670178</v>
      </c>
      <c r="Q34" s="127">
        <f t="shared" si="6"/>
        <v>1033.8097413060282</v>
      </c>
      <c r="R34" s="127">
        <f t="shared" si="6"/>
        <v>1064.8240335452092</v>
      </c>
      <c r="S34" s="127">
        <f t="shared" si="6"/>
        <v>1096.7687545515655</v>
      </c>
      <c r="T34" s="127">
        <f t="shared" si="6"/>
        <v>1129.6718171881125</v>
      </c>
      <c r="U34" s="127">
        <f t="shared" si="6"/>
        <v>1163.561971703756</v>
      </c>
      <c r="V34" s="128">
        <f t="shared" si="6"/>
        <v>1198.4688308548687</v>
      </c>
    </row>
    <row r="35" spans="1:22" ht="11.25">
      <c r="A35" s="81" t="s">
        <v>219</v>
      </c>
      <c r="B35" s="32">
        <f>NPV('Tai chinh'!$B$76,F35:V35)+E35+D35/(1+'Tai chinh'!$B$76)^D$2+C35/(1+'Tai chinh'!$B$76)^C$2</f>
        <v>25101.110515506803</v>
      </c>
      <c r="C35" s="127">
        <f>C23*'Tai chinh'!C82</f>
        <v>0</v>
      </c>
      <c r="D35" s="127">
        <f>D23*'Tai chinh'!D82</f>
        <v>0</v>
      </c>
      <c r="E35" s="127">
        <f>E23*'Tai chinh'!E82</f>
        <v>396.08888888888896</v>
      </c>
      <c r="F35" s="127">
        <f>F23*'Tai chinh'!F82</f>
        <v>2705.4986666666664</v>
      </c>
      <c r="G35" s="127">
        <f>G23*'Tai chinh'!G82</f>
        <v>5842.864699999999</v>
      </c>
      <c r="H35" s="127">
        <f>H23*'Tai chinh'!H82</f>
        <v>7566.172196244447</v>
      </c>
      <c r="I35" s="127">
        <f>I23*'Tai chinh'!I82</f>
        <v>7753.043801832444</v>
      </c>
      <c r="J35" s="127">
        <f>J23*'Tai chinh'!J82</f>
        <v>3662.890519102906</v>
      </c>
      <c r="K35" s="127">
        <f>K23*'Tai chinh'!K82</f>
        <v>618.4094811921161</v>
      </c>
      <c r="L35" s="127">
        <f>L23*'Tai chinh'!L82</f>
        <v>3514.156016933162</v>
      </c>
      <c r="M35" s="127">
        <f>M23*'Tai chinh'!M82</f>
        <v>3251.2602586661437</v>
      </c>
      <c r="N35" s="127">
        <f>N23*'Tai chinh'!N82</f>
        <v>-1793.5740056816906</v>
      </c>
      <c r="O35" s="127">
        <f>O23*'Tai chinh'!O82</f>
        <v>-481.8427252047928</v>
      </c>
      <c r="P35" s="127">
        <f>P23*'Tai chinh'!P82</f>
        <v>4236.428357798627</v>
      </c>
      <c r="Q35" s="127">
        <f>Q23*'Tai chinh'!Q82</f>
        <v>4909.682678920463</v>
      </c>
      <c r="R35" s="127">
        <f>R23*'Tai chinh'!R82</f>
        <v>6892.836105597653</v>
      </c>
      <c r="S35" s="127">
        <f>S23*'Tai chinh'!S82</f>
        <v>4104.088497662526</v>
      </c>
      <c r="T35" s="127">
        <f>T23*'Tai chinh'!T82</f>
        <v>-1758.568904984031</v>
      </c>
      <c r="U35" s="127">
        <f>U23*'Tai chinh'!U82</f>
        <v>-212.39647621552567</v>
      </c>
      <c r="V35" s="128">
        <f>V23*'Tai chinh'!V82</f>
        <v>-2366.0010945599183</v>
      </c>
    </row>
    <row r="36" spans="1:22" ht="11.25">
      <c r="A36" s="81" t="s">
        <v>220</v>
      </c>
      <c r="B36" s="32">
        <f>NPV('Tai chinh'!$B$76,F36:V36)+E36+D36/(1+'Tai chinh'!$B$76)^D$2+C36/(1+'Tai chinh'!$B$76)^C$2</f>
        <v>1439.4916317316774</v>
      </c>
      <c r="C36" s="127">
        <f>C29</f>
        <v>0</v>
      </c>
      <c r="D36" s="127">
        <f aca="true" t="shared" si="7" ref="D36:V36">D29</f>
        <v>0</v>
      </c>
      <c r="E36" s="127">
        <f t="shared" si="7"/>
        <v>0</v>
      </c>
      <c r="F36" s="127">
        <f t="shared" si="7"/>
        <v>17.832809504042366</v>
      </c>
      <c r="G36" s="127">
        <f t="shared" si="7"/>
        <v>111.45505940026477</v>
      </c>
      <c r="H36" s="127">
        <f t="shared" si="7"/>
        <v>208.97823637549652</v>
      </c>
      <c r="I36" s="127">
        <f t="shared" si="7"/>
        <v>236.84200122556268</v>
      </c>
      <c r="J36" s="127">
        <f t="shared" si="7"/>
        <v>250.7738836505958</v>
      </c>
      <c r="K36" s="127">
        <f t="shared" si="7"/>
        <v>258.29710016011364</v>
      </c>
      <c r="L36" s="127">
        <f t="shared" si="7"/>
        <v>266.04601316491704</v>
      </c>
      <c r="M36" s="127">
        <f t="shared" si="7"/>
        <v>274.0273935598646</v>
      </c>
      <c r="N36" s="127">
        <f t="shared" si="7"/>
        <v>282.2482153666605</v>
      </c>
      <c r="O36" s="127">
        <f t="shared" si="7"/>
        <v>290.71566182766037</v>
      </c>
      <c r="P36" s="127">
        <f t="shared" si="7"/>
        <v>299.4371316824902</v>
      </c>
      <c r="Q36" s="127">
        <f t="shared" si="7"/>
        <v>308.42024563296485</v>
      </c>
      <c r="R36" s="127">
        <f t="shared" si="7"/>
        <v>317.67285300195374</v>
      </c>
      <c r="S36" s="127">
        <f t="shared" si="7"/>
        <v>327.20303859201255</v>
      </c>
      <c r="T36" s="127">
        <f t="shared" si="7"/>
        <v>337.0191297497729</v>
      </c>
      <c r="U36" s="127">
        <f t="shared" si="7"/>
        <v>347.12970364226595</v>
      </c>
      <c r="V36" s="128">
        <f t="shared" si="7"/>
        <v>357.5435947515339</v>
      </c>
    </row>
    <row r="37" spans="1:22" ht="11.25">
      <c r="A37" s="81" t="s">
        <v>72</v>
      </c>
      <c r="B37" s="32">
        <f>NPV('Tai chinh'!$B$76,F37:V37)+E37+D37/(1+'Tai chinh'!$B$76)^D$2+C37/(1+'Tai chinh'!$B$76)^C$2</f>
        <v>113071.22255493376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33">
        <f>(SUM(V33:V36)-SUM(V40:V42))*(1+'Tai chinh'!$B$6)/('Tai chinh'!$B$76-'Tai chinh'!$B$6)</f>
        <v>128109.69515473998</v>
      </c>
    </row>
    <row r="38" spans="1:22" ht="11.25">
      <c r="A38" s="81" t="s">
        <v>22</v>
      </c>
      <c r="B38" s="32">
        <f>NPV('Tai chinh'!$B$76,F38:V38)+E38+D38/(1+'Tai chinh'!$B$76)^D$2+C38/(1+'Tai chinh'!$B$76)^C$2</f>
        <v>241617.95922250667</v>
      </c>
      <c r="C38" s="127">
        <f>SUM(C33:C37)</f>
        <v>18.575</v>
      </c>
      <c r="D38" s="127">
        <f aca="true" t="shared" si="8" ref="D38:V38">SUM(D33:D37)</f>
        <v>797.25</v>
      </c>
      <c r="E38" s="127">
        <f t="shared" si="8"/>
        <v>2041.613888888889</v>
      </c>
      <c r="F38" s="127">
        <f t="shared" si="8"/>
        <v>6260.65040400576</v>
      </c>
      <c r="G38" s="127">
        <f t="shared" si="8"/>
        <v>19560.835738781705</v>
      </c>
      <c r="H38" s="127">
        <f t="shared" si="8"/>
        <v>33969.48394668244</v>
      </c>
      <c r="I38" s="127">
        <f t="shared" si="8"/>
        <v>39192.07847912164</v>
      </c>
      <c r="J38" s="127">
        <f t="shared" si="8"/>
        <v>38708.53102523387</v>
      </c>
      <c r="K38" s="127">
        <f t="shared" si="8"/>
        <v>37467.5066085562</v>
      </c>
      <c r="L38" s="127">
        <f t="shared" si="8"/>
        <v>42259.95524114991</v>
      </c>
      <c r="M38" s="127">
        <f t="shared" si="8"/>
        <v>43111.377573699916</v>
      </c>
      <c r="N38" s="127">
        <f t="shared" si="8"/>
        <v>38925.939027603155</v>
      </c>
      <c r="O38" s="127">
        <f t="shared" si="8"/>
        <v>41115.68241171312</v>
      </c>
      <c r="P38" s="127">
        <f t="shared" si="8"/>
        <v>46730.98785043769</v>
      </c>
      <c r="Q38" s="127">
        <f t="shared" si="8"/>
        <v>48320.043958383554</v>
      </c>
      <c r="R38" s="127">
        <f t="shared" si="8"/>
        <v>50849.181767918</v>
      </c>
      <c r="S38" s="127">
        <f t="shared" si="8"/>
        <v>48485.07370556125</v>
      </c>
      <c r="T38" s="127">
        <f t="shared" si="8"/>
        <v>43051.748577441795</v>
      </c>
      <c r="U38" s="127">
        <f t="shared" si="8"/>
        <v>45032.01437343783</v>
      </c>
      <c r="V38" s="128">
        <f t="shared" si="8"/>
        <v>171427.02913266254</v>
      </c>
    </row>
    <row r="39" spans="1:22" ht="11.25">
      <c r="A39" s="129" t="s">
        <v>17</v>
      </c>
      <c r="B39" s="32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8"/>
    </row>
    <row r="40" spans="1:22" ht="11.25">
      <c r="A40" s="81" t="s">
        <v>18</v>
      </c>
      <c r="B40" s="32">
        <f>NPV('Tai chinh'!$B$76,F40:V40)+E40+D40/(1+'Tai chinh'!$B$76)^D$2+C40/(1+'Tai chinh'!$B$76)^C$2</f>
        <v>108817.12374404968</v>
      </c>
      <c r="C40" s="127">
        <f>'Tai chinh'!C171</f>
        <v>0</v>
      </c>
      <c r="D40" s="127">
        <f>'Tai chinh'!D171</f>
        <v>0</v>
      </c>
      <c r="E40" s="127">
        <f>'Tai chinh'!E171</f>
        <v>0</v>
      </c>
      <c r="F40" s="127">
        <f>'Tai chinh'!F171</f>
        <v>7143.522666666668</v>
      </c>
      <c r="G40" s="127">
        <f>'Tai chinh'!G171</f>
        <v>9688.514666666666</v>
      </c>
      <c r="H40" s="127">
        <f>'Tai chinh'!H171</f>
        <v>14633.281450000002</v>
      </c>
      <c r="I40" s="127">
        <f>'Tai chinh'!I171</f>
        <v>16817.405145966666</v>
      </c>
      <c r="J40" s="127">
        <f>'Tai chinh'!J171</f>
        <v>17848.495300366</v>
      </c>
      <c r="K40" s="127">
        <f>'Tai chinh'!K171</f>
        <v>18383.950159376982</v>
      </c>
      <c r="L40" s="127">
        <f>'Tai chinh'!L171</f>
        <v>18935.46866415829</v>
      </c>
      <c r="M40" s="127">
        <f>'Tai chinh'!M171</f>
        <v>19503.53272408304</v>
      </c>
      <c r="N40" s="127">
        <f>'Tai chinh'!N171</f>
        <v>20088.63870580553</v>
      </c>
      <c r="O40" s="127">
        <f>'Tai chinh'!O171</f>
        <v>20691.2978669797</v>
      </c>
      <c r="P40" s="127">
        <f>'Tai chinh'!P171</f>
        <v>21312.03680298909</v>
      </c>
      <c r="Q40" s="127">
        <f>'Tai chinh'!Q171</f>
        <v>21951.397907078765</v>
      </c>
      <c r="R40" s="127">
        <f>'Tai chinh'!R171</f>
        <v>22609.93984429112</v>
      </c>
      <c r="S40" s="127">
        <f>'Tai chinh'!S171</f>
        <v>23288.23803961986</v>
      </c>
      <c r="T40" s="127">
        <f>'Tai chinh'!T171</f>
        <v>23986.885180808462</v>
      </c>
      <c r="U40" s="127">
        <f>'Tai chinh'!U171</f>
        <v>24706.491736232707</v>
      </c>
      <c r="V40" s="128">
        <f>'Tai chinh'!V171</f>
        <v>25447.68648831969</v>
      </c>
    </row>
    <row r="41" spans="1:22" ht="11.25">
      <c r="A41" s="81" t="s">
        <v>20</v>
      </c>
      <c r="B41" s="32">
        <f>NPV('Tai chinh'!$B$76,F41:V41)+E41+D41/(1+'Tai chinh'!$B$76)^D$2+C41/(1+'Tai chinh'!$B$76)^C$2</f>
        <v>4325.7401464898485</v>
      </c>
      <c r="C41" s="127">
        <f>'Tai chinh'!C184</f>
        <v>150</v>
      </c>
      <c r="D41" s="127">
        <f>'Tai chinh'!D184</f>
        <v>560</v>
      </c>
      <c r="E41" s="127">
        <f>'Tai chinh'!E184</f>
        <v>630</v>
      </c>
      <c r="F41" s="127">
        <f>'Tai chinh'!F184</f>
        <v>310</v>
      </c>
      <c r="G41" s="127">
        <f>'Tai chinh'!G184</f>
        <v>220.05230813287494</v>
      </c>
      <c r="H41" s="127">
        <f>'Tai chinh'!H184</f>
        <v>1821.9236438983755</v>
      </c>
      <c r="I41" s="127">
        <f>'Tai chinh'!I184</f>
        <v>710.4715456223862</v>
      </c>
      <c r="J41" s="127">
        <f>'Tai chinh'!J184</f>
        <v>502.06029198241686</v>
      </c>
      <c r="K41" s="127">
        <f>'Tai chinh'!K184</f>
        <v>255.77008122952066</v>
      </c>
      <c r="L41" s="127">
        <f>'Tai chinh'!L184</f>
        <v>269.0969958972182</v>
      </c>
      <c r="M41" s="127">
        <f>'Tai chinh'!M184</f>
        <v>155.9398402604029</v>
      </c>
      <c r="N41" s="127">
        <f>'Tai chinh'!N184</f>
        <v>118.9672032595945</v>
      </c>
      <c r="O41" s="127">
        <f>'Tai chinh'!O184</f>
        <v>121.50120468902423</v>
      </c>
      <c r="P41" s="127">
        <f>'Tai chinh'!P184</f>
        <v>124.08918034889939</v>
      </c>
      <c r="Q41" s="127">
        <f>'Tai chinh'!Q184</f>
        <v>126.63555804387761</v>
      </c>
      <c r="R41" s="127">
        <f>'Tai chinh'!R184</f>
        <v>73.0480809137589</v>
      </c>
      <c r="S41" s="127">
        <f>'Tai chinh'!S184</f>
        <v>55.34600340850375</v>
      </c>
      <c r="T41" s="127">
        <f>'Tai chinh'!T184</f>
        <v>55.84411743918099</v>
      </c>
      <c r="U41" s="127">
        <f>'Tai chinh'!U184</f>
        <v>56.346714496135064</v>
      </c>
      <c r="V41" s="128">
        <f>'Tai chinh'!V184</f>
        <v>56.85383492659821</v>
      </c>
    </row>
    <row r="42" spans="1:22" ht="11.25">
      <c r="A42" s="81" t="s">
        <v>21</v>
      </c>
      <c r="B42" s="32">
        <f>NPV('Tai chinh'!$B$76,F42:V42)+E42+D42/(1+'Tai chinh'!$B$76)^D$2+C42/(1+'Tai chinh'!$B$76)^C$2</f>
        <v>85897.03198507792</v>
      </c>
      <c r="C42" s="127">
        <f>'Tai chinh'!C86</f>
        <v>1548.3</v>
      </c>
      <c r="D42" s="127">
        <f>'Tai chinh'!D86</f>
        <v>14041.6</v>
      </c>
      <c r="E42" s="127">
        <f>'Tai chinh'!E86</f>
        <v>38585</v>
      </c>
      <c r="F42" s="127">
        <f>'Tai chinh'!F86</f>
        <v>10376</v>
      </c>
      <c r="G42" s="127">
        <f>'Tai chinh'!G86</f>
        <v>1585</v>
      </c>
      <c r="H42" s="127">
        <f>'Tai chinh'!H86</f>
        <v>3306.795</v>
      </c>
      <c r="I42" s="127">
        <f>'Tai chinh'!I86</f>
        <v>3405.99885</v>
      </c>
      <c r="J42" s="127">
        <f>'Tai chinh'!J86</f>
        <v>3508.1788155</v>
      </c>
      <c r="K42" s="127">
        <f>'Tai chinh'!K86</f>
        <v>3613.424179965</v>
      </c>
      <c r="L42" s="127">
        <f>'Tai chinh'!L86</f>
        <v>3721.82690536395</v>
      </c>
      <c r="M42" s="127">
        <f>'Tai chinh'!M86</f>
        <v>3833.4817125248687</v>
      </c>
      <c r="N42" s="127">
        <f>'Tai chinh'!N86</f>
        <v>3948.486163900615</v>
      </c>
      <c r="O42" s="127">
        <f>'Tai chinh'!O86</f>
        <v>4066.9407488176334</v>
      </c>
      <c r="P42" s="127">
        <f>'Tai chinh'!P86</f>
        <v>4188.948971282162</v>
      </c>
      <c r="Q42" s="127">
        <f>'Tai chinh'!Q86</f>
        <v>4314.617440420628</v>
      </c>
      <c r="R42" s="127">
        <f>'Tai chinh'!R86</f>
        <v>4444.055963633246</v>
      </c>
      <c r="S42" s="127">
        <f>'Tai chinh'!S86</f>
        <v>4577.377642542244</v>
      </c>
      <c r="T42" s="127">
        <f>'Tai chinh'!T86</f>
        <v>4714.698971818511</v>
      </c>
      <c r="U42" s="127">
        <f>'Tai chinh'!U86</f>
        <v>4856.139940973067</v>
      </c>
      <c r="V42" s="128">
        <f>'Tai chinh'!V86</f>
        <v>5001.824139202258</v>
      </c>
    </row>
    <row r="43" spans="1:22" ht="11.25">
      <c r="A43" s="81" t="s">
        <v>22</v>
      </c>
      <c r="B43" s="32">
        <f>NPV('Tai chinh'!$B$76,F43:V43)+E43+D43/(1+'Tai chinh'!$B$76)^D$2+C43/(1+'Tai chinh'!$B$76)^C$2</f>
        <v>199039.89587561748</v>
      </c>
      <c r="C43" s="127">
        <f>SUM(C40:C42)</f>
        <v>1698.3</v>
      </c>
      <c r="D43" s="127">
        <f aca="true" t="shared" si="9" ref="D43:V43">SUM(D40:D42)</f>
        <v>14601.6</v>
      </c>
      <c r="E43" s="127">
        <f t="shared" si="9"/>
        <v>39215</v>
      </c>
      <c r="F43" s="127">
        <f t="shared" si="9"/>
        <v>17829.522666666668</v>
      </c>
      <c r="G43" s="127">
        <f t="shared" si="9"/>
        <v>11493.566974799542</v>
      </c>
      <c r="H43" s="127">
        <f t="shared" si="9"/>
        <v>19762.00009389838</v>
      </c>
      <c r="I43" s="127">
        <f t="shared" si="9"/>
        <v>20933.875541589052</v>
      </c>
      <c r="J43" s="127">
        <f t="shared" si="9"/>
        <v>21858.734407848417</v>
      </c>
      <c r="K43" s="127">
        <f t="shared" si="9"/>
        <v>22253.144420571505</v>
      </c>
      <c r="L43" s="127">
        <f t="shared" si="9"/>
        <v>22926.392565419457</v>
      </c>
      <c r="M43" s="127">
        <f t="shared" si="9"/>
        <v>23492.954276868313</v>
      </c>
      <c r="N43" s="127">
        <f t="shared" si="9"/>
        <v>24156.09207296574</v>
      </c>
      <c r="O43" s="127">
        <f t="shared" si="9"/>
        <v>24879.73982048636</v>
      </c>
      <c r="P43" s="127">
        <f t="shared" si="9"/>
        <v>25625.07495462015</v>
      </c>
      <c r="Q43" s="127">
        <f t="shared" si="9"/>
        <v>26392.650905543273</v>
      </c>
      <c r="R43" s="127">
        <f t="shared" si="9"/>
        <v>27127.043888838125</v>
      </c>
      <c r="S43" s="127">
        <f t="shared" si="9"/>
        <v>27920.961685570608</v>
      </c>
      <c r="T43" s="127">
        <f t="shared" si="9"/>
        <v>28757.428270066153</v>
      </c>
      <c r="U43" s="127">
        <f t="shared" si="9"/>
        <v>29618.97839170191</v>
      </c>
      <c r="V43" s="128">
        <f t="shared" si="9"/>
        <v>30506.364462448546</v>
      </c>
    </row>
    <row r="44" spans="1:22" ht="11.25">
      <c r="A44" s="81"/>
      <c r="B44" s="32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8"/>
    </row>
    <row r="45" spans="1:22" ht="12" thickBot="1">
      <c r="A45" s="130" t="s">
        <v>24</v>
      </c>
      <c r="B45" s="117">
        <f>NPV('Tai chinh'!$B$76,F45:V45)+E45+D45/(1+'Tai chinh'!$B$76)^D$2+C45/(1+'Tai chinh'!$B$76)^C$2</f>
        <v>42578.06334688923</v>
      </c>
      <c r="C45" s="131">
        <f>C38-C43</f>
        <v>-1679.725</v>
      </c>
      <c r="D45" s="131">
        <f aca="true" t="shared" si="10" ref="D45:V45">D38-D43</f>
        <v>-13804.35</v>
      </c>
      <c r="E45" s="131">
        <f t="shared" si="10"/>
        <v>-37173.38611111111</v>
      </c>
      <c r="F45" s="131">
        <f t="shared" si="10"/>
        <v>-11568.872262660909</v>
      </c>
      <c r="G45" s="131">
        <f t="shared" si="10"/>
        <v>8067.268763982163</v>
      </c>
      <c r="H45" s="131">
        <f t="shared" si="10"/>
        <v>14207.483852784062</v>
      </c>
      <c r="I45" s="131">
        <f t="shared" si="10"/>
        <v>18258.20293753259</v>
      </c>
      <c r="J45" s="131">
        <f t="shared" si="10"/>
        <v>16849.79661738545</v>
      </c>
      <c r="K45" s="131">
        <f t="shared" si="10"/>
        <v>15214.362187984694</v>
      </c>
      <c r="L45" s="131">
        <f t="shared" si="10"/>
        <v>19333.562675730453</v>
      </c>
      <c r="M45" s="131">
        <f t="shared" si="10"/>
        <v>19618.423296831603</v>
      </c>
      <c r="N45" s="131">
        <f t="shared" si="10"/>
        <v>14769.846954637414</v>
      </c>
      <c r="O45" s="131">
        <f t="shared" si="10"/>
        <v>16235.942591226758</v>
      </c>
      <c r="P45" s="131">
        <f t="shared" si="10"/>
        <v>21105.91289581754</v>
      </c>
      <c r="Q45" s="131">
        <f t="shared" si="10"/>
        <v>21927.39305284028</v>
      </c>
      <c r="R45" s="131">
        <f t="shared" si="10"/>
        <v>23722.137879079877</v>
      </c>
      <c r="S45" s="131">
        <f t="shared" si="10"/>
        <v>20564.11201999064</v>
      </c>
      <c r="T45" s="131">
        <f t="shared" si="10"/>
        <v>14294.320307375641</v>
      </c>
      <c r="U45" s="131">
        <f t="shared" si="10"/>
        <v>15413.03598173592</v>
      </c>
      <c r="V45" s="132">
        <f t="shared" si="10"/>
        <v>140920.664670214</v>
      </c>
    </row>
    <row r="46" spans="1:22" ht="12">
      <c r="A46" s="17" t="s">
        <v>236</v>
      </c>
      <c r="B46" s="18">
        <f>IRR(C45:V45,10%)</f>
        <v>0.20321029689632808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</row>
    <row r="47" spans="1:22" ht="12">
      <c r="A47" s="17" t="s">
        <v>237</v>
      </c>
      <c r="B47" s="18">
        <f>(1+B46)/(1+'Tai chinh'!B6)-1</f>
        <v>0.16816533679255152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</row>
    <row r="48" spans="3:22" ht="11.25"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</row>
    <row r="49" spans="2:22" ht="11.25">
      <c r="B49" s="4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</row>
    <row r="50" spans="3:22" ht="11.25"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</row>
    <row r="51" spans="3:22" ht="11.25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</row>
  </sheetData>
  <sheetProtection/>
  <printOptions gridLines="1" headings="1"/>
  <pageMargins left="0.75" right="0.75" top="1" bottom="1" header="0.5" footer="0.5"/>
  <pageSetup fitToHeight="10" fitToWidth="1" horizontalDpi="600" verticalDpi="600" orientation="landscape" scale="5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W23"/>
  <sheetViews>
    <sheetView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14" sqref="E14"/>
    </sheetView>
  </sheetViews>
  <sheetFormatPr defaultColWidth="9.28125" defaultRowHeight="12.75"/>
  <cols>
    <col min="1" max="1" width="43.421875" style="2" customWidth="1"/>
    <col min="2" max="2" width="9.28125" style="2" customWidth="1"/>
    <col min="3" max="22" width="7.57421875" style="2" customWidth="1"/>
    <col min="23" max="16384" width="9.28125" style="2" customWidth="1"/>
  </cols>
  <sheetData>
    <row r="1" spans="3:22" ht="11.25">
      <c r="C1" s="2">
        <v>1996</v>
      </c>
      <c r="D1" s="2">
        <v>1997</v>
      </c>
      <c r="E1" s="2">
        <v>1998</v>
      </c>
      <c r="F1" s="2">
        <v>1999</v>
      </c>
      <c r="G1" s="2">
        <v>2000</v>
      </c>
      <c r="H1" s="2">
        <v>2001</v>
      </c>
      <c r="I1" s="2">
        <v>2002</v>
      </c>
      <c r="J1" s="2">
        <v>2003</v>
      </c>
      <c r="K1" s="2">
        <v>2004</v>
      </c>
      <c r="L1" s="2">
        <v>2005</v>
      </c>
      <c r="M1" s="2">
        <v>2006</v>
      </c>
      <c r="N1" s="2">
        <v>2007</v>
      </c>
      <c r="O1" s="2">
        <v>2008</v>
      </c>
      <c r="P1" s="2">
        <v>2009</v>
      </c>
      <c r="Q1" s="2">
        <v>2010</v>
      </c>
      <c r="R1" s="2">
        <v>2011</v>
      </c>
      <c r="S1" s="2">
        <v>2012</v>
      </c>
      <c r="T1" s="2">
        <v>2013</v>
      </c>
      <c r="U1" s="2">
        <v>2014</v>
      </c>
      <c r="V1" s="2">
        <v>2015</v>
      </c>
    </row>
    <row r="2" spans="2:22" ht="12">
      <c r="B2" s="148" t="s">
        <v>23</v>
      </c>
      <c r="C2" s="2">
        <v>-2</v>
      </c>
      <c r="D2" s="2">
        <v>-1</v>
      </c>
      <c r="E2" s="2">
        <v>0</v>
      </c>
      <c r="F2" s="2">
        <v>1</v>
      </c>
      <c r="G2" s="2">
        <v>2</v>
      </c>
      <c r="H2" s="2">
        <v>3</v>
      </c>
      <c r="I2" s="2">
        <v>4</v>
      </c>
      <c r="J2" s="2">
        <v>5</v>
      </c>
      <c r="K2" s="2">
        <v>6</v>
      </c>
      <c r="L2" s="2">
        <v>7</v>
      </c>
      <c r="M2" s="2">
        <v>8</v>
      </c>
      <c r="N2" s="2">
        <v>9</v>
      </c>
      <c r="O2" s="2">
        <v>10</v>
      </c>
      <c r="P2" s="2">
        <v>11</v>
      </c>
      <c r="Q2" s="2">
        <v>12</v>
      </c>
      <c r="R2" s="2">
        <v>13</v>
      </c>
      <c r="S2" s="2">
        <v>14</v>
      </c>
      <c r="T2" s="2">
        <v>15</v>
      </c>
      <c r="U2" s="2">
        <v>16</v>
      </c>
      <c r="V2" s="2">
        <v>17</v>
      </c>
    </row>
    <row r="3" ht="12">
      <c r="A3" s="1" t="s">
        <v>216</v>
      </c>
    </row>
    <row r="4" ht="11.25">
      <c r="A4" s="14" t="s">
        <v>16</v>
      </c>
    </row>
    <row r="5" spans="1:23" ht="11.25">
      <c r="A5" s="12" t="s">
        <v>9</v>
      </c>
      <c r="B5" s="4">
        <f>NPV('Tai chinh'!$B$76,F5:V5)+E5+D5/(1+'Tai chinh'!$B$76)^D$2+C5/(1+'Tai chinh'!$B$76)^C$2</f>
        <v>316817.9570171997</v>
      </c>
      <c r="C5" s="4">
        <f>'Tai chinh'!C165</f>
        <v>0</v>
      </c>
      <c r="D5" s="4">
        <f>'Tai chinh'!D165</f>
        <v>0</v>
      </c>
      <c r="E5" s="4">
        <f>'Tai chinh'!E165</f>
        <v>0</v>
      </c>
      <c r="F5" s="4">
        <f>'Tai chinh'!F165</f>
        <v>2571.0346061855666</v>
      </c>
      <c r="G5" s="4">
        <f>'Tai chinh'!G165</f>
        <v>16830.470773195873</v>
      </c>
      <c r="H5" s="4">
        <f>'Tai chinh'!H165</f>
        <v>33227.78356828125</v>
      </c>
      <c r="I5" s="4">
        <f>'Tai chinh'!I165</f>
        <v>39622.02747888273</v>
      </c>
      <c r="J5" s="4">
        <f>'Tai chinh'!J165</f>
        <v>44140.57010672448</v>
      </c>
      <c r="K5" s="4">
        <f>'Tai chinh'!K165</f>
        <v>46442.50083779016</v>
      </c>
      <c r="L5" s="4">
        <f>'Tai chinh'!L165</f>
        <v>48864.373800865134</v>
      </c>
      <c r="M5" s="4">
        <f>'Tai chinh'!M165</f>
        <v>50267.832363208756</v>
      </c>
      <c r="N5" s="4">
        <f>'Tai chinh'!N165</f>
        <v>51338.53719254511</v>
      </c>
      <c r="O5" s="4">
        <f>'Tai chinh'!O165</f>
        <v>52432.04803474632</v>
      </c>
      <c r="P5" s="4">
        <f>'Tai chinh'!P165</f>
        <v>53548.85065788642</v>
      </c>
      <c r="Q5" s="4">
        <f>'Tai chinh'!Q165</f>
        <v>54688.57068028132</v>
      </c>
      <c r="R5" s="4">
        <f>'Tai chinh'!R165</f>
        <v>55346.00340850515</v>
      </c>
      <c r="S5" s="4">
        <f>'Tai chinh'!S165</f>
        <v>55844.11743918168</v>
      </c>
      <c r="T5" s="4">
        <f>'Tai chinh'!T165</f>
        <v>56346.714496134315</v>
      </c>
      <c r="U5" s="4">
        <f>'Tai chinh'!U165</f>
        <v>56853.83492659952</v>
      </c>
      <c r="V5" s="4">
        <f>'Tai chinh'!V165+'Tai chinh'!V165*(1+'Tai chinh'!$B$6)/('Tai chinh'!$B$76-'Tai chinh'!$B$6)</f>
        <v>631020.7138503268</v>
      </c>
      <c r="W5" s="4"/>
    </row>
    <row r="6" ht="11.25">
      <c r="A6" s="14" t="s">
        <v>17</v>
      </c>
    </row>
    <row r="7" spans="1:23" ht="11.25">
      <c r="A7" s="12" t="s">
        <v>18</v>
      </c>
      <c r="B7" s="4">
        <f>NPV('Tai chinh'!$B$76,F7:V7)+E7+D7/(1+'Tai chinh'!$B$76)^D$2+C7/(1+'Tai chinh'!$B$76)^C$2</f>
        <v>139277.820841919</v>
      </c>
      <c r="C7" s="4">
        <f>'Tai chinh'!C171</f>
        <v>0</v>
      </c>
      <c r="D7" s="4">
        <f>'Tai chinh'!D171</f>
        <v>0</v>
      </c>
      <c r="E7" s="4">
        <f>'Tai chinh'!E171</f>
        <v>0</v>
      </c>
      <c r="F7" s="4">
        <f>'Tai chinh'!F171</f>
        <v>7143.522666666668</v>
      </c>
      <c r="G7" s="4">
        <f>'Tai chinh'!G171</f>
        <v>9688.514666666666</v>
      </c>
      <c r="H7" s="4">
        <f>'Tai chinh'!H171</f>
        <v>14633.281450000002</v>
      </c>
      <c r="I7" s="4">
        <f>'Tai chinh'!I171</f>
        <v>16817.405145966666</v>
      </c>
      <c r="J7" s="4">
        <f>'Tai chinh'!J171</f>
        <v>17848.495300366</v>
      </c>
      <c r="K7" s="4">
        <f>'Tai chinh'!K171</f>
        <v>18383.950159376982</v>
      </c>
      <c r="L7" s="4">
        <f>'Tai chinh'!L171</f>
        <v>18935.46866415829</v>
      </c>
      <c r="M7" s="4">
        <f>'Tai chinh'!M171</f>
        <v>19503.53272408304</v>
      </c>
      <c r="N7" s="4">
        <f>'Tai chinh'!N171</f>
        <v>20088.63870580553</v>
      </c>
      <c r="O7" s="4">
        <f>'Tai chinh'!O171</f>
        <v>20691.2978669797</v>
      </c>
      <c r="P7" s="4">
        <f>'Tai chinh'!P171</f>
        <v>21312.03680298909</v>
      </c>
      <c r="Q7" s="4">
        <f>'Tai chinh'!Q171</f>
        <v>21951.397907078765</v>
      </c>
      <c r="R7" s="4">
        <f>'Tai chinh'!R171</f>
        <v>22609.93984429112</v>
      </c>
      <c r="S7" s="4">
        <f>'Tai chinh'!S171</f>
        <v>23288.23803961986</v>
      </c>
      <c r="T7" s="4">
        <f>'Tai chinh'!T171</f>
        <v>23986.885180808462</v>
      </c>
      <c r="U7" s="4">
        <f>'Tai chinh'!U171</f>
        <v>24706.491736232707</v>
      </c>
      <c r="V7" s="4">
        <f>'Tai chinh'!V171+'Tai chinh'!V171*(1+'Tai chinh'!$B$6)/('Tai chinh'!$B$76-'Tai chinh'!$B$6)</f>
        <v>279924.551371516</v>
      </c>
      <c r="W7" s="4"/>
    </row>
    <row r="8" spans="1:23" ht="11.25">
      <c r="A8" s="12" t="s">
        <v>215</v>
      </c>
      <c r="B8" s="4">
        <f>NPV('Tai chinh'!$B$76,F8:V8)+E8+D8/(1+'Tai chinh'!$B$76)^D$2+C8/(1+'Tai chinh'!$B$76)^C$2</f>
        <v>23705.138706654347</v>
      </c>
      <c r="C8" s="4">
        <f>'Tai chinh'!C189</f>
        <v>0</v>
      </c>
      <c r="D8" s="4">
        <f>'Tai chinh'!D189</f>
        <v>0</v>
      </c>
      <c r="E8" s="4">
        <f>'Tai chinh'!E189</f>
        <v>0</v>
      </c>
      <c r="F8" s="4">
        <f>'Tai chinh'!F189</f>
        <v>0</v>
      </c>
      <c r="G8" s="4">
        <f>'Tai chinh'!G189</f>
        <v>0</v>
      </c>
      <c r="H8" s="4">
        <f>'Tai chinh'!H189</f>
        <v>0</v>
      </c>
      <c r="I8" s="4">
        <f>'Tai chinh'!I189</f>
        <v>0</v>
      </c>
      <c r="J8" s="4">
        <f>'Tai chinh'!J189</f>
        <v>0</v>
      </c>
      <c r="K8" s="4">
        <f>'Tai chinh'!K189</f>
        <v>0</v>
      </c>
      <c r="L8" s="4">
        <f>'Tai chinh'!L189</f>
        <v>0</v>
      </c>
      <c r="M8" s="4">
        <f>'Tai chinh'!M189</f>
        <v>6597.004841489506</v>
      </c>
      <c r="N8" s="4">
        <f>'Tai chinh'!N189</f>
        <v>6669.0484763442155</v>
      </c>
      <c r="O8" s="4">
        <f>'Tai chinh'!O189</f>
        <v>6740.924637240755</v>
      </c>
      <c r="P8" s="4">
        <f>'Tai chinh'!P189</f>
        <v>6812.578696882405</v>
      </c>
      <c r="Q8" s="4">
        <f>'Tai chinh'!Q189</f>
        <v>6883.735708453454</v>
      </c>
      <c r="R8" s="4">
        <f>'Tai chinh'!R189</f>
        <v>6827.907706660907</v>
      </c>
      <c r="S8" s="4">
        <f>'Tai chinh'!S189</f>
        <v>6725.644444966076</v>
      </c>
      <c r="T8" s="4">
        <f>'Tai chinh'!T189</f>
        <v>6617.698186759353</v>
      </c>
      <c r="U8" s="4">
        <f>'Tai chinh'!U189</f>
        <v>6503.87490625743</v>
      </c>
      <c r="V8" s="4">
        <f>'Tai chinh'!V189+'Tai chinh'!V189*(1+'Tai chinh'!$B$6)/('Tai chinh'!$B$76-'Tai chinh'!$B$6)</f>
        <v>79317.40624588537</v>
      </c>
      <c r="W8" s="4"/>
    </row>
    <row r="9" spans="1:23" ht="11.25">
      <c r="A9" s="12" t="s">
        <v>20</v>
      </c>
      <c r="B9" s="4">
        <f>NPV('Tai chinh'!$B$76,F9:V9)+E9+D9/(1+'Tai chinh'!$B$76)^D$2+C9/(1+'Tai chinh'!$B$76)^C$2</f>
        <v>4393.793776643861</v>
      </c>
      <c r="C9" s="4">
        <f>'Tai chinh'!C184</f>
        <v>150</v>
      </c>
      <c r="D9" s="4">
        <f>'Tai chinh'!D184</f>
        <v>560</v>
      </c>
      <c r="E9" s="4">
        <f>'Tai chinh'!E184</f>
        <v>630</v>
      </c>
      <c r="F9" s="4">
        <f>'Tai chinh'!F184</f>
        <v>310</v>
      </c>
      <c r="G9" s="4">
        <f>'Tai chinh'!G184</f>
        <v>220.05230813287494</v>
      </c>
      <c r="H9" s="4">
        <f>'Tai chinh'!H184</f>
        <v>1821.9236438983755</v>
      </c>
      <c r="I9" s="4">
        <f>'Tai chinh'!I184</f>
        <v>710.4715456223862</v>
      </c>
      <c r="J9" s="4">
        <f>'Tai chinh'!J184</f>
        <v>502.06029198241686</v>
      </c>
      <c r="K9" s="4">
        <f>'Tai chinh'!K184</f>
        <v>255.77008122952066</v>
      </c>
      <c r="L9" s="4">
        <f>'Tai chinh'!L184</f>
        <v>269.0969958972182</v>
      </c>
      <c r="M9" s="4">
        <f>'Tai chinh'!M184</f>
        <v>155.9398402604029</v>
      </c>
      <c r="N9" s="4">
        <f>'Tai chinh'!N184</f>
        <v>118.9672032595945</v>
      </c>
      <c r="O9" s="4">
        <f>'Tai chinh'!O184</f>
        <v>121.50120468902423</v>
      </c>
      <c r="P9" s="4">
        <f>'Tai chinh'!P184</f>
        <v>124.08918034889939</v>
      </c>
      <c r="Q9" s="4">
        <f>'Tai chinh'!Q184</f>
        <v>126.63555804387761</v>
      </c>
      <c r="R9" s="4">
        <f>'Tai chinh'!R184</f>
        <v>73.0480809137589</v>
      </c>
      <c r="S9" s="4">
        <f>'Tai chinh'!S184</f>
        <v>55.34600340850375</v>
      </c>
      <c r="T9" s="4">
        <f>'Tai chinh'!T184</f>
        <v>55.84411743918099</v>
      </c>
      <c r="U9" s="4">
        <f>'Tai chinh'!U184</f>
        <v>56.346714496135064</v>
      </c>
      <c r="V9" s="4">
        <f>'Tai chinh'!V184+'Tai chinh'!V184*(1+'Tai chinh'!$B$6)/('Tai chinh'!$B$76-'Tai chinh'!$B$6)</f>
        <v>625.3921841925791</v>
      </c>
      <c r="W9" s="4"/>
    </row>
    <row r="10" spans="1:23" ht="11.25">
      <c r="A10" s="12" t="s">
        <v>21</v>
      </c>
      <c r="B10" s="4">
        <f>NPV('Tai chinh'!$B$76,F10:V10)+E10+D10/(1+'Tai chinh'!$B$76)^D$2+C10/(1+'Tai chinh'!$B$76)^C$2</f>
        <v>91884.1793869049</v>
      </c>
      <c r="C10" s="4">
        <f>'Tai chinh'!C86</f>
        <v>1548.3</v>
      </c>
      <c r="D10" s="4">
        <f>'Tai chinh'!D86</f>
        <v>14041.6</v>
      </c>
      <c r="E10" s="4">
        <f>'Tai chinh'!E86</f>
        <v>38585</v>
      </c>
      <c r="F10" s="4">
        <f>'Tai chinh'!F86</f>
        <v>10376</v>
      </c>
      <c r="G10" s="4">
        <f>'Tai chinh'!G86</f>
        <v>1585</v>
      </c>
      <c r="H10" s="4">
        <f>'Tai chinh'!H86</f>
        <v>3306.795</v>
      </c>
      <c r="I10" s="4">
        <f>'Tai chinh'!I86</f>
        <v>3405.99885</v>
      </c>
      <c r="J10" s="4">
        <f>'Tai chinh'!J86</f>
        <v>3508.1788155</v>
      </c>
      <c r="K10" s="4">
        <f>'Tai chinh'!K86</f>
        <v>3613.424179965</v>
      </c>
      <c r="L10" s="4">
        <f>'Tai chinh'!L86</f>
        <v>3721.82690536395</v>
      </c>
      <c r="M10" s="4">
        <f>'Tai chinh'!M86</f>
        <v>3833.4817125248687</v>
      </c>
      <c r="N10" s="4">
        <f>'Tai chinh'!N86</f>
        <v>3948.486163900615</v>
      </c>
      <c r="O10" s="4">
        <f>'Tai chinh'!O86</f>
        <v>4066.9407488176334</v>
      </c>
      <c r="P10" s="4">
        <f>'Tai chinh'!P86</f>
        <v>4188.948971282162</v>
      </c>
      <c r="Q10" s="4">
        <f>'Tai chinh'!Q86</f>
        <v>4314.617440420628</v>
      </c>
      <c r="R10" s="4">
        <f>'Tai chinh'!R86</f>
        <v>4444.055963633246</v>
      </c>
      <c r="S10" s="4">
        <f>'Tai chinh'!S86</f>
        <v>4577.377642542244</v>
      </c>
      <c r="T10" s="4">
        <f>'Tai chinh'!T86</f>
        <v>4714.698971818511</v>
      </c>
      <c r="U10" s="4">
        <f>'Tai chinh'!U86</f>
        <v>4856.139940973067</v>
      </c>
      <c r="V10" s="4">
        <f>'Tai chinh'!V86+'Tai chinh'!V86*(1+'Tai chinh'!$B$6)/('Tai chinh'!$B$76-'Tai chinh'!$B$6)</f>
        <v>55020.06553122473</v>
      </c>
      <c r="W10" s="4"/>
    </row>
    <row r="11" spans="1:23" ht="12">
      <c r="A11" s="1" t="s">
        <v>24</v>
      </c>
      <c r="B11" s="16">
        <f>NPV('Tai chinh'!$B$76,F11:V11)+E11+D11/(1+'Tai chinh'!$B$76)^D$2+C11/(1+'Tai chinh'!$B$76)^C$2</f>
        <v>57557.024305077655</v>
      </c>
      <c r="C11" s="4">
        <f>C5-SUM(C7:C10)</f>
        <v>-1698.3</v>
      </c>
      <c r="D11" s="4">
        <f aca="true" t="shared" si="0" ref="D11:V11">D5-SUM(D7:D10)</f>
        <v>-14601.6</v>
      </c>
      <c r="E11" s="4">
        <f t="shared" si="0"/>
        <v>-39215</v>
      </c>
      <c r="F11" s="4">
        <f t="shared" si="0"/>
        <v>-15258.4880604811</v>
      </c>
      <c r="G11" s="4">
        <f t="shared" si="0"/>
        <v>5336.903798396332</v>
      </c>
      <c r="H11" s="4">
        <f t="shared" si="0"/>
        <v>13465.783474382872</v>
      </c>
      <c r="I11" s="4">
        <f t="shared" si="0"/>
        <v>18688.15193729368</v>
      </c>
      <c r="J11" s="4">
        <f t="shared" si="0"/>
        <v>22281.835698876064</v>
      </c>
      <c r="K11" s="4">
        <f t="shared" si="0"/>
        <v>24189.356417218656</v>
      </c>
      <c r="L11" s="4">
        <f t="shared" si="0"/>
        <v>25937.981235445677</v>
      </c>
      <c r="M11" s="4">
        <f t="shared" si="0"/>
        <v>20177.873244850936</v>
      </c>
      <c r="N11" s="4">
        <f t="shared" si="0"/>
        <v>20513.396643235155</v>
      </c>
      <c r="O11" s="4">
        <f t="shared" si="0"/>
        <v>20811.383577019213</v>
      </c>
      <c r="P11" s="4">
        <f t="shared" si="0"/>
        <v>21111.197006383863</v>
      </c>
      <c r="Q11" s="4">
        <f t="shared" si="0"/>
        <v>21412.1840662846</v>
      </c>
      <c r="R11" s="4">
        <f t="shared" si="0"/>
        <v>21391.051813006125</v>
      </c>
      <c r="S11" s="4">
        <f t="shared" si="0"/>
        <v>21197.511308645</v>
      </c>
      <c r="T11" s="4">
        <f t="shared" si="0"/>
        <v>20971.58803930881</v>
      </c>
      <c r="U11" s="4">
        <f t="shared" si="0"/>
        <v>20730.981628640176</v>
      </c>
      <c r="V11" s="4">
        <f t="shared" si="0"/>
        <v>216133.29851750814</v>
      </c>
      <c r="W11" s="4"/>
    </row>
    <row r="13" spans="1:22" ht="12">
      <c r="A13" s="1" t="s">
        <v>217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ht="11.25">
      <c r="A14" s="14" t="s">
        <v>16</v>
      </c>
    </row>
    <row r="15" spans="1:22" ht="11.25">
      <c r="A15" s="12" t="s">
        <v>9</v>
      </c>
      <c r="B15" s="4">
        <f>NPV('Tai chinh'!$B$76,F15:V15)+E15+D15/(1+'Tai chinh'!$B$76)^D$2+C15/(1+'Tai chinh'!$B$76)^C$2</f>
        <v>243706.1207824613</v>
      </c>
      <c r="C15" s="4">
        <f>'Kinh te'!C33</f>
        <v>0</v>
      </c>
      <c r="D15" s="4">
        <f>'Kinh te'!D33</f>
        <v>0</v>
      </c>
      <c r="E15" s="4">
        <f>'Kinh te'!E33</f>
        <v>0</v>
      </c>
      <c r="F15" s="4">
        <f>'Kinh te'!F33</f>
        <v>1977.7189278350513</v>
      </c>
      <c r="G15" s="4">
        <f>'Kinh te'!G33</f>
        <v>12946.51597938144</v>
      </c>
      <c r="H15" s="4">
        <f>'Kinh te'!H33</f>
        <v>25559.833514062502</v>
      </c>
      <c r="I15" s="4">
        <f>'Kinh te'!I33</f>
        <v>30478.48267606364</v>
      </c>
      <c r="J15" s="4">
        <f>'Kinh te'!J33</f>
        <v>33954.28469748037</v>
      </c>
      <c r="K15" s="4">
        <f>'Kinh te'!K33</f>
        <v>35725.00064445397</v>
      </c>
      <c r="L15" s="4">
        <f>'Kinh te'!L33</f>
        <v>37587.97984681933</v>
      </c>
      <c r="M15" s="4">
        <f>'Kinh te'!M33</f>
        <v>38667.56335631443</v>
      </c>
      <c r="N15" s="4">
        <f>'Kinh te'!N33</f>
        <v>39491.18245580393</v>
      </c>
      <c r="O15" s="4">
        <f>'Kinh te'!O33</f>
        <v>40332.344642112555</v>
      </c>
      <c r="P15" s="4">
        <f>'Kinh te'!P33</f>
        <v>41191.423582989555</v>
      </c>
      <c r="Q15" s="4">
        <f>'Kinh te'!Q33</f>
        <v>42068.13129252409</v>
      </c>
      <c r="R15" s="4">
        <f>'Kinh te'!R33</f>
        <v>42573.84877577319</v>
      </c>
      <c r="S15" s="4">
        <f>'Kinh te'!S33</f>
        <v>42957.01341475514</v>
      </c>
      <c r="T15" s="4">
        <f>'Kinh te'!T33</f>
        <v>43343.626535487936</v>
      </c>
      <c r="U15" s="4">
        <f>'Kinh te'!U33</f>
        <v>43733.71917430733</v>
      </c>
      <c r="V15" s="4">
        <f>'Kinh te'!V33+'Kinh te'!V33*(1+'Tai chinh'!$B$6)/('Tai chinh'!$B$76-'Tai chinh'!$B$6)</f>
        <v>485400.549115636</v>
      </c>
    </row>
    <row r="16" spans="1:22" ht="11.25">
      <c r="A16" s="12" t="s">
        <v>218</v>
      </c>
      <c r="B16" s="4">
        <f>NPV('Tai chinh'!$B$76,F16:V16)+E16+D16/(1+'Tai chinh'!$B$76)^D$2+C16/(1+'Tai chinh'!$B$76)^C$2</f>
        <v>10291.243557044987</v>
      </c>
      <c r="C16" s="4">
        <f>'Kinh te'!C34</f>
        <v>18.575</v>
      </c>
      <c r="D16" s="4">
        <f>'Kinh te'!D34</f>
        <v>797.25</v>
      </c>
      <c r="E16" s="4">
        <f>'Kinh te'!E34</f>
        <v>1645.525</v>
      </c>
      <c r="F16" s="4">
        <f>'Kinh te'!F34</f>
        <v>1559.6</v>
      </c>
      <c r="G16" s="4">
        <f>'Kinh te'!G34</f>
        <v>660</v>
      </c>
      <c r="H16" s="4">
        <f>'Kinh te'!H34</f>
        <v>634.5</v>
      </c>
      <c r="I16" s="4">
        <f>'Kinh te'!I34</f>
        <v>723.71</v>
      </c>
      <c r="J16" s="4">
        <f>'Kinh te'!J34</f>
        <v>840.5819250000001</v>
      </c>
      <c r="K16" s="4">
        <f>'Kinh te'!K34</f>
        <v>865.79938275</v>
      </c>
      <c r="L16" s="4">
        <f>'Kinh te'!L34</f>
        <v>891.7733642325</v>
      </c>
      <c r="M16" s="4">
        <f>'Kinh te'!M34</f>
        <v>918.526565159475</v>
      </c>
      <c r="N16" s="4">
        <f>'Kinh te'!N34</f>
        <v>946.0823621142592</v>
      </c>
      <c r="O16" s="4">
        <f>'Kinh te'!O34</f>
        <v>974.4648329776871</v>
      </c>
      <c r="P16" s="4">
        <f>'Kinh te'!P34</f>
        <v>1003.6987779670178</v>
      </c>
      <c r="Q16" s="4">
        <f>'Kinh te'!Q34</f>
        <v>1033.8097413060282</v>
      </c>
      <c r="R16" s="4">
        <f>'Kinh te'!R34</f>
        <v>1064.8240335452092</v>
      </c>
      <c r="S16" s="4">
        <f>'Kinh te'!S34</f>
        <v>1096.7687545515655</v>
      </c>
      <c r="T16" s="4">
        <f>'Kinh te'!T34</f>
        <v>1129.6718171881125</v>
      </c>
      <c r="U16" s="4">
        <f>'Kinh te'!U34</f>
        <v>1163.561971703756</v>
      </c>
      <c r="V16" s="4">
        <f>'Kinh te'!V34+'Kinh te'!V34*(1+'Tai chinh'!$B$6)/('Tai chinh'!$B$76-'Tai chinh'!$B$6)</f>
        <v>13183.157139403527</v>
      </c>
    </row>
    <row r="17" spans="1:22" ht="11.25">
      <c r="A17" s="12" t="s">
        <v>219</v>
      </c>
      <c r="B17" s="4">
        <f>NPV('Tai chinh'!$B$76,F17:V17)+E17+D17/(1+'Tai chinh'!$B$76)^D$2+C17/(1+'Tai chinh'!$B$76)^C$2</f>
        <v>22269.02427820989</v>
      </c>
      <c r="C17" s="4">
        <f>'Kinh te'!C35</f>
        <v>0</v>
      </c>
      <c r="D17" s="4">
        <f>'Kinh te'!D35</f>
        <v>0</v>
      </c>
      <c r="E17" s="4">
        <f>'Kinh te'!E35</f>
        <v>396.08888888888896</v>
      </c>
      <c r="F17" s="4">
        <f>'Kinh te'!F35</f>
        <v>2705.4986666666664</v>
      </c>
      <c r="G17" s="4">
        <f>'Kinh te'!G35</f>
        <v>5842.864699999999</v>
      </c>
      <c r="H17" s="4">
        <f>'Kinh te'!H35</f>
        <v>7566.172196244447</v>
      </c>
      <c r="I17" s="4">
        <f>'Kinh te'!I35</f>
        <v>7753.043801832444</v>
      </c>
      <c r="J17" s="4">
        <f>'Kinh te'!J35</f>
        <v>3662.890519102906</v>
      </c>
      <c r="K17" s="4">
        <f>'Kinh te'!K35</f>
        <v>618.4094811921161</v>
      </c>
      <c r="L17" s="4">
        <f>'Kinh te'!L35</f>
        <v>3514.156016933162</v>
      </c>
      <c r="M17" s="4">
        <f>'Kinh te'!M35</f>
        <v>3251.2602586661437</v>
      </c>
      <c r="N17" s="4">
        <f>'Kinh te'!N35</f>
        <v>-1793.5740056816906</v>
      </c>
      <c r="O17" s="4">
        <f>'Kinh te'!O35</f>
        <v>-481.8427252047928</v>
      </c>
      <c r="P17" s="4">
        <f>'Kinh te'!P35</f>
        <v>4236.428357798627</v>
      </c>
      <c r="Q17" s="4">
        <f>'Kinh te'!Q35</f>
        <v>4909.682678920463</v>
      </c>
      <c r="R17" s="4">
        <f>'Kinh te'!R35</f>
        <v>6892.836105597653</v>
      </c>
      <c r="S17" s="4">
        <f>'Kinh te'!S35</f>
        <v>4104.088497662526</v>
      </c>
      <c r="T17" s="4">
        <f>'Kinh te'!T35</f>
        <v>-1758.568904984031</v>
      </c>
      <c r="U17" s="4">
        <f>'Kinh te'!U35</f>
        <v>-212.39647621552567</v>
      </c>
      <c r="V17" s="4">
        <f>'Kinh te'!V35+'Kinh te'!V35*(1+'Tai chinh'!$B$6)/('Tai chinh'!$B$76-'Tai chinh'!$B$6)</f>
        <v>-26026.01204015905</v>
      </c>
    </row>
    <row r="18" spans="1:22" ht="11.25">
      <c r="A18" s="12" t="s">
        <v>220</v>
      </c>
      <c r="B18" s="4">
        <f>NPV('Tai chinh'!$B$76,F18:V18)+E18+D18/(1+'Tai chinh'!$B$76)^D$2+C18/(1+'Tai chinh'!$B$76)^C$2</f>
        <v>1867.4687346407654</v>
      </c>
      <c r="C18" s="4">
        <f>'Kinh te'!C36</f>
        <v>0</v>
      </c>
      <c r="D18" s="4">
        <f>'Kinh te'!D36</f>
        <v>0</v>
      </c>
      <c r="E18" s="4">
        <f>'Kinh te'!E36</f>
        <v>0</v>
      </c>
      <c r="F18" s="4">
        <f>'Kinh te'!F36</f>
        <v>17.832809504042366</v>
      </c>
      <c r="G18" s="4">
        <f>'Kinh te'!G36</f>
        <v>111.45505940026477</v>
      </c>
      <c r="H18" s="4">
        <f>'Kinh te'!H36</f>
        <v>208.97823637549652</v>
      </c>
      <c r="I18" s="4">
        <f>'Kinh te'!I36</f>
        <v>236.84200122556268</v>
      </c>
      <c r="J18" s="4">
        <f>'Kinh te'!J36</f>
        <v>250.7738836505958</v>
      </c>
      <c r="K18" s="4">
        <f>'Kinh te'!K36</f>
        <v>258.29710016011364</v>
      </c>
      <c r="L18" s="4">
        <f>'Kinh te'!L36</f>
        <v>266.04601316491704</v>
      </c>
      <c r="M18" s="4">
        <f>'Kinh te'!M36</f>
        <v>274.0273935598646</v>
      </c>
      <c r="N18" s="4">
        <f>'Kinh te'!N36</f>
        <v>282.2482153666605</v>
      </c>
      <c r="O18" s="4">
        <f>'Kinh te'!O36</f>
        <v>290.71566182766037</v>
      </c>
      <c r="P18" s="4">
        <f>'Kinh te'!P36</f>
        <v>299.4371316824902</v>
      </c>
      <c r="Q18" s="4">
        <f>'Kinh te'!Q36</f>
        <v>308.42024563296485</v>
      </c>
      <c r="R18" s="4">
        <f>'Kinh te'!R36</f>
        <v>317.67285300195374</v>
      </c>
      <c r="S18" s="4">
        <f>'Kinh te'!S36</f>
        <v>327.20303859201255</v>
      </c>
      <c r="T18" s="4">
        <f>'Kinh te'!T36</f>
        <v>337.0191297497729</v>
      </c>
      <c r="U18" s="4">
        <f>'Kinh te'!U36</f>
        <v>347.12970364226595</v>
      </c>
      <c r="V18" s="4">
        <f>'Kinh te'!V36+'Kinh te'!V36*(1+'Tai chinh'!$B$6)/('Tai chinh'!$B$76-'Tai chinh'!$B$6)</f>
        <v>3932.979542266865</v>
      </c>
    </row>
    <row r="19" ht="11.25">
      <c r="A19" s="14" t="s">
        <v>17</v>
      </c>
    </row>
    <row r="20" spans="1:22" ht="11.25">
      <c r="A20" s="12" t="s">
        <v>18</v>
      </c>
      <c r="B20" s="4">
        <f>NPV('Tai chinh'!$B$76,F20:V20)+E20+D20/(1+'Tai chinh'!$B$76)^D$2+C20/(1+'Tai chinh'!$B$76)^C$2</f>
        <v>139277.820841919</v>
      </c>
      <c r="C20" s="4">
        <f>'Kinh te'!C40</f>
        <v>0</v>
      </c>
      <c r="D20" s="4">
        <f>'Kinh te'!D40</f>
        <v>0</v>
      </c>
      <c r="E20" s="4">
        <f>'Kinh te'!E40</f>
        <v>0</v>
      </c>
      <c r="F20" s="4">
        <f>'Kinh te'!F40</f>
        <v>7143.522666666668</v>
      </c>
      <c r="G20" s="4">
        <f>'Kinh te'!G40</f>
        <v>9688.514666666666</v>
      </c>
      <c r="H20" s="4">
        <f>'Kinh te'!H40</f>
        <v>14633.281450000002</v>
      </c>
      <c r="I20" s="4">
        <f>'Kinh te'!I40</f>
        <v>16817.405145966666</v>
      </c>
      <c r="J20" s="4">
        <f>'Kinh te'!J40</f>
        <v>17848.495300366</v>
      </c>
      <c r="K20" s="4">
        <f>'Kinh te'!K40</f>
        <v>18383.950159376982</v>
      </c>
      <c r="L20" s="4">
        <f>'Kinh te'!L40</f>
        <v>18935.46866415829</v>
      </c>
      <c r="M20" s="4">
        <f>'Kinh te'!M40</f>
        <v>19503.53272408304</v>
      </c>
      <c r="N20" s="4">
        <f>'Kinh te'!N40</f>
        <v>20088.63870580553</v>
      </c>
      <c r="O20" s="4">
        <f>'Kinh te'!O40</f>
        <v>20691.2978669797</v>
      </c>
      <c r="P20" s="4">
        <f>'Kinh te'!P40</f>
        <v>21312.03680298909</v>
      </c>
      <c r="Q20" s="4">
        <f>'Kinh te'!Q40</f>
        <v>21951.397907078765</v>
      </c>
      <c r="R20" s="4">
        <f>'Kinh te'!R40</f>
        <v>22609.93984429112</v>
      </c>
      <c r="S20" s="4">
        <f>'Kinh te'!S40</f>
        <v>23288.23803961986</v>
      </c>
      <c r="T20" s="4">
        <f>'Kinh te'!T40</f>
        <v>23986.885180808462</v>
      </c>
      <c r="U20" s="4">
        <f>'Kinh te'!U40</f>
        <v>24706.491736232707</v>
      </c>
      <c r="V20" s="4">
        <f>'Kinh te'!V40+'Kinh te'!V40*(1+'Tai chinh'!$B$6)/('Tai chinh'!$B$76-'Tai chinh'!$B$6)</f>
        <v>279924.551371516</v>
      </c>
    </row>
    <row r="21" spans="1:22" ht="11.25">
      <c r="A21" s="12" t="s">
        <v>20</v>
      </c>
      <c r="B21" s="4">
        <f>NPV('Tai chinh'!$B$76,F21:V21)+E21+D21/(1+'Tai chinh'!$B$76)^D$2+C21/(1+'Tai chinh'!$B$76)^C$2</f>
        <v>4393.793776643861</v>
      </c>
      <c r="C21" s="4">
        <f>'Kinh te'!C41</f>
        <v>150</v>
      </c>
      <c r="D21" s="4">
        <f>'Kinh te'!D41</f>
        <v>560</v>
      </c>
      <c r="E21" s="4">
        <f>'Kinh te'!E41</f>
        <v>630</v>
      </c>
      <c r="F21" s="4">
        <f>'Kinh te'!F41</f>
        <v>310</v>
      </c>
      <c r="G21" s="4">
        <f>'Kinh te'!G41</f>
        <v>220.05230813287494</v>
      </c>
      <c r="H21" s="4">
        <f>'Kinh te'!H41</f>
        <v>1821.9236438983755</v>
      </c>
      <c r="I21" s="4">
        <f>'Kinh te'!I41</f>
        <v>710.4715456223862</v>
      </c>
      <c r="J21" s="4">
        <f>'Kinh te'!J41</f>
        <v>502.06029198241686</v>
      </c>
      <c r="K21" s="4">
        <f>'Kinh te'!K41</f>
        <v>255.77008122952066</v>
      </c>
      <c r="L21" s="4">
        <f>'Kinh te'!L41</f>
        <v>269.0969958972182</v>
      </c>
      <c r="M21" s="4">
        <f>'Kinh te'!M41</f>
        <v>155.9398402604029</v>
      </c>
      <c r="N21" s="4">
        <f>'Kinh te'!N41</f>
        <v>118.9672032595945</v>
      </c>
      <c r="O21" s="4">
        <f>'Kinh te'!O41</f>
        <v>121.50120468902423</v>
      </c>
      <c r="P21" s="4">
        <f>'Kinh te'!P41</f>
        <v>124.08918034889939</v>
      </c>
      <c r="Q21" s="4">
        <f>'Kinh te'!Q41</f>
        <v>126.63555804387761</v>
      </c>
      <c r="R21" s="4">
        <f>'Kinh te'!R41</f>
        <v>73.0480809137589</v>
      </c>
      <c r="S21" s="4">
        <f>'Kinh te'!S41</f>
        <v>55.34600340850375</v>
      </c>
      <c r="T21" s="4">
        <f>'Kinh te'!T41</f>
        <v>55.84411743918099</v>
      </c>
      <c r="U21" s="4">
        <f>'Kinh te'!U41</f>
        <v>56.346714496135064</v>
      </c>
      <c r="V21" s="4">
        <f>'Kinh te'!V41+'Kinh te'!V41*(1+'Tai chinh'!$B$6)/('Tai chinh'!$B$76-'Tai chinh'!$B$6)</f>
        <v>625.3921841925791</v>
      </c>
    </row>
    <row r="22" spans="1:22" ht="11.25">
      <c r="A22" s="12" t="s">
        <v>21</v>
      </c>
      <c r="B22" s="4">
        <f>NPV('Tai chinh'!$B$76,F22:V22)+E22+D22/(1+'Tai chinh'!$B$76)^D$2+C22/(1+'Tai chinh'!$B$76)^C$2</f>
        <v>91884.1793869049</v>
      </c>
      <c r="C22" s="4">
        <f>'Kinh te'!C42</f>
        <v>1548.3</v>
      </c>
      <c r="D22" s="4">
        <f>'Kinh te'!D42</f>
        <v>14041.6</v>
      </c>
      <c r="E22" s="4">
        <f>'Kinh te'!E42</f>
        <v>38585</v>
      </c>
      <c r="F22" s="4">
        <f>'Kinh te'!F42</f>
        <v>10376</v>
      </c>
      <c r="G22" s="4">
        <f>'Kinh te'!G42</f>
        <v>1585</v>
      </c>
      <c r="H22" s="4">
        <f>'Kinh te'!H42</f>
        <v>3306.795</v>
      </c>
      <c r="I22" s="4">
        <f>'Kinh te'!I42</f>
        <v>3405.99885</v>
      </c>
      <c r="J22" s="4">
        <f>'Kinh te'!J42</f>
        <v>3508.1788155</v>
      </c>
      <c r="K22" s="4">
        <f>'Kinh te'!K42</f>
        <v>3613.424179965</v>
      </c>
      <c r="L22" s="4">
        <f>'Kinh te'!L42</f>
        <v>3721.82690536395</v>
      </c>
      <c r="M22" s="4">
        <f>'Kinh te'!M42</f>
        <v>3833.4817125248687</v>
      </c>
      <c r="N22" s="4">
        <f>'Kinh te'!N42</f>
        <v>3948.486163900615</v>
      </c>
      <c r="O22" s="4">
        <f>'Kinh te'!O42</f>
        <v>4066.9407488176334</v>
      </c>
      <c r="P22" s="4">
        <f>'Kinh te'!P42</f>
        <v>4188.948971282162</v>
      </c>
      <c r="Q22" s="4">
        <f>'Kinh te'!Q42</f>
        <v>4314.617440420628</v>
      </c>
      <c r="R22" s="4">
        <f>'Kinh te'!R42</f>
        <v>4444.055963633246</v>
      </c>
      <c r="S22" s="4">
        <f>'Kinh te'!S42</f>
        <v>4577.377642542244</v>
      </c>
      <c r="T22" s="4">
        <f>'Kinh te'!T42</f>
        <v>4714.698971818511</v>
      </c>
      <c r="U22" s="4">
        <f>'Kinh te'!U42</f>
        <v>4856.139940973067</v>
      </c>
      <c r="V22" s="4">
        <f>'Kinh te'!V42+'Kinh te'!V42*(1+'Tai chinh'!$B$6)/('Tai chinh'!$B$76-'Tai chinh'!$B$6)</f>
        <v>55020.06553122473</v>
      </c>
    </row>
    <row r="23" spans="1:22" ht="12">
      <c r="A23" s="1" t="s">
        <v>24</v>
      </c>
      <c r="B23" s="16">
        <f>NPV('Tai chinh'!$B$76,F23:V23)+E23+D23/(1+'Tai chinh'!$B$76)^D$2+C23/(1+'Tai chinh'!$B$76)^C$2</f>
        <v>42578.06334688923</v>
      </c>
      <c r="C23" s="4">
        <f aca="true" t="shared" si="1" ref="C23:V23">SUM(C15:C18)-SUM(C20:C22)</f>
        <v>-1679.725</v>
      </c>
      <c r="D23" s="4">
        <f t="shared" si="1"/>
        <v>-13804.35</v>
      </c>
      <c r="E23" s="4">
        <f t="shared" si="1"/>
        <v>-37173.38611111111</v>
      </c>
      <c r="F23" s="4">
        <f t="shared" si="1"/>
        <v>-11568.872262660909</v>
      </c>
      <c r="G23" s="4">
        <f t="shared" si="1"/>
        <v>8067.268763982163</v>
      </c>
      <c r="H23" s="4">
        <f t="shared" si="1"/>
        <v>14207.483852784062</v>
      </c>
      <c r="I23" s="4">
        <f t="shared" si="1"/>
        <v>18258.20293753259</v>
      </c>
      <c r="J23" s="4">
        <f t="shared" si="1"/>
        <v>16849.79661738545</v>
      </c>
      <c r="K23" s="4">
        <f t="shared" si="1"/>
        <v>15214.362187984694</v>
      </c>
      <c r="L23" s="4">
        <f t="shared" si="1"/>
        <v>19333.562675730453</v>
      </c>
      <c r="M23" s="4">
        <f t="shared" si="1"/>
        <v>19618.423296831603</v>
      </c>
      <c r="N23" s="4">
        <f t="shared" si="1"/>
        <v>14769.846954637414</v>
      </c>
      <c r="O23" s="4">
        <f t="shared" si="1"/>
        <v>16235.942591226758</v>
      </c>
      <c r="P23" s="4">
        <f t="shared" si="1"/>
        <v>21105.91289581754</v>
      </c>
      <c r="Q23" s="4">
        <f t="shared" si="1"/>
        <v>21927.39305284028</v>
      </c>
      <c r="R23" s="4">
        <f t="shared" si="1"/>
        <v>23722.137879079877</v>
      </c>
      <c r="S23" s="4">
        <f t="shared" si="1"/>
        <v>20564.11201999064</v>
      </c>
      <c r="T23" s="4">
        <f t="shared" si="1"/>
        <v>14294.320307375641</v>
      </c>
      <c r="U23" s="4">
        <f t="shared" si="1"/>
        <v>15413.03598173592</v>
      </c>
      <c r="V23" s="4">
        <f t="shared" si="1"/>
        <v>140920.664670214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38"/>
  <sheetViews>
    <sheetView zoomScalePageLayoutView="0" workbookViewId="0" topLeftCell="A1">
      <selection activeCell="E19" sqref="E19"/>
    </sheetView>
  </sheetViews>
  <sheetFormatPr defaultColWidth="9.28125" defaultRowHeight="12.75"/>
  <cols>
    <col min="1" max="1" width="20.28125" style="2" bestFit="1" customWidth="1"/>
    <col min="2" max="3" width="15.00390625" style="2" customWidth="1"/>
    <col min="4" max="4" width="3.7109375" style="2" customWidth="1"/>
    <col min="5" max="5" width="10.00390625" style="2" customWidth="1"/>
    <col min="6" max="6" width="3.421875" style="2" customWidth="1"/>
    <col min="7" max="7" width="11.57421875" style="40" customWidth="1"/>
    <col min="8" max="10" width="11.57421875" style="2" customWidth="1"/>
    <col min="11" max="16384" width="9.28125" style="2" customWidth="1"/>
  </cols>
  <sheetData>
    <row r="1" spans="1:7" ht="12" thickBot="1">
      <c r="A1" s="1" t="s">
        <v>15</v>
      </c>
      <c r="G1" s="28" t="s">
        <v>70</v>
      </c>
    </row>
    <row r="2" spans="1:10" ht="11.25">
      <c r="A2" s="14" t="s">
        <v>16</v>
      </c>
      <c r="B2" s="58" t="s">
        <v>66</v>
      </c>
      <c r="C2" s="59" t="s">
        <v>67</v>
      </c>
      <c r="E2" s="60" t="s">
        <v>312</v>
      </c>
      <c r="F2" s="61"/>
      <c r="G2" s="58" t="s">
        <v>64</v>
      </c>
      <c r="H2" s="62" t="s">
        <v>68</v>
      </c>
      <c r="I2" s="62" t="s">
        <v>71</v>
      </c>
      <c r="J2" s="63" t="s">
        <v>69</v>
      </c>
    </row>
    <row r="3" spans="1:10" ht="11.25">
      <c r="A3" s="12" t="s">
        <v>9</v>
      </c>
      <c r="B3" s="43">
        <f>'Tong hop NL'!B5</f>
        <v>316817.9570171997</v>
      </c>
      <c r="C3" s="54">
        <f>'Tong hop NL'!B15</f>
        <v>243706.1207824613</v>
      </c>
      <c r="D3" s="4"/>
      <c r="E3" s="46">
        <f aca="true" t="shared" si="0" ref="E3:E12">C3-B3</f>
        <v>-73111.83623473841</v>
      </c>
      <c r="F3" s="4"/>
      <c r="G3" s="29">
        <f>C3-B3</f>
        <v>-73111.83623473841</v>
      </c>
      <c r="H3" s="41"/>
      <c r="I3" s="41"/>
      <c r="J3" s="30"/>
    </row>
    <row r="4" spans="1:10" ht="11.25">
      <c r="A4" s="12" t="s">
        <v>68</v>
      </c>
      <c r="B4" s="43">
        <v>0</v>
      </c>
      <c r="C4" s="54">
        <f>'Tong hop NL'!B16</f>
        <v>10291.243557044987</v>
      </c>
      <c r="D4" s="4"/>
      <c r="E4" s="46">
        <f t="shared" si="0"/>
        <v>10291.243557044987</v>
      </c>
      <c r="F4" s="4"/>
      <c r="G4" s="31"/>
      <c r="H4" s="42">
        <f>C4-B4</f>
        <v>10291.243557044987</v>
      </c>
      <c r="I4" s="41"/>
      <c r="J4" s="30"/>
    </row>
    <row r="5" spans="1:10" ht="11.25">
      <c r="A5" s="12" t="s">
        <v>26</v>
      </c>
      <c r="B5" s="43">
        <v>0</v>
      </c>
      <c r="C5" s="54">
        <f>'Tong hop NL'!B17</f>
        <v>22269.02427820989</v>
      </c>
      <c r="D5" s="4"/>
      <c r="E5" s="46">
        <f t="shared" si="0"/>
        <v>22269.02427820989</v>
      </c>
      <c r="F5" s="4"/>
      <c r="G5" s="31"/>
      <c r="H5" s="41"/>
      <c r="I5" s="42">
        <f>C5-B5</f>
        <v>22269.02427820989</v>
      </c>
      <c r="J5" s="30"/>
    </row>
    <row r="6" spans="1:10" ht="11.25">
      <c r="A6" s="12" t="s">
        <v>69</v>
      </c>
      <c r="B6" s="43">
        <v>0</v>
      </c>
      <c r="C6" s="54">
        <f>'Tong hop NL'!B18</f>
        <v>1867.4687346407654</v>
      </c>
      <c r="D6" s="4"/>
      <c r="E6" s="46">
        <f t="shared" si="0"/>
        <v>1867.4687346407654</v>
      </c>
      <c r="F6" s="4"/>
      <c r="G6" s="31"/>
      <c r="H6" s="41"/>
      <c r="I6" s="41"/>
      <c r="J6" s="33">
        <f>C6-B6</f>
        <v>1867.4687346407654</v>
      </c>
    </row>
    <row r="7" spans="1:10" ht="11.25">
      <c r="A7" s="12"/>
      <c r="B7" s="43"/>
      <c r="C7" s="54"/>
      <c r="D7" s="4"/>
      <c r="E7" s="46"/>
      <c r="F7" s="4"/>
      <c r="G7" s="31"/>
      <c r="H7" s="41"/>
      <c r="I7" s="41"/>
      <c r="J7" s="30"/>
    </row>
    <row r="8" spans="1:10" ht="11.25">
      <c r="A8" s="14" t="s">
        <v>17</v>
      </c>
      <c r="B8" s="43"/>
      <c r="C8" s="54"/>
      <c r="D8" s="4"/>
      <c r="E8" s="46"/>
      <c r="F8" s="4"/>
      <c r="G8" s="31"/>
      <c r="H8" s="41"/>
      <c r="I8" s="41"/>
      <c r="J8" s="30"/>
    </row>
    <row r="9" spans="1:10" ht="11.25">
      <c r="A9" s="12" t="s">
        <v>18</v>
      </c>
      <c r="B9" s="43">
        <f>'Tong hop NL'!B7</f>
        <v>139277.820841919</v>
      </c>
      <c r="C9" s="54">
        <f>'Tong hop NL'!B20</f>
        <v>139277.820841919</v>
      </c>
      <c r="D9" s="4"/>
      <c r="E9" s="46">
        <f t="shared" si="0"/>
        <v>0</v>
      </c>
      <c r="F9" s="4"/>
      <c r="G9" s="31"/>
      <c r="H9" s="41"/>
      <c r="I9" s="41"/>
      <c r="J9" s="30"/>
    </row>
    <row r="10" spans="1:10" ht="11.25">
      <c r="A10" s="12" t="s">
        <v>292</v>
      </c>
      <c r="B10" s="43">
        <f>'Tong hop NL'!B8</f>
        <v>23705.138706654347</v>
      </c>
      <c r="C10" s="54">
        <v>0</v>
      </c>
      <c r="E10" s="46">
        <f t="shared" si="0"/>
        <v>-23705.138706654347</v>
      </c>
      <c r="F10" s="4"/>
      <c r="G10" s="29">
        <f>C10-B10</f>
        <v>-23705.138706654347</v>
      </c>
      <c r="H10" s="41"/>
      <c r="I10" s="41"/>
      <c r="J10" s="30"/>
    </row>
    <row r="11" spans="1:10" ht="11.25">
      <c r="A11" s="12" t="s">
        <v>20</v>
      </c>
      <c r="B11" s="43">
        <f>'Tong hop NL'!B9</f>
        <v>4393.793776643861</v>
      </c>
      <c r="C11" s="54">
        <f>'Tong hop NL'!B21</f>
        <v>4393.793776643861</v>
      </c>
      <c r="D11" s="4"/>
      <c r="E11" s="46">
        <f t="shared" si="0"/>
        <v>0</v>
      </c>
      <c r="F11" s="4"/>
      <c r="G11" s="31"/>
      <c r="H11" s="41"/>
      <c r="I11" s="41"/>
      <c r="J11" s="30"/>
    </row>
    <row r="12" spans="1:10" ht="11.25">
      <c r="A12" s="12" t="s">
        <v>21</v>
      </c>
      <c r="B12" s="43">
        <f>'Tong hop NL'!B10</f>
        <v>91884.1793869049</v>
      </c>
      <c r="C12" s="54">
        <f>'Tong hop NL'!B22</f>
        <v>91884.1793869049</v>
      </c>
      <c r="D12" s="4"/>
      <c r="E12" s="46">
        <f t="shared" si="0"/>
        <v>0</v>
      </c>
      <c r="F12" s="4"/>
      <c r="G12" s="31"/>
      <c r="H12" s="41"/>
      <c r="I12" s="41"/>
      <c r="J12" s="30"/>
    </row>
    <row r="13" spans="2:10" ht="12">
      <c r="B13" s="48"/>
      <c r="C13" s="56"/>
      <c r="E13" s="121"/>
      <c r="F13" s="16"/>
      <c r="G13" s="52"/>
      <c r="H13" s="53"/>
      <c r="I13" s="53"/>
      <c r="J13" s="49"/>
    </row>
    <row r="14" spans="1:11" ht="12" thickBot="1">
      <c r="A14" s="34" t="s">
        <v>65</v>
      </c>
      <c r="B14" s="44">
        <f>SUM(B3:B6)-SUM(B9:B12)</f>
        <v>57557.02430507762</v>
      </c>
      <c r="C14" s="57">
        <f>SUM(C3:C6)-SUM(C9:C12)</f>
        <v>42578.06334688913</v>
      </c>
      <c r="D14" s="16"/>
      <c r="E14" s="47">
        <f>C14-B14</f>
        <v>-14978.960958188487</v>
      </c>
      <c r="F14" s="16"/>
      <c r="G14" s="50">
        <f>SUM(G3:G6)-SUM(G9:G12)</f>
        <v>-49406.69752808406</v>
      </c>
      <c r="H14" s="51">
        <f>SUM(H3:H6)-SUM(H9:H12)</f>
        <v>10291.243557044987</v>
      </c>
      <c r="I14" s="51">
        <f>SUM(I3:I6)-SUM(I9:I12)</f>
        <v>22269.02427820989</v>
      </c>
      <c r="J14" s="45">
        <f>SUM(J3:J6)-SUM(J9:J12)</f>
        <v>1867.4687346407654</v>
      </c>
      <c r="K14" s="4"/>
    </row>
    <row r="15" spans="1:10" ht="12">
      <c r="A15" s="1"/>
      <c r="B15" s="1"/>
      <c r="C15" s="1"/>
      <c r="D15" s="1"/>
      <c r="E15" s="16"/>
      <c r="F15" s="16"/>
      <c r="G15" s="28"/>
      <c r="H15" s="1"/>
      <c r="I15" s="1"/>
      <c r="J15" s="1"/>
    </row>
    <row r="22" spans="1:9" ht="11.25">
      <c r="A22" s="13"/>
      <c r="B22" s="13"/>
      <c r="C22" s="13"/>
      <c r="D22" s="13"/>
      <c r="E22" s="13"/>
      <c r="F22" s="13"/>
      <c r="G22" s="35"/>
      <c r="H22" s="13"/>
      <c r="I22" s="13"/>
    </row>
    <row r="23" spans="1:9" ht="11.25">
      <c r="A23" s="13"/>
      <c r="B23" s="13"/>
      <c r="C23" s="13"/>
      <c r="D23" s="13"/>
      <c r="E23" s="13"/>
      <c r="F23" s="13"/>
      <c r="G23" s="35"/>
      <c r="H23" s="13"/>
      <c r="I23" s="13"/>
    </row>
    <row r="24" spans="1:9" ht="11.25">
      <c r="A24" s="36"/>
      <c r="B24" s="13"/>
      <c r="C24" s="13"/>
      <c r="D24" s="13"/>
      <c r="E24" s="13"/>
      <c r="F24" s="13"/>
      <c r="G24" s="35"/>
      <c r="H24" s="13"/>
      <c r="I24" s="13"/>
    </row>
    <row r="25" spans="1:9" ht="11.25">
      <c r="A25" s="37"/>
      <c r="B25" s="32"/>
      <c r="C25" s="32"/>
      <c r="D25" s="32"/>
      <c r="E25" s="13"/>
      <c r="F25" s="13"/>
      <c r="G25" s="35"/>
      <c r="H25" s="13"/>
      <c r="I25" s="13"/>
    </row>
    <row r="26" spans="1:9" ht="11.25">
      <c r="A26" s="37"/>
      <c r="B26" s="32"/>
      <c r="C26" s="32"/>
      <c r="D26" s="32"/>
      <c r="E26" s="13"/>
      <c r="F26" s="13"/>
      <c r="G26" s="35"/>
      <c r="H26" s="13"/>
      <c r="I26" s="13"/>
    </row>
    <row r="27" spans="1:9" ht="11.25">
      <c r="A27" s="37"/>
      <c r="B27" s="32"/>
      <c r="C27" s="32"/>
      <c r="D27" s="32"/>
      <c r="E27" s="13"/>
      <c r="F27" s="13"/>
      <c r="G27" s="35"/>
      <c r="H27" s="13"/>
      <c r="I27" s="13"/>
    </row>
    <row r="28" spans="1:9" ht="11.25">
      <c r="A28" s="36"/>
      <c r="B28" s="32"/>
      <c r="C28" s="32"/>
      <c r="D28" s="32"/>
      <c r="E28" s="13"/>
      <c r="F28" s="13"/>
      <c r="G28" s="35"/>
      <c r="H28" s="13"/>
      <c r="I28" s="13"/>
    </row>
    <row r="29" spans="1:9" ht="11.25">
      <c r="A29" s="37"/>
      <c r="B29" s="32"/>
      <c r="C29" s="32"/>
      <c r="D29" s="32"/>
      <c r="E29" s="13"/>
      <c r="F29" s="13"/>
      <c r="G29" s="35"/>
      <c r="H29" s="13"/>
      <c r="I29" s="13"/>
    </row>
    <row r="30" spans="1:9" ht="11.25">
      <c r="A30" s="37"/>
      <c r="B30" s="32"/>
      <c r="C30" s="32"/>
      <c r="D30" s="32"/>
      <c r="E30" s="13"/>
      <c r="F30" s="13"/>
      <c r="G30" s="35"/>
      <c r="H30" s="13"/>
      <c r="I30" s="13"/>
    </row>
    <row r="31" spans="1:9" ht="11.25">
      <c r="A31" s="37"/>
      <c r="B31" s="32"/>
      <c r="C31" s="32"/>
      <c r="D31" s="32"/>
      <c r="E31" s="13"/>
      <c r="F31" s="13"/>
      <c r="G31" s="35"/>
      <c r="H31" s="13"/>
      <c r="I31" s="13"/>
    </row>
    <row r="32" spans="1:9" ht="11.25">
      <c r="A32" s="37"/>
      <c r="B32" s="32"/>
      <c r="C32" s="32"/>
      <c r="D32" s="32"/>
      <c r="E32" s="13"/>
      <c r="F32" s="13"/>
      <c r="G32" s="35"/>
      <c r="H32" s="13"/>
      <c r="I32" s="13"/>
    </row>
    <row r="33" spans="1:9" ht="11.25">
      <c r="A33" s="37"/>
      <c r="B33" s="32"/>
      <c r="C33" s="32"/>
      <c r="D33" s="32"/>
      <c r="E33" s="13"/>
      <c r="F33" s="13"/>
      <c r="G33" s="35"/>
      <c r="H33" s="13"/>
      <c r="I33" s="13"/>
    </row>
    <row r="34" spans="1:9" ht="11.25">
      <c r="A34" s="37"/>
      <c r="B34" s="32"/>
      <c r="C34" s="32"/>
      <c r="D34" s="32"/>
      <c r="E34" s="13"/>
      <c r="F34" s="13"/>
      <c r="G34" s="35"/>
      <c r="H34" s="13"/>
      <c r="I34" s="13"/>
    </row>
    <row r="35" spans="1:9" ht="12">
      <c r="A35" s="38"/>
      <c r="B35" s="32"/>
      <c r="C35" s="32"/>
      <c r="D35" s="32"/>
      <c r="E35" s="13"/>
      <c r="F35" s="13"/>
      <c r="G35" s="35"/>
      <c r="H35" s="13"/>
      <c r="I35" s="13"/>
    </row>
    <row r="36" spans="1:9" ht="12">
      <c r="A36" s="38"/>
      <c r="B36" s="32"/>
      <c r="C36" s="32"/>
      <c r="D36" s="32"/>
      <c r="E36" s="13"/>
      <c r="F36" s="13"/>
      <c r="G36" s="35"/>
      <c r="H36" s="13"/>
      <c r="I36" s="13"/>
    </row>
    <row r="37" spans="1:9" ht="12">
      <c r="A37" s="39"/>
      <c r="B37" s="13"/>
      <c r="C37" s="13"/>
      <c r="D37" s="13"/>
      <c r="E37" s="13"/>
      <c r="F37" s="13"/>
      <c r="G37" s="35"/>
      <c r="H37" s="13"/>
      <c r="I37" s="13"/>
    </row>
    <row r="38" spans="1:9" ht="11.25">
      <c r="A38" s="13"/>
      <c r="B38" s="13"/>
      <c r="C38" s="13"/>
      <c r="D38" s="13"/>
      <c r="E38" s="13"/>
      <c r="F38" s="13"/>
      <c r="G38" s="35"/>
      <c r="H38" s="13"/>
      <c r="I38" s="13"/>
    </row>
  </sheetData>
  <sheetProtection/>
  <printOptions gridLines="1" headings="1"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V261"/>
  <sheetViews>
    <sheetView zoomScalePageLayoutView="0" workbookViewId="0" topLeftCell="A88">
      <selection activeCell="N98" sqref="N98"/>
    </sheetView>
  </sheetViews>
  <sheetFormatPr defaultColWidth="9.28125" defaultRowHeight="12.75"/>
  <cols>
    <col min="1" max="1" width="38.28125" style="2" bestFit="1" customWidth="1"/>
    <col min="2" max="16384" width="9.28125" style="2" customWidth="1"/>
  </cols>
  <sheetData>
    <row r="1" spans="1:10" ht="12">
      <c r="A1" s="1" t="s">
        <v>184</v>
      </c>
      <c r="B1" s="64" t="s">
        <v>34</v>
      </c>
      <c r="D1" s="64"/>
      <c r="J1" s="5"/>
    </row>
    <row r="2" spans="1:32" ht="11.25">
      <c r="A2" s="2" t="s">
        <v>29</v>
      </c>
      <c r="B2" s="4">
        <v>18000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1.25">
      <c r="A3" s="2" t="s">
        <v>198</v>
      </c>
      <c r="B3" s="4">
        <f>'Tai chinh'!E7</f>
        <v>15000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1.25">
      <c r="A4" s="2" t="s">
        <v>150</v>
      </c>
      <c r="B4" s="4">
        <v>1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2" thickBot="1">
      <c r="A5" s="2" t="s">
        <v>151</v>
      </c>
      <c r="B5" s="4">
        <f>B4*'Tai chinh'!E7</f>
        <v>15000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2">
      <c r="A6" s="97"/>
      <c r="B6" s="98" t="s">
        <v>159</v>
      </c>
      <c r="C6" s="98" t="s">
        <v>160</v>
      </c>
      <c r="D6" s="153" t="s">
        <v>168</v>
      </c>
      <c r="E6" s="153"/>
      <c r="F6" s="153"/>
      <c r="G6" s="153" t="s">
        <v>169</v>
      </c>
      <c r="H6" s="153"/>
      <c r="I6" s="98" t="s">
        <v>180</v>
      </c>
      <c r="J6" s="99" t="s">
        <v>181</v>
      </c>
      <c r="K6" s="100" t="s">
        <v>182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s="13" customFormat="1" ht="11.25">
      <c r="A7" s="43" t="s">
        <v>146</v>
      </c>
      <c r="B7" s="84">
        <v>4</v>
      </c>
      <c r="C7" s="84">
        <v>3</v>
      </c>
      <c r="D7" s="87">
        <v>10</v>
      </c>
      <c r="E7" s="71"/>
      <c r="F7" s="88"/>
      <c r="G7" s="71">
        <v>28</v>
      </c>
      <c r="H7" s="71"/>
      <c r="I7" s="96"/>
      <c r="J7" s="107"/>
      <c r="K7" s="108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</row>
    <row r="8" spans="1:32" s="13" customFormat="1" ht="11.25">
      <c r="A8" s="43" t="s">
        <v>152</v>
      </c>
      <c r="B8" s="85">
        <v>200</v>
      </c>
      <c r="C8" s="85">
        <v>60</v>
      </c>
      <c r="D8" s="89">
        <v>175</v>
      </c>
      <c r="E8" s="77"/>
      <c r="F8" s="90"/>
      <c r="G8" s="77">
        <v>260</v>
      </c>
      <c r="H8" s="77"/>
      <c r="I8" s="41">
        <v>230</v>
      </c>
      <c r="J8" s="32">
        <v>200</v>
      </c>
      <c r="K8" s="54">
        <v>200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</row>
    <row r="9" spans="1:32" s="13" customFormat="1" ht="11.25">
      <c r="A9" s="43" t="s">
        <v>153</v>
      </c>
      <c r="B9" s="85">
        <v>200</v>
      </c>
      <c r="C9" s="85">
        <v>135</v>
      </c>
      <c r="D9" s="89">
        <v>425</v>
      </c>
      <c r="E9" s="77"/>
      <c r="F9" s="90"/>
      <c r="G9" s="77">
        <v>250</v>
      </c>
      <c r="H9" s="77"/>
      <c r="I9" s="41"/>
      <c r="K9" s="55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</row>
    <row r="10" spans="1:48" s="13" customFormat="1" ht="11.25">
      <c r="A10" s="79" t="s">
        <v>148</v>
      </c>
      <c r="B10" s="85">
        <v>1</v>
      </c>
      <c r="C10" s="85">
        <v>1</v>
      </c>
      <c r="D10" s="89">
        <v>4</v>
      </c>
      <c r="E10" s="77"/>
      <c r="F10" s="90"/>
      <c r="G10" s="77">
        <v>8</v>
      </c>
      <c r="H10" s="77"/>
      <c r="I10" s="41"/>
      <c r="K10" s="55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</row>
    <row r="11" spans="1:48" s="13" customFormat="1" ht="11.25">
      <c r="A11" s="43" t="s">
        <v>149</v>
      </c>
      <c r="B11" s="86">
        <v>10000</v>
      </c>
      <c r="C11" s="86">
        <v>14125</v>
      </c>
      <c r="D11" s="91">
        <v>14125</v>
      </c>
      <c r="E11" s="77"/>
      <c r="F11" s="90"/>
      <c r="G11" s="78">
        <v>14125</v>
      </c>
      <c r="H11" s="77"/>
      <c r="I11" s="41"/>
      <c r="K11" s="55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</row>
    <row r="12" spans="1:48" s="13" customFormat="1" ht="11.25">
      <c r="A12" s="43" t="s">
        <v>157</v>
      </c>
      <c r="B12" s="86"/>
      <c r="C12" s="85"/>
      <c r="D12" s="92" t="s">
        <v>27</v>
      </c>
      <c r="E12" s="80" t="s">
        <v>123</v>
      </c>
      <c r="F12" s="93" t="s">
        <v>124</v>
      </c>
      <c r="G12" s="80" t="s">
        <v>27</v>
      </c>
      <c r="H12" s="80" t="s">
        <v>185</v>
      </c>
      <c r="I12" s="41"/>
      <c r="J12" s="32"/>
      <c r="K12" s="54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</row>
    <row r="13" spans="1:48" s="13" customFormat="1" ht="11.25">
      <c r="A13" s="81" t="s">
        <v>154</v>
      </c>
      <c r="B13" s="42">
        <v>1300</v>
      </c>
      <c r="C13" s="86">
        <v>3700</v>
      </c>
      <c r="D13" s="91">
        <v>7500</v>
      </c>
      <c r="E13" s="32">
        <v>1300</v>
      </c>
      <c r="F13" s="90">
        <v>6800</v>
      </c>
      <c r="G13" s="78">
        <v>6000</v>
      </c>
      <c r="H13" s="32">
        <v>950</v>
      </c>
      <c r="I13" s="41">
        <v>550</v>
      </c>
      <c r="J13" s="32">
        <v>600</v>
      </c>
      <c r="K13" s="54">
        <v>550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</row>
    <row r="14" spans="1:48" s="13" customFormat="1" ht="11.25">
      <c r="A14" s="81" t="s">
        <v>155</v>
      </c>
      <c r="B14" s="42">
        <v>1700</v>
      </c>
      <c r="C14" s="41">
        <v>5500</v>
      </c>
      <c r="D14" s="94">
        <v>1500</v>
      </c>
      <c r="E14" s="32"/>
      <c r="F14" s="90"/>
      <c r="G14" s="13">
        <v>1100</v>
      </c>
      <c r="H14" s="32"/>
      <c r="I14" s="41">
        <v>400</v>
      </c>
      <c r="J14" s="32">
        <v>500</v>
      </c>
      <c r="K14" s="54">
        <v>150</v>
      </c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</row>
    <row r="15" spans="1:48" s="13" customFormat="1" ht="11.25">
      <c r="A15" s="81" t="s">
        <v>156</v>
      </c>
      <c r="B15" s="42">
        <v>1200</v>
      </c>
      <c r="C15" s="41">
        <v>1300</v>
      </c>
      <c r="D15" s="94">
        <v>1500</v>
      </c>
      <c r="E15" s="32"/>
      <c r="F15" s="90"/>
      <c r="G15" s="13">
        <v>0</v>
      </c>
      <c r="H15" s="32"/>
      <c r="I15" s="41">
        <v>300</v>
      </c>
      <c r="J15" s="32">
        <v>500</v>
      </c>
      <c r="K15" s="54">
        <v>500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</row>
    <row r="16" spans="1:48" s="13" customFormat="1" ht="11.25">
      <c r="A16" s="82" t="s">
        <v>158</v>
      </c>
      <c r="B16" s="41"/>
      <c r="C16" s="41"/>
      <c r="D16" s="94"/>
      <c r="E16" s="32"/>
      <c r="F16" s="90"/>
      <c r="H16" s="32"/>
      <c r="I16" s="41"/>
      <c r="J16" s="32"/>
      <c r="K16" s="54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</row>
    <row r="17" spans="1:48" s="13" customFormat="1" ht="12.75">
      <c r="A17" s="81" t="s">
        <v>154</v>
      </c>
      <c r="B17" s="42">
        <v>1300</v>
      </c>
      <c r="C17" s="42">
        <v>3900</v>
      </c>
      <c r="D17" s="95">
        <v>4800</v>
      </c>
      <c r="E17" s="32"/>
      <c r="F17" s="90"/>
      <c r="G17" s="72">
        <v>2500</v>
      </c>
      <c r="H17" s="32"/>
      <c r="I17" s="41"/>
      <c r="J17" s="32"/>
      <c r="K17" s="54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</row>
    <row r="18" spans="1:48" s="13" customFormat="1" ht="11.25">
      <c r="A18" s="81" t="s">
        <v>155</v>
      </c>
      <c r="B18" s="41">
        <v>0</v>
      </c>
      <c r="C18" s="42">
        <v>0</v>
      </c>
      <c r="D18" s="95">
        <v>0</v>
      </c>
      <c r="E18" s="32"/>
      <c r="F18" s="90"/>
      <c r="G18" s="32">
        <v>0</v>
      </c>
      <c r="H18" s="32"/>
      <c r="I18" s="42"/>
      <c r="J18" s="76"/>
      <c r="K18" s="54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</row>
    <row r="19" spans="1:48" s="13" customFormat="1" ht="11.25">
      <c r="A19" s="81" t="s">
        <v>156</v>
      </c>
      <c r="B19" s="41">
        <v>0</v>
      </c>
      <c r="C19" s="42">
        <v>0</v>
      </c>
      <c r="D19" s="95">
        <v>0</v>
      </c>
      <c r="E19" s="32"/>
      <c r="F19" s="90"/>
      <c r="G19" s="32">
        <v>0</v>
      </c>
      <c r="H19" s="32"/>
      <c r="I19" s="42"/>
      <c r="J19" s="32"/>
      <c r="K19" s="54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</row>
    <row r="20" spans="1:48" s="13" customFormat="1" ht="11.25">
      <c r="A20" s="105" t="s">
        <v>161</v>
      </c>
      <c r="B20" s="41"/>
      <c r="C20" s="41">
        <v>22.5</v>
      </c>
      <c r="D20" s="94">
        <v>1.5</v>
      </c>
      <c r="E20" s="32"/>
      <c r="F20" s="90"/>
      <c r="G20" s="13">
        <v>10000</v>
      </c>
      <c r="H20" s="32"/>
      <c r="I20" s="110">
        <v>1.75</v>
      </c>
      <c r="J20" s="75">
        <v>1.2</v>
      </c>
      <c r="K20" s="111">
        <v>2</v>
      </c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</row>
    <row r="21" spans="1:48" s="13" customFormat="1" ht="11.25">
      <c r="A21" s="105" t="s">
        <v>300</v>
      </c>
      <c r="B21" s="41"/>
      <c r="C21" s="41">
        <v>550</v>
      </c>
      <c r="D21" s="94">
        <v>12000</v>
      </c>
      <c r="E21" s="32"/>
      <c r="F21" s="90"/>
      <c r="G21" s="13">
        <v>1</v>
      </c>
      <c r="H21" s="32"/>
      <c r="I21" s="42">
        <v>2500</v>
      </c>
      <c r="J21" s="32">
        <v>4000</v>
      </c>
      <c r="K21" s="54">
        <v>1000</v>
      </c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</row>
    <row r="22" spans="1:48" s="13" customFormat="1" ht="12" thickBot="1">
      <c r="A22" s="106" t="s">
        <v>163</v>
      </c>
      <c r="B22" s="101"/>
      <c r="C22" s="101">
        <v>3500</v>
      </c>
      <c r="D22" s="102"/>
      <c r="E22" s="83"/>
      <c r="F22" s="103"/>
      <c r="G22" s="83"/>
      <c r="H22" s="83"/>
      <c r="I22" s="104"/>
      <c r="J22" s="83"/>
      <c r="K22" s="109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</row>
    <row r="23" spans="1:48" s="13" customFormat="1" ht="11.25">
      <c r="A23" s="37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</row>
    <row r="24" spans="1:48" ht="12">
      <c r="A24" s="1"/>
      <c r="C24" s="21" t="s">
        <v>27</v>
      </c>
      <c r="D24" s="21" t="s">
        <v>123</v>
      </c>
      <c r="E24" s="21" t="s">
        <v>124</v>
      </c>
      <c r="F24" s="21" t="s">
        <v>125</v>
      </c>
      <c r="G24" s="21" t="s">
        <v>126</v>
      </c>
      <c r="H24" s="21" t="s">
        <v>127</v>
      </c>
      <c r="I24" s="21" t="s">
        <v>128</v>
      </c>
      <c r="J24" s="21" t="s">
        <v>129</v>
      </c>
      <c r="K24" s="21" t="s">
        <v>130</v>
      </c>
      <c r="L24" s="21" t="s">
        <v>131</v>
      </c>
      <c r="M24" s="21" t="s">
        <v>132</v>
      </c>
      <c r="N24" s="21" t="s">
        <v>133</v>
      </c>
      <c r="O24" s="21" t="s">
        <v>134</v>
      </c>
      <c r="P24" s="21" t="s">
        <v>135</v>
      </c>
      <c r="Q24" s="21" t="s">
        <v>136</v>
      </c>
      <c r="R24" s="21" t="s">
        <v>137</v>
      </c>
      <c r="S24" s="21" t="s">
        <v>138</v>
      </c>
      <c r="T24" s="21" t="s">
        <v>139</v>
      </c>
      <c r="U24" s="21" t="s">
        <v>140</v>
      </c>
      <c r="V24" s="21" t="s">
        <v>141</v>
      </c>
      <c r="W24" s="21" t="s">
        <v>170</v>
      </c>
      <c r="X24" s="21" t="s">
        <v>171</v>
      </c>
      <c r="Y24" s="21" t="s">
        <v>172</v>
      </c>
      <c r="Z24" s="21" t="s">
        <v>173</v>
      </c>
      <c r="AA24" s="21" t="s">
        <v>174</v>
      </c>
      <c r="AB24" s="21" t="s">
        <v>175</v>
      </c>
      <c r="AC24" s="21" t="s">
        <v>176</v>
      </c>
      <c r="AD24" s="21" t="s">
        <v>177</v>
      </c>
      <c r="AE24" s="21" t="s">
        <v>178</v>
      </c>
      <c r="AF24" s="21" t="s">
        <v>179</v>
      </c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3:48" ht="12" thickBot="1">
      <c r="C25" s="15">
        <v>0</v>
      </c>
      <c r="D25" s="15">
        <v>1</v>
      </c>
      <c r="E25" s="15">
        <v>2</v>
      </c>
      <c r="F25" s="15">
        <v>3</v>
      </c>
      <c r="G25" s="15">
        <v>4</v>
      </c>
      <c r="H25" s="15">
        <v>5</v>
      </c>
      <c r="I25" s="15">
        <v>6</v>
      </c>
      <c r="J25" s="15">
        <v>7</v>
      </c>
      <c r="K25" s="15">
        <v>8</v>
      </c>
      <c r="L25" s="15">
        <v>9</v>
      </c>
      <c r="M25" s="15">
        <v>10</v>
      </c>
      <c r="N25" s="15">
        <v>11</v>
      </c>
      <c r="O25" s="15">
        <v>12</v>
      </c>
      <c r="P25" s="15">
        <v>13</v>
      </c>
      <c r="Q25" s="15">
        <v>14</v>
      </c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5">
        <v>22</v>
      </c>
      <c r="Z25" s="15">
        <v>23</v>
      </c>
      <c r="AA25" s="15">
        <v>24</v>
      </c>
      <c r="AB25" s="15">
        <v>25</v>
      </c>
      <c r="AC25" s="15">
        <v>26</v>
      </c>
      <c r="AD25" s="15">
        <v>27</v>
      </c>
      <c r="AE25" s="15">
        <v>28</v>
      </c>
      <c r="AF25" s="15">
        <v>29</v>
      </c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 ht="12" thickTop="1">
      <c r="A26" s="1" t="s">
        <v>186</v>
      </c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1:48" ht="11.25">
      <c r="A27" s="12" t="s">
        <v>122</v>
      </c>
      <c r="C27" s="4">
        <f aca="true" t="shared" si="0" ref="C27:AF27">IF(MOD(C$25,$B7)=0,$B8*$B$5/1000,$B9*$B$5/1000)</f>
        <v>3000</v>
      </c>
      <c r="D27" s="4">
        <f t="shared" si="0"/>
        <v>3000</v>
      </c>
      <c r="E27" s="4">
        <f t="shared" si="0"/>
        <v>3000</v>
      </c>
      <c r="F27" s="4">
        <f t="shared" si="0"/>
        <v>3000</v>
      </c>
      <c r="G27" s="4">
        <f t="shared" si="0"/>
        <v>3000</v>
      </c>
      <c r="H27" s="4">
        <f t="shared" si="0"/>
        <v>3000</v>
      </c>
      <c r="I27" s="4">
        <f t="shared" si="0"/>
        <v>3000</v>
      </c>
      <c r="J27" s="4">
        <f t="shared" si="0"/>
        <v>3000</v>
      </c>
      <c r="K27" s="4">
        <f t="shared" si="0"/>
        <v>3000</v>
      </c>
      <c r="L27" s="4">
        <f t="shared" si="0"/>
        <v>3000</v>
      </c>
      <c r="M27" s="4">
        <f t="shared" si="0"/>
        <v>3000</v>
      </c>
      <c r="N27" s="4">
        <f t="shared" si="0"/>
        <v>3000</v>
      </c>
      <c r="O27" s="4">
        <f t="shared" si="0"/>
        <v>3000</v>
      </c>
      <c r="P27" s="4">
        <f t="shared" si="0"/>
        <v>3000</v>
      </c>
      <c r="Q27" s="4">
        <f t="shared" si="0"/>
        <v>3000</v>
      </c>
      <c r="R27" s="4">
        <f t="shared" si="0"/>
        <v>3000</v>
      </c>
      <c r="S27" s="4">
        <f t="shared" si="0"/>
        <v>3000</v>
      </c>
      <c r="T27" s="4">
        <f t="shared" si="0"/>
        <v>3000</v>
      </c>
      <c r="U27" s="4">
        <f t="shared" si="0"/>
        <v>3000</v>
      </c>
      <c r="V27" s="4">
        <f t="shared" si="0"/>
        <v>3000</v>
      </c>
      <c r="W27" s="4">
        <f t="shared" si="0"/>
        <v>3000</v>
      </c>
      <c r="X27" s="4">
        <f t="shared" si="0"/>
        <v>3000</v>
      </c>
      <c r="Y27" s="4">
        <f t="shared" si="0"/>
        <v>3000</v>
      </c>
      <c r="Z27" s="4">
        <f t="shared" si="0"/>
        <v>3000</v>
      </c>
      <c r="AA27" s="4">
        <f t="shared" si="0"/>
        <v>3000</v>
      </c>
      <c r="AB27" s="4">
        <f t="shared" si="0"/>
        <v>3000</v>
      </c>
      <c r="AC27" s="4">
        <f t="shared" si="0"/>
        <v>3000</v>
      </c>
      <c r="AD27" s="4">
        <f t="shared" si="0"/>
        <v>3000</v>
      </c>
      <c r="AE27" s="4">
        <f t="shared" si="0"/>
        <v>3000</v>
      </c>
      <c r="AF27" s="4">
        <f t="shared" si="0"/>
        <v>3000</v>
      </c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 ht="11.25">
      <c r="A28" s="12" t="s">
        <v>30</v>
      </c>
      <c r="C28" s="4">
        <f aca="true" t="shared" si="1" ref="C28:AF28">IF(MOD(C$25,$B7)=0,$B13,$B17)</f>
        <v>1300</v>
      </c>
      <c r="D28" s="4">
        <f t="shared" si="1"/>
        <v>1300</v>
      </c>
      <c r="E28" s="4">
        <f t="shared" si="1"/>
        <v>1300</v>
      </c>
      <c r="F28" s="4">
        <f t="shared" si="1"/>
        <v>1300</v>
      </c>
      <c r="G28" s="4">
        <f t="shared" si="1"/>
        <v>1300</v>
      </c>
      <c r="H28" s="4">
        <f t="shared" si="1"/>
        <v>1300</v>
      </c>
      <c r="I28" s="4">
        <f t="shared" si="1"/>
        <v>1300</v>
      </c>
      <c r="J28" s="4">
        <f t="shared" si="1"/>
        <v>1300</v>
      </c>
      <c r="K28" s="4">
        <f t="shared" si="1"/>
        <v>1300</v>
      </c>
      <c r="L28" s="4">
        <f t="shared" si="1"/>
        <v>1300</v>
      </c>
      <c r="M28" s="4">
        <f t="shared" si="1"/>
        <v>1300</v>
      </c>
      <c r="N28" s="4">
        <f t="shared" si="1"/>
        <v>1300</v>
      </c>
      <c r="O28" s="4">
        <f t="shared" si="1"/>
        <v>1300</v>
      </c>
      <c r="P28" s="4">
        <f t="shared" si="1"/>
        <v>1300</v>
      </c>
      <c r="Q28" s="4">
        <f t="shared" si="1"/>
        <v>1300</v>
      </c>
      <c r="R28" s="4">
        <f t="shared" si="1"/>
        <v>1300</v>
      </c>
      <c r="S28" s="4">
        <f t="shared" si="1"/>
        <v>1300</v>
      </c>
      <c r="T28" s="4">
        <f t="shared" si="1"/>
        <v>1300</v>
      </c>
      <c r="U28" s="4">
        <f t="shared" si="1"/>
        <v>1300</v>
      </c>
      <c r="V28" s="4">
        <f t="shared" si="1"/>
        <v>1300</v>
      </c>
      <c r="W28" s="4">
        <f t="shared" si="1"/>
        <v>1300</v>
      </c>
      <c r="X28" s="4">
        <f t="shared" si="1"/>
        <v>1300</v>
      </c>
      <c r="Y28" s="4">
        <f t="shared" si="1"/>
        <v>1300</v>
      </c>
      <c r="Z28" s="4">
        <f t="shared" si="1"/>
        <v>1300</v>
      </c>
      <c r="AA28" s="4">
        <f t="shared" si="1"/>
        <v>1300</v>
      </c>
      <c r="AB28" s="4">
        <f t="shared" si="1"/>
        <v>1300</v>
      </c>
      <c r="AC28" s="4">
        <f t="shared" si="1"/>
        <v>1300</v>
      </c>
      <c r="AD28" s="4">
        <f t="shared" si="1"/>
        <v>1300</v>
      </c>
      <c r="AE28" s="4">
        <f t="shared" si="1"/>
        <v>1300</v>
      </c>
      <c r="AF28" s="4">
        <f t="shared" si="1"/>
        <v>1300</v>
      </c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48" ht="11.25">
      <c r="A29" s="12" t="s">
        <v>31</v>
      </c>
      <c r="C29" s="4">
        <f aca="true" t="shared" si="2" ref="C29:AF29">IF(MOD(C$25,$B7)=0,$B14,$B18)</f>
        <v>1700</v>
      </c>
      <c r="D29" s="4">
        <f t="shared" si="2"/>
        <v>0</v>
      </c>
      <c r="E29" s="4">
        <f t="shared" si="2"/>
        <v>0</v>
      </c>
      <c r="F29" s="4">
        <f t="shared" si="2"/>
        <v>0</v>
      </c>
      <c r="G29" s="4">
        <f t="shared" si="2"/>
        <v>1700</v>
      </c>
      <c r="H29" s="4">
        <f t="shared" si="2"/>
        <v>0</v>
      </c>
      <c r="I29" s="4">
        <f t="shared" si="2"/>
        <v>0</v>
      </c>
      <c r="J29" s="4">
        <f t="shared" si="2"/>
        <v>0</v>
      </c>
      <c r="K29" s="4">
        <f t="shared" si="2"/>
        <v>1700</v>
      </c>
      <c r="L29" s="4">
        <f t="shared" si="2"/>
        <v>0</v>
      </c>
      <c r="M29" s="4">
        <f t="shared" si="2"/>
        <v>0</v>
      </c>
      <c r="N29" s="4">
        <f t="shared" si="2"/>
        <v>0</v>
      </c>
      <c r="O29" s="4">
        <f t="shared" si="2"/>
        <v>1700</v>
      </c>
      <c r="P29" s="4">
        <f t="shared" si="2"/>
        <v>0</v>
      </c>
      <c r="Q29" s="4">
        <f t="shared" si="2"/>
        <v>0</v>
      </c>
      <c r="R29" s="4">
        <f t="shared" si="2"/>
        <v>0</v>
      </c>
      <c r="S29" s="4">
        <f t="shared" si="2"/>
        <v>1700</v>
      </c>
      <c r="T29" s="4">
        <f t="shared" si="2"/>
        <v>0</v>
      </c>
      <c r="U29" s="4">
        <f t="shared" si="2"/>
        <v>0</v>
      </c>
      <c r="V29" s="4">
        <f t="shared" si="2"/>
        <v>0</v>
      </c>
      <c r="W29" s="4">
        <f t="shared" si="2"/>
        <v>1700</v>
      </c>
      <c r="X29" s="4">
        <f t="shared" si="2"/>
        <v>0</v>
      </c>
      <c r="Y29" s="4">
        <f t="shared" si="2"/>
        <v>0</v>
      </c>
      <c r="Z29" s="4">
        <f t="shared" si="2"/>
        <v>0</v>
      </c>
      <c r="AA29" s="4">
        <f t="shared" si="2"/>
        <v>1700</v>
      </c>
      <c r="AB29" s="4">
        <f t="shared" si="2"/>
        <v>0</v>
      </c>
      <c r="AC29" s="4">
        <f t="shared" si="2"/>
        <v>0</v>
      </c>
      <c r="AD29" s="4">
        <f t="shared" si="2"/>
        <v>0</v>
      </c>
      <c r="AE29" s="4">
        <f t="shared" si="2"/>
        <v>1700</v>
      </c>
      <c r="AF29" s="4">
        <f t="shared" si="2"/>
        <v>0</v>
      </c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48" ht="11.25">
      <c r="A30" s="12" t="s">
        <v>32</v>
      </c>
      <c r="C30" s="4">
        <f aca="true" t="shared" si="3" ref="C30:AF30">IF(MOD(C$25,$B7)=0,$B15,$B19)</f>
        <v>1200</v>
      </c>
      <c r="D30" s="4">
        <f t="shared" si="3"/>
        <v>0</v>
      </c>
      <c r="E30" s="4">
        <f t="shared" si="3"/>
        <v>0</v>
      </c>
      <c r="F30" s="4">
        <f t="shared" si="3"/>
        <v>0</v>
      </c>
      <c r="G30" s="4">
        <f t="shared" si="3"/>
        <v>1200</v>
      </c>
      <c r="H30" s="4">
        <f t="shared" si="3"/>
        <v>0</v>
      </c>
      <c r="I30" s="4">
        <f t="shared" si="3"/>
        <v>0</v>
      </c>
      <c r="J30" s="4">
        <f t="shared" si="3"/>
        <v>0</v>
      </c>
      <c r="K30" s="4">
        <f t="shared" si="3"/>
        <v>1200</v>
      </c>
      <c r="L30" s="4">
        <f t="shared" si="3"/>
        <v>0</v>
      </c>
      <c r="M30" s="4">
        <f t="shared" si="3"/>
        <v>0</v>
      </c>
      <c r="N30" s="4">
        <f t="shared" si="3"/>
        <v>0</v>
      </c>
      <c r="O30" s="4">
        <f t="shared" si="3"/>
        <v>1200</v>
      </c>
      <c r="P30" s="4">
        <f t="shared" si="3"/>
        <v>0</v>
      </c>
      <c r="Q30" s="4">
        <f t="shared" si="3"/>
        <v>0</v>
      </c>
      <c r="R30" s="4">
        <f t="shared" si="3"/>
        <v>0</v>
      </c>
      <c r="S30" s="4">
        <f t="shared" si="3"/>
        <v>1200</v>
      </c>
      <c r="T30" s="4">
        <f t="shared" si="3"/>
        <v>0</v>
      </c>
      <c r="U30" s="4">
        <f t="shared" si="3"/>
        <v>0</v>
      </c>
      <c r="V30" s="4">
        <f t="shared" si="3"/>
        <v>0</v>
      </c>
      <c r="W30" s="4">
        <f t="shared" si="3"/>
        <v>1200</v>
      </c>
      <c r="X30" s="4">
        <f t="shared" si="3"/>
        <v>0</v>
      </c>
      <c r="Y30" s="4">
        <f t="shared" si="3"/>
        <v>0</v>
      </c>
      <c r="Z30" s="4">
        <f t="shared" si="3"/>
        <v>0</v>
      </c>
      <c r="AA30" s="4">
        <f t="shared" si="3"/>
        <v>1200</v>
      </c>
      <c r="AB30" s="4">
        <f t="shared" si="3"/>
        <v>0</v>
      </c>
      <c r="AC30" s="4">
        <f t="shared" si="3"/>
        <v>0</v>
      </c>
      <c r="AD30" s="4">
        <f t="shared" si="3"/>
        <v>0</v>
      </c>
      <c r="AE30" s="4">
        <f t="shared" si="3"/>
        <v>1200</v>
      </c>
      <c r="AF30" s="4">
        <f t="shared" si="3"/>
        <v>0</v>
      </c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1:48" ht="11.25">
      <c r="A31" s="2" t="s">
        <v>165</v>
      </c>
      <c r="C31" s="4">
        <f>SUM(C27:C30)</f>
        <v>7200</v>
      </c>
      <c r="D31" s="4">
        <f aca="true" t="shared" si="4" ref="D31:V31">SUM(D27:D30)</f>
        <v>4300</v>
      </c>
      <c r="E31" s="4">
        <f t="shared" si="4"/>
        <v>4300</v>
      </c>
      <c r="F31" s="4">
        <f t="shared" si="4"/>
        <v>4300</v>
      </c>
      <c r="G31" s="4">
        <f t="shared" si="4"/>
        <v>7200</v>
      </c>
      <c r="H31" s="4">
        <f t="shared" si="4"/>
        <v>4300</v>
      </c>
      <c r="I31" s="4">
        <f t="shared" si="4"/>
        <v>4300</v>
      </c>
      <c r="J31" s="4">
        <f t="shared" si="4"/>
        <v>4300</v>
      </c>
      <c r="K31" s="4">
        <f t="shared" si="4"/>
        <v>7200</v>
      </c>
      <c r="L31" s="4">
        <f t="shared" si="4"/>
        <v>4300</v>
      </c>
      <c r="M31" s="4">
        <f t="shared" si="4"/>
        <v>4300</v>
      </c>
      <c r="N31" s="4">
        <f t="shared" si="4"/>
        <v>4300</v>
      </c>
      <c r="O31" s="4">
        <f t="shared" si="4"/>
        <v>7200</v>
      </c>
      <c r="P31" s="4">
        <f t="shared" si="4"/>
        <v>4300</v>
      </c>
      <c r="Q31" s="4">
        <f t="shared" si="4"/>
        <v>4300</v>
      </c>
      <c r="R31" s="4">
        <f t="shared" si="4"/>
        <v>4300</v>
      </c>
      <c r="S31" s="4">
        <f t="shared" si="4"/>
        <v>7200</v>
      </c>
      <c r="T31" s="4">
        <f t="shared" si="4"/>
        <v>4300</v>
      </c>
      <c r="U31" s="4">
        <f t="shared" si="4"/>
        <v>4300</v>
      </c>
      <c r="V31" s="4">
        <f t="shared" si="4"/>
        <v>4300</v>
      </c>
      <c r="W31" s="4">
        <f aca="true" t="shared" si="5" ref="W31:AE31">SUM(W27:W30)</f>
        <v>7200</v>
      </c>
      <c r="X31" s="4">
        <f t="shared" si="5"/>
        <v>4300</v>
      </c>
      <c r="Y31" s="4">
        <f t="shared" si="5"/>
        <v>4300</v>
      </c>
      <c r="Z31" s="4">
        <f t="shared" si="5"/>
        <v>4300</v>
      </c>
      <c r="AA31" s="4">
        <f t="shared" si="5"/>
        <v>7200</v>
      </c>
      <c r="AB31" s="4">
        <f t="shared" si="5"/>
        <v>4300</v>
      </c>
      <c r="AC31" s="4">
        <f t="shared" si="5"/>
        <v>4300</v>
      </c>
      <c r="AD31" s="4">
        <f t="shared" si="5"/>
        <v>4300</v>
      </c>
      <c r="AE31" s="4">
        <f t="shared" si="5"/>
        <v>7200</v>
      </c>
      <c r="AF31" s="4">
        <f>SUM(AF27:AF30)</f>
        <v>4300</v>
      </c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48" ht="12">
      <c r="A32" s="1" t="s">
        <v>166</v>
      </c>
      <c r="B32" s="1"/>
      <c r="C32" s="16">
        <f>C31/$B$3*1000</f>
        <v>480</v>
      </c>
      <c r="D32" s="16">
        <f aca="true" t="shared" si="6" ref="D32:AF32">D31/$B$3*1000</f>
        <v>286.6666666666667</v>
      </c>
      <c r="E32" s="16">
        <f t="shared" si="6"/>
        <v>286.6666666666667</v>
      </c>
      <c r="F32" s="16">
        <f t="shared" si="6"/>
        <v>286.6666666666667</v>
      </c>
      <c r="G32" s="16">
        <f t="shared" si="6"/>
        <v>480</v>
      </c>
      <c r="H32" s="16">
        <f t="shared" si="6"/>
        <v>286.6666666666667</v>
      </c>
      <c r="I32" s="16">
        <f t="shared" si="6"/>
        <v>286.6666666666667</v>
      </c>
      <c r="J32" s="16">
        <f t="shared" si="6"/>
        <v>286.6666666666667</v>
      </c>
      <c r="K32" s="16">
        <f t="shared" si="6"/>
        <v>480</v>
      </c>
      <c r="L32" s="16">
        <f t="shared" si="6"/>
        <v>286.6666666666667</v>
      </c>
      <c r="M32" s="16">
        <f t="shared" si="6"/>
        <v>286.6666666666667</v>
      </c>
      <c r="N32" s="16">
        <f t="shared" si="6"/>
        <v>286.6666666666667</v>
      </c>
      <c r="O32" s="16">
        <f t="shared" si="6"/>
        <v>480</v>
      </c>
      <c r="P32" s="16">
        <f t="shared" si="6"/>
        <v>286.6666666666667</v>
      </c>
      <c r="Q32" s="16">
        <f t="shared" si="6"/>
        <v>286.6666666666667</v>
      </c>
      <c r="R32" s="16">
        <f t="shared" si="6"/>
        <v>286.6666666666667</v>
      </c>
      <c r="S32" s="16">
        <f t="shared" si="6"/>
        <v>480</v>
      </c>
      <c r="T32" s="16">
        <f t="shared" si="6"/>
        <v>286.6666666666667</v>
      </c>
      <c r="U32" s="16">
        <f t="shared" si="6"/>
        <v>286.6666666666667</v>
      </c>
      <c r="V32" s="16">
        <f t="shared" si="6"/>
        <v>286.6666666666667</v>
      </c>
      <c r="W32" s="16">
        <f t="shared" si="6"/>
        <v>480</v>
      </c>
      <c r="X32" s="16">
        <f t="shared" si="6"/>
        <v>286.6666666666667</v>
      </c>
      <c r="Y32" s="16">
        <f t="shared" si="6"/>
        <v>286.6666666666667</v>
      </c>
      <c r="Z32" s="16">
        <f t="shared" si="6"/>
        <v>286.6666666666667</v>
      </c>
      <c r="AA32" s="16">
        <f t="shared" si="6"/>
        <v>480</v>
      </c>
      <c r="AB32" s="16">
        <f t="shared" si="6"/>
        <v>286.6666666666667</v>
      </c>
      <c r="AC32" s="16">
        <f t="shared" si="6"/>
        <v>286.6666666666667</v>
      </c>
      <c r="AD32" s="16">
        <f t="shared" si="6"/>
        <v>286.6666666666667</v>
      </c>
      <c r="AE32" s="16">
        <f t="shared" si="6"/>
        <v>480</v>
      </c>
      <c r="AF32" s="16">
        <f t="shared" si="6"/>
        <v>286.6666666666667</v>
      </c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3:48" ht="11.2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 ht="12">
      <c r="A34" s="1" t="s">
        <v>187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 ht="11.25">
      <c r="A35" s="12" t="s">
        <v>122</v>
      </c>
      <c r="C35" s="4">
        <f aca="true" t="shared" si="7" ref="C35:AF35">IF(MOD(C$25,$C7)=0,$C8*$B$5/1000,$C9*$B$5/1000)</f>
        <v>900</v>
      </c>
      <c r="D35" s="4">
        <f t="shared" si="7"/>
        <v>2025</v>
      </c>
      <c r="E35" s="4">
        <f t="shared" si="7"/>
        <v>2025</v>
      </c>
      <c r="F35" s="4">
        <f t="shared" si="7"/>
        <v>900</v>
      </c>
      <c r="G35" s="4">
        <f t="shared" si="7"/>
        <v>2025</v>
      </c>
      <c r="H35" s="4">
        <f t="shared" si="7"/>
        <v>2025</v>
      </c>
      <c r="I35" s="4">
        <f t="shared" si="7"/>
        <v>900</v>
      </c>
      <c r="J35" s="4">
        <f t="shared" si="7"/>
        <v>2025</v>
      </c>
      <c r="K35" s="4">
        <f t="shared" si="7"/>
        <v>2025</v>
      </c>
      <c r="L35" s="4">
        <f t="shared" si="7"/>
        <v>900</v>
      </c>
      <c r="M35" s="4">
        <f t="shared" si="7"/>
        <v>2025</v>
      </c>
      <c r="N35" s="4">
        <f t="shared" si="7"/>
        <v>2025</v>
      </c>
      <c r="O35" s="4">
        <f t="shared" si="7"/>
        <v>900</v>
      </c>
      <c r="P35" s="4">
        <f t="shared" si="7"/>
        <v>2025</v>
      </c>
      <c r="Q35" s="4">
        <f t="shared" si="7"/>
        <v>2025</v>
      </c>
      <c r="R35" s="4">
        <f t="shared" si="7"/>
        <v>900</v>
      </c>
      <c r="S35" s="4">
        <f t="shared" si="7"/>
        <v>2025</v>
      </c>
      <c r="T35" s="4">
        <f t="shared" si="7"/>
        <v>2025</v>
      </c>
      <c r="U35" s="4">
        <f t="shared" si="7"/>
        <v>900</v>
      </c>
      <c r="V35" s="4">
        <f t="shared" si="7"/>
        <v>2025</v>
      </c>
      <c r="W35" s="4">
        <f t="shared" si="7"/>
        <v>2025</v>
      </c>
      <c r="X35" s="4">
        <f t="shared" si="7"/>
        <v>900</v>
      </c>
      <c r="Y35" s="4">
        <f t="shared" si="7"/>
        <v>2025</v>
      </c>
      <c r="Z35" s="4">
        <f t="shared" si="7"/>
        <v>2025</v>
      </c>
      <c r="AA35" s="4">
        <f t="shared" si="7"/>
        <v>900</v>
      </c>
      <c r="AB35" s="4">
        <f t="shared" si="7"/>
        <v>2025</v>
      </c>
      <c r="AC35" s="4">
        <f t="shared" si="7"/>
        <v>2025</v>
      </c>
      <c r="AD35" s="4">
        <f t="shared" si="7"/>
        <v>900</v>
      </c>
      <c r="AE35" s="4">
        <f t="shared" si="7"/>
        <v>2025</v>
      </c>
      <c r="AF35" s="4">
        <f t="shared" si="7"/>
        <v>2025</v>
      </c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1:48" ht="11.25">
      <c r="A36" s="12" t="s">
        <v>30</v>
      </c>
      <c r="C36" s="4">
        <f aca="true" t="shared" si="8" ref="C36:AF36">IF(MOD(C$25,$C7)=0,$C13,$C17)</f>
        <v>3700</v>
      </c>
      <c r="D36" s="4">
        <f t="shared" si="8"/>
        <v>3900</v>
      </c>
      <c r="E36" s="4">
        <f t="shared" si="8"/>
        <v>3900</v>
      </c>
      <c r="F36" s="4">
        <f t="shared" si="8"/>
        <v>3700</v>
      </c>
      <c r="G36" s="4">
        <f t="shared" si="8"/>
        <v>3900</v>
      </c>
      <c r="H36" s="4">
        <f t="shared" si="8"/>
        <v>3900</v>
      </c>
      <c r="I36" s="4">
        <f t="shared" si="8"/>
        <v>3700</v>
      </c>
      <c r="J36" s="4">
        <f t="shared" si="8"/>
        <v>3900</v>
      </c>
      <c r="K36" s="4">
        <f t="shared" si="8"/>
        <v>3900</v>
      </c>
      <c r="L36" s="4">
        <f t="shared" si="8"/>
        <v>3700</v>
      </c>
      <c r="M36" s="4">
        <f t="shared" si="8"/>
        <v>3900</v>
      </c>
      <c r="N36" s="4">
        <f t="shared" si="8"/>
        <v>3900</v>
      </c>
      <c r="O36" s="4">
        <f t="shared" si="8"/>
        <v>3700</v>
      </c>
      <c r="P36" s="4">
        <f t="shared" si="8"/>
        <v>3900</v>
      </c>
      <c r="Q36" s="4">
        <f t="shared" si="8"/>
        <v>3900</v>
      </c>
      <c r="R36" s="4">
        <f t="shared" si="8"/>
        <v>3700</v>
      </c>
      <c r="S36" s="4">
        <f t="shared" si="8"/>
        <v>3900</v>
      </c>
      <c r="T36" s="4">
        <f t="shared" si="8"/>
        <v>3900</v>
      </c>
      <c r="U36" s="4">
        <f t="shared" si="8"/>
        <v>3700</v>
      </c>
      <c r="V36" s="4">
        <f t="shared" si="8"/>
        <v>3900</v>
      </c>
      <c r="W36" s="4">
        <f t="shared" si="8"/>
        <v>3900</v>
      </c>
      <c r="X36" s="4">
        <f t="shared" si="8"/>
        <v>3700</v>
      </c>
      <c r="Y36" s="4">
        <f t="shared" si="8"/>
        <v>3900</v>
      </c>
      <c r="Z36" s="4">
        <f t="shared" si="8"/>
        <v>3900</v>
      </c>
      <c r="AA36" s="4">
        <f t="shared" si="8"/>
        <v>3700</v>
      </c>
      <c r="AB36" s="4">
        <f t="shared" si="8"/>
        <v>3900</v>
      </c>
      <c r="AC36" s="4">
        <f t="shared" si="8"/>
        <v>3900</v>
      </c>
      <c r="AD36" s="4">
        <f t="shared" si="8"/>
        <v>3700</v>
      </c>
      <c r="AE36" s="4">
        <f t="shared" si="8"/>
        <v>3900</v>
      </c>
      <c r="AF36" s="4">
        <f t="shared" si="8"/>
        <v>3900</v>
      </c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</row>
    <row r="37" spans="1:48" ht="11.25">
      <c r="A37" s="12" t="s">
        <v>31</v>
      </c>
      <c r="C37" s="4">
        <f aca="true" t="shared" si="9" ref="C37:AF37">IF(MOD(C$25,$C7)=0,$C14,$C18)</f>
        <v>5500</v>
      </c>
      <c r="D37" s="4">
        <f t="shared" si="9"/>
        <v>0</v>
      </c>
      <c r="E37" s="4">
        <f t="shared" si="9"/>
        <v>0</v>
      </c>
      <c r="F37" s="4">
        <f t="shared" si="9"/>
        <v>5500</v>
      </c>
      <c r="G37" s="4">
        <f t="shared" si="9"/>
        <v>0</v>
      </c>
      <c r="H37" s="4">
        <f t="shared" si="9"/>
        <v>0</v>
      </c>
      <c r="I37" s="4">
        <f t="shared" si="9"/>
        <v>5500</v>
      </c>
      <c r="J37" s="4">
        <f t="shared" si="9"/>
        <v>0</v>
      </c>
      <c r="K37" s="4">
        <f t="shared" si="9"/>
        <v>0</v>
      </c>
      <c r="L37" s="4">
        <f t="shared" si="9"/>
        <v>5500</v>
      </c>
      <c r="M37" s="4">
        <f t="shared" si="9"/>
        <v>0</v>
      </c>
      <c r="N37" s="4">
        <f t="shared" si="9"/>
        <v>0</v>
      </c>
      <c r="O37" s="4">
        <f t="shared" si="9"/>
        <v>5500</v>
      </c>
      <c r="P37" s="4">
        <f t="shared" si="9"/>
        <v>0</v>
      </c>
      <c r="Q37" s="4">
        <f t="shared" si="9"/>
        <v>0</v>
      </c>
      <c r="R37" s="4">
        <f t="shared" si="9"/>
        <v>5500</v>
      </c>
      <c r="S37" s="4">
        <f t="shared" si="9"/>
        <v>0</v>
      </c>
      <c r="T37" s="4">
        <f t="shared" si="9"/>
        <v>0</v>
      </c>
      <c r="U37" s="4">
        <f t="shared" si="9"/>
        <v>5500</v>
      </c>
      <c r="V37" s="4">
        <f t="shared" si="9"/>
        <v>0</v>
      </c>
      <c r="W37" s="4">
        <f t="shared" si="9"/>
        <v>0</v>
      </c>
      <c r="X37" s="4">
        <f t="shared" si="9"/>
        <v>5500</v>
      </c>
      <c r="Y37" s="4">
        <f t="shared" si="9"/>
        <v>0</v>
      </c>
      <c r="Z37" s="4">
        <f t="shared" si="9"/>
        <v>0</v>
      </c>
      <c r="AA37" s="4">
        <f t="shared" si="9"/>
        <v>5500</v>
      </c>
      <c r="AB37" s="4">
        <f t="shared" si="9"/>
        <v>0</v>
      </c>
      <c r="AC37" s="4">
        <f t="shared" si="9"/>
        <v>0</v>
      </c>
      <c r="AD37" s="4">
        <f t="shared" si="9"/>
        <v>5500</v>
      </c>
      <c r="AE37" s="4">
        <f t="shared" si="9"/>
        <v>0</v>
      </c>
      <c r="AF37" s="4">
        <f t="shared" si="9"/>
        <v>0</v>
      </c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</row>
    <row r="38" spans="1:48" ht="11.25">
      <c r="A38" s="12" t="s">
        <v>32</v>
      </c>
      <c r="C38" s="4">
        <f aca="true" t="shared" si="10" ref="C38:AF38">IF(MOD(C$25,$C7)=0,$C15,$C19)</f>
        <v>1300</v>
      </c>
      <c r="D38" s="4">
        <f t="shared" si="10"/>
        <v>0</v>
      </c>
      <c r="E38" s="4">
        <f t="shared" si="10"/>
        <v>0</v>
      </c>
      <c r="F38" s="4">
        <f t="shared" si="10"/>
        <v>1300</v>
      </c>
      <c r="G38" s="4">
        <f t="shared" si="10"/>
        <v>0</v>
      </c>
      <c r="H38" s="4">
        <f t="shared" si="10"/>
        <v>0</v>
      </c>
      <c r="I38" s="4">
        <f t="shared" si="10"/>
        <v>1300</v>
      </c>
      <c r="J38" s="4">
        <f t="shared" si="10"/>
        <v>0</v>
      </c>
      <c r="K38" s="4">
        <f t="shared" si="10"/>
        <v>0</v>
      </c>
      <c r="L38" s="4">
        <f t="shared" si="10"/>
        <v>1300</v>
      </c>
      <c r="M38" s="4">
        <f t="shared" si="10"/>
        <v>0</v>
      </c>
      <c r="N38" s="4">
        <f t="shared" si="10"/>
        <v>0</v>
      </c>
      <c r="O38" s="4">
        <f t="shared" si="10"/>
        <v>1300</v>
      </c>
      <c r="P38" s="4">
        <f t="shared" si="10"/>
        <v>0</v>
      </c>
      <c r="Q38" s="4">
        <f t="shared" si="10"/>
        <v>0</v>
      </c>
      <c r="R38" s="4">
        <f t="shared" si="10"/>
        <v>1300</v>
      </c>
      <c r="S38" s="4">
        <f t="shared" si="10"/>
        <v>0</v>
      </c>
      <c r="T38" s="4">
        <f t="shared" si="10"/>
        <v>0</v>
      </c>
      <c r="U38" s="4">
        <f t="shared" si="10"/>
        <v>1300</v>
      </c>
      <c r="V38" s="4">
        <f t="shared" si="10"/>
        <v>0</v>
      </c>
      <c r="W38" s="4">
        <f t="shared" si="10"/>
        <v>0</v>
      </c>
      <c r="X38" s="4">
        <f t="shared" si="10"/>
        <v>1300</v>
      </c>
      <c r="Y38" s="4">
        <f t="shared" si="10"/>
        <v>0</v>
      </c>
      <c r="Z38" s="4">
        <f t="shared" si="10"/>
        <v>0</v>
      </c>
      <c r="AA38" s="4">
        <f t="shared" si="10"/>
        <v>1300</v>
      </c>
      <c r="AB38" s="4">
        <f t="shared" si="10"/>
        <v>0</v>
      </c>
      <c r="AC38" s="4">
        <f t="shared" si="10"/>
        <v>0</v>
      </c>
      <c r="AD38" s="4">
        <f t="shared" si="10"/>
        <v>1300</v>
      </c>
      <c r="AE38" s="4">
        <f t="shared" si="10"/>
        <v>0</v>
      </c>
      <c r="AF38" s="4">
        <f t="shared" si="10"/>
        <v>0</v>
      </c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</row>
    <row r="39" spans="1:48" ht="11.25">
      <c r="A39" s="2" t="s">
        <v>165</v>
      </c>
      <c r="C39" s="4">
        <f>SUM(C35:C38)</f>
        <v>11400</v>
      </c>
      <c r="D39" s="4">
        <f aca="true" t="shared" si="11" ref="D39:V39">SUM(D35:D38)</f>
        <v>5925</v>
      </c>
      <c r="E39" s="4">
        <f t="shared" si="11"/>
        <v>5925</v>
      </c>
      <c r="F39" s="4">
        <f t="shared" si="11"/>
        <v>11400</v>
      </c>
      <c r="G39" s="4">
        <f t="shared" si="11"/>
        <v>5925</v>
      </c>
      <c r="H39" s="4">
        <f t="shared" si="11"/>
        <v>5925</v>
      </c>
      <c r="I39" s="4">
        <f t="shared" si="11"/>
        <v>11400</v>
      </c>
      <c r="J39" s="4">
        <f t="shared" si="11"/>
        <v>5925</v>
      </c>
      <c r="K39" s="4">
        <f t="shared" si="11"/>
        <v>5925</v>
      </c>
      <c r="L39" s="4">
        <f t="shared" si="11"/>
        <v>11400</v>
      </c>
      <c r="M39" s="4">
        <f t="shared" si="11"/>
        <v>5925</v>
      </c>
      <c r="N39" s="4">
        <f t="shared" si="11"/>
        <v>5925</v>
      </c>
      <c r="O39" s="4">
        <f t="shared" si="11"/>
        <v>11400</v>
      </c>
      <c r="P39" s="4">
        <f t="shared" si="11"/>
        <v>5925</v>
      </c>
      <c r="Q39" s="4">
        <f t="shared" si="11"/>
        <v>5925</v>
      </c>
      <c r="R39" s="4">
        <f t="shared" si="11"/>
        <v>11400</v>
      </c>
      <c r="S39" s="4">
        <f t="shared" si="11"/>
        <v>5925</v>
      </c>
      <c r="T39" s="4">
        <f t="shared" si="11"/>
        <v>5925</v>
      </c>
      <c r="U39" s="4">
        <f t="shared" si="11"/>
        <v>11400</v>
      </c>
      <c r="V39" s="4">
        <f t="shared" si="11"/>
        <v>5925</v>
      </c>
      <c r="W39" s="4">
        <f aca="true" t="shared" si="12" ref="W39:AF39">SUM(W35:W38)</f>
        <v>5925</v>
      </c>
      <c r="X39" s="4">
        <f t="shared" si="12"/>
        <v>11400</v>
      </c>
      <c r="Y39" s="4">
        <f t="shared" si="12"/>
        <v>5925</v>
      </c>
      <c r="Z39" s="4">
        <f t="shared" si="12"/>
        <v>5925</v>
      </c>
      <c r="AA39" s="4">
        <f t="shared" si="12"/>
        <v>11400</v>
      </c>
      <c r="AB39" s="4">
        <f t="shared" si="12"/>
        <v>5925</v>
      </c>
      <c r="AC39" s="4">
        <f t="shared" si="12"/>
        <v>5925</v>
      </c>
      <c r="AD39" s="4">
        <f t="shared" si="12"/>
        <v>11400</v>
      </c>
      <c r="AE39" s="4">
        <f t="shared" si="12"/>
        <v>5925</v>
      </c>
      <c r="AF39" s="4">
        <f t="shared" si="12"/>
        <v>5925</v>
      </c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</row>
    <row r="40" spans="1:48" ht="11.25">
      <c r="A40" s="2" t="s">
        <v>166</v>
      </c>
      <c r="C40" s="4">
        <f>C39/$B$3*1000</f>
        <v>760</v>
      </c>
      <c r="D40" s="4">
        <f aca="true" t="shared" si="13" ref="D40:AF40">D39/$B$3*1000</f>
        <v>395</v>
      </c>
      <c r="E40" s="4">
        <f t="shared" si="13"/>
        <v>395</v>
      </c>
      <c r="F40" s="4">
        <f t="shared" si="13"/>
        <v>760</v>
      </c>
      <c r="G40" s="4">
        <f t="shared" si="13"/>
        <v>395</v>
      </c>
      <c r="H40" s="4">
        <f t="shared" si="13"/>
        <v>395</v>
      </c>
      <c r="I40" s="4">
        <f t="shared" si="13"/>
        <v>760</v>
      </c>
      <c r="J40" s="4">
        <f t="shared" si="13"/>
        <v>395</v>
      </c>
      <c r="K40" s="4">
        <f t="shared" si="13"/>
        <v>395</v>
      </c>
      <c r="L40" s="4">
        <f t="shared" si="13"/>
        <v>760</v>
      </c>
      <c r="M40" s="4">
        <f t="shared" si="13"/>
        <v>395</v>
      </c>
      <c r="N40" s="4">
        <f t="shared" si="13"/>
        <v>395</v>
      </c>
      <c r="O40" s="4">
        <f t="shared" si="13"/>
        <v>760</v>
      </c>
      <c r="P40" s="4">
        <f t="shared" si="13"/>
        <v>395</v>
      </c>
      <c r="Q40" s="4">
        <f t="shared" si="13"/>
        <v>395</v>
      </c>
      <c r="R40" s="4">
        <f t="shared" si="13"/>
        <v>760</v>
      </c>
      <c r="S40" s="4">
        <f t="shared" si="13"/>
        <v>395</v>
      </c>
      <c r="T40" s="4">
        <f t="shared" si="13"/>
        <v>395</v>
      </c>
      <c r="U40" s="4">
        <f t="shared" si="13"/>
        <v>760</v>
      </c>
      <c r="V40" s="4">
        <f t="shared" si="13"/>
        <v>395</v>
      </c>
      <c r="W40" s="4">
        <f t="shared" si="13"/>
        <v>395</v>
      </c>
      <c r="X40" s="4">
        <f t="shared" si="13"/>
        <v>760</v>
      </c>
      <c r="Y40" s="4">
        <f t="shared" si="13"/>
        <v>395</v>
      </c>
      <c r="Z40" s="4">
        <f t="shared" si="13"/>
        <v>395</v>
      </c>
      <c r="AA40" s="4">
        <f t="shared" si="13"/>
        <v>760</v>
      </c>
      <c r="AB40" s="4">
        <f t="shared" si="13"/>
        <v>395</v>
      </c>
      <c r="AC40" s="4">
        <f t="shared" si="13"/>
        <v>395</v>
      </c>
      <c r="AD40" s="4">
        <f t="shared" si="13"/>
        <v>760</v>
      </c>
      <c r="AE40" s="4">
        <f t="shared" si="13"/>
        <v>395</v>
      </c>
      <c r="AF40" s="4">
        <f t="shared" si="13"/>
        <v>395</v>
      </c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</row>
    <row r="41" spans="3:48" ht="11.2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</row>
    <row r="42" spans="1:48" ht="11.25">
      <c r="A42" s="2" t="s">
        <v>161</v>
      </c>
      <c r="C42" s="27">
        <f aca="true" t="shared" si="14" ref="C42:AF42">IF(MOD(C$25,$C7)&lt;$C10,0,$C20)</f>
        <v>0</v>
      </c>
      <c r="D42" s="27">
        <f t="shared" si="14"/>
        <v>22.5</v>
      </c>
      <c r="E42" s="27">
        <f t="shared" si="14"/>
        <v>22.5</v>
      </c>
      <c r="F42" s="27">
        <f t="shared" si="14"/>
        <v>0</v>
      </c>
      <c r="G42" s="27">
        <f t="shared" si="14"/>
        <v>22.5</v>
      </c>
      <c r="H42" s="27">
        <f t="shared" si="14"/>
        <v>22.5</v>
      </c>
      <c r="I42" s="27">
        <f t="shared" si="14"/>
        <v>0</v>
      </c>
      <c r="J42" s="27">
        <f t="shared" si="14"/>
        <v>22.5</v>
      </c>
      <c r="K42" s="27">
        <f t="shared" si="14"/>
        <v>22.5</v>
      </c>
      <c r="L42" s="27">
        <f t="shared" si="14"/>
        <v>0</v>
      </c>
      <c r="M42" s="27">
        <f t="shared" si="14"/>
        <v>22.5</v>
      </c>
      <c r="N42" s="27">
        <f t="shared" si="14"/>
        <v>22.5</v>
      </c>
      <c r="O42" s="27">
        <f t="shared" si="14"/>
        <v>0</v>
      </c>
      <c r="P42" s="27">
        <f t="shared" si="14"/>
        <v>22.5</v>
      </c>
      <c r="Q42" s="27">
        <f t="shared" si="14"/>
        <v>22.5</v>
      </c>
      <c r="R42" s="27">
        <f t="shared" si="14"/>
        <v>0</v>
      </c>
      <c r="S42" s="27">
        <f t="shared" si="14"/>
        <v>22.5</v>
      </c>
      <c r="T42" s="27">
        <f t="shared" si="14"/>
        <v>22.5</v>
      </c>
      <c r="U42" s="27">
        <f t="shared" si="14"/>
        <v>0</v>
      </c>
      <c r="V42" s="27">
        <f t="shared" si="14"/>
        <v>22.5</v>
      </c>
      <c r="W42" s="27">
        <f t="shared" si="14"/>
        <v>22.5</v>
      </c>
      <c r="X42" s="27">
        <f t="shared" si="14"/>
        <v>0</v>
      </c>
      <c r="Y42" s="27">
        <f t="shared" si="14"/>
        <v>22.5</v>
      </c>
      <c r="Z42" s="27">
        <f t="shared" si="14"/>
        <v>22.5</v>
      </c>
      <c r="AA42" s="27">
        <f t="shared" si="14"/>
        <v>0</v>
      </c>
      <c r="AB42" s="27">
        <f t="shared" si="14"/>
        <v>22.5</v>
      </c>
      <c r="AC42" s="27">
        <f t="shared" si="14"/>
        <v>22.5</v>
      </c>
      <c r="AD42" s="27">
        <f t="shared" si="14"/>
        <v>0</v>
      </c>
      <c r="AE42" s="27">
        <f t="shared" si="14"/>
        <v>22.5</v>
      </c>
      <c r="AF42" s="27">
        <f t="shared" si="14"/>
        <v>22.5</v>
      </c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</row>
    <row r="43" spans="1:48" ht="11.25">
      <c r="A43" s="2" t="s">
        <v>300</v>
      </c>
      <c r="C43" s="4">
        <f aca="true" t="shared" si="15" ref="C43:AF43">$C21</f>
        <v>550</v>
      </c>
      <c r="D43" s="4">
        <f t="shared" si="15"/>
        <v>550</v>
      </c>
      <c r="E43" s="4">
        <f t="shared" si="15"/>
        <v>550</v>
      </c>
      <c r="F43" s="4">
        <f t="shared" si="15"/>
        <v>550</v>
      </c>
      <c r="G43" s="4">
        <f t="shared" si="15"/>
        <v>550</v>
      </c>
      <c r="H43" s="4">
        <f t="shared" si="15"/>
        <v>550</v>
      </c>
      <c r="I43" s="4">
        <f t="shared" si="15"/>
        <v>550</v>
      </c>
      <c r="J43" s="4">
        <f t="shared" si="15"/>
        <v>550</v>
      </c>
      <c r="K43" s="4">
        <f t="shared" si="15"/>
        <v>550</v>
      </c>
      <c r="L43" s="4">
        <f t="shared" si="15"/>
        <v>550</v>
      </c>
      <c r="M43" s="4">
        <f t="shared" si="15"/>
        <v>550</v>
      </c>
      <c r="N43" s="4">
        <f t="shared" si="15"/>
        <v>550</v>
      </c>
      <c r="O43" s="4">
        <f t="shared" si="15"/>
        <v>550</v>
      </c>
      <c r="P43" s="4">
        <f t="shared" si="15"/>
        <v>550</v>
      </c>
      <c r="Q43" s="4">
        <f t="shared" si="15"/>
        <v>550</v>
      </c>
      <c r="R43" s="4">
        <f t="shared" si="15"/>
        <v>550</v>
      </c>
      <c r="S43" s="4">
        <f t="shared" si="15"/>
        <v>550</v>
      </c>
      <c r="T43" s="4">
        <f t="shared" si="15"/>
        <v>550</v>
      </c>
      <c r="U43" s="4">
        <f t="shared" si="15"/>
        <v>550</v>
      </c>
      <c r="V43" s="4">
        <f t="shared" si="15"/>
        <v>550</v>
      </c>
      <c r="W43" s="4">
        <f t="shared" si="15"/>
        <v>550</v>
      </c>
      <c r="X43" s="4">
        <f t="shared" si="15"/>
        <v>550</v>
      </c>
      <c r="Y43" s="4">
        <f t="shared" si="15"/>
        <v>550</v>
      </c>
      <c r="Z43" s="4">
        <f t="shared" si="15"/>
        <v>550</v>
      </c>
      <c r="AA43" s="4">
        <f t="shared" si="15"/>
        <v>550</v>
      </c>
      <c r="AB43" s="4">
        <f t="shared" si="15"/>
        <v>550</v>
      </c>
      <c r="AC43" s="4">
        <f t="shared" si="15"/>
        <v>550</v>
      </c>
      <c r="AD43" s="4">
        <f t="shared" si="15"/>
        <v>550</v>
      </c>
      <c r="AE43" s="4">
        <f t="shared" si="15"/>
        <v>550</v>
      </c>
      <c r="AF43" s="4">
        <f t="shared" si="15"/>
        <v>550</v>
      </c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</row>
    <row r="44" spans="1:48" ht="11.25">
      <c r="A44" s="2" t="s">
        <v>163</v>
      </c>
      <c r="C44" s="4">
        <f aca="true" t="shared" si="16" ref="C44:AF44">IF(MOD(C$25,$C7)=2,$C22,0)</f>
        <v>0</v>
      </c>
      <c r="D44" s="4">
        <f t="shared" si="16"/>
        <v>0</v>
      </c>
      <c r="E44" s="4">
        <f t="shared" si="16"/>
        <v>3500</v>
      </c>
      <c r="F44" s="4">
        <f t="shared" si="16"/>
        <v>0</v>
      </c>
      <c r="G44" s="4">
        <f t="shared" si="16"/>
        <v>0</v>
      </c>
      <c r="H44" s="4">
        <f t="shared" si="16"/>
        <v>3500</v>
      </c>
      <c r="I44" s="4">
        <f t="shared" si="16"/>
        <v>0</v>
      </c>
      <c r="J44" s="4">
        <f t="shared" si="16"/>
        <v>0</v>
      </c>
      <c r="K44" s="4">
        <f t="shared" si="16"/>
        <v>3500</v>
      </c>
      <c r="L44" s="4">
        <f t="shared" si="16"/>
        <v>0</v>
      </c>
      <c r="M44" s="4">
        <f t="shared" si="16"/>
        <v>0</v>
      </c>
      <c r="N44" s="4">
        <f t="shared" si="16"/>
        <v>3500</v>
      </c>
      <c r="O44" s="4">
        <f t="shared" si="16"/>
        <v>0</v>
      </c>
      <c r="P44" s="4">
        <f t="shared" si="16"/>
        <v>0</v>
      </c>
      <c r="Q44" s="4">
        <f t="shared" si="16"/>
        <v>3500</v>
      </c>
      <c r="R44" s="4">
        <f t="shared" si="16"/>
        <v>0</v>
      </c>
      <c r="S44" s="4">
        <f t="shared" si="16"/>
        <v>0</v>
      </c>
      <c r="T44" s="4">
        <f t="shared" si="16"/>
        <v>3500</v>
      </c>
      <c r="U44" s="4">
        <f t="shared" si="16"/>
        <v>0</v>
      </c>
      <c r="V44" s="4">
        <f t="shared" si="16"/>
        <v>0</v>
      </c>
      <c r="W44" s="4">
        <f t="shared" si="16"/>
        <v>3500</v>
      </c>
      <c r="X44" s="4">
        <f t="shared" si="16"/>
        <v>0</v>
      </c>
      <c r="Y44" s="4">
        <f t="shared" si="16"/>
        <v>0</v>
      </c>
      <c r="Z44" s="4">
        <f t="shared" si="16"/>
        <v>3500</v>
      </c>
      <c r="AA44" s="4">
        <f t="shared" si="16"/>
        <v>0</v>
      </c>
      <c r="AB44" s="4">
        <f t="shared" si="16"/>
        <v>0</v>
      </c>
      <c r="AC44" s="4">
        <f t="shared" si="16"/>
        <v>3500</v>
      </c>
      <c r="AD44" s="4">
        <f t="shared" si="16"/>
        <v>0</v>
      </c>
      <c r="AE44" s="4">
        <f t="shared" si="16"/>
        <v>0</v>
      </c>
      <c r="AF44" s="4">
        <f t="shared" si="16"/>
        <v>3500</v>
      </c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</row>
    <row r="45" spans="1:48" ht="11.25">
      <c r="A45" s="2" t="s">
        <v>162</v>
      </c>
      <c r="C45" s="4">
        <f>C43*C42+C44</f>
        <v>0</v>
      </c>
      <c r="D45" s="4">
        <f aca="true" t="shared" si="17" ref="D45:V45">D43*D42+D44</f>
        <v>12375</v>
      </c>
      <c r="E45" s="4">
        <f t="shared" si="17"/>
        <v>15875</v>
      </c>
      <c r="F45" s="4">
        <f t="shared" si="17"/>
        <v>0</v>
      </c>
      <c r="G45" s="4">
        <f t="shared" si="17"/>
        <v>12375</v>
      </c>
      <c r="H45" s="4">
        <f t="shared" si="17"/>
        <v>15875</v>
      </c>
      <c r="I45" s="4">
        <f t="shared" si="17"/>
        <v>0</v>
      </c>
      <c r="J45" s="4">
        <f t="shared" si="17"/>
        <v>12375</v>
      </c>
      <c r="K45" s="4">
        <f t="shared" si="17"/>
        <v>15875</v>
      </c>
      <c r="L45" s="4">
        <f t="shared" si="17"/>
        <v>0</v>
      </c>
      <c r="M45" s="4">
        <f t="shared" si="17"/>
        <v>12375</v>
      </c>
      <c r="N45" s="4">
        <f t="shared" si="17"/>
        <v>15875</v>
      </c>
      <c r="O45" s="4">
        <f t="shared" si="17"/>
        <v>0</v>
      </c>
      <c r="P45" s="4">
        <f t="shared" si="17"/>
        <v>12375</v>
      </c>
      <c r="Q45" s="4">
        <f t="shared" si="17"/>
        <v>15875</v>
      </c>
      <c r="R45" s="4">
        <f t="shared" si="17"/>
        <v>0</v>
      </c>
      <c r="S45" s="4">
        <f t="shared" si="17"/>
        <v>12375</v>
      </c>
      <c r="T45" s="4">
        <f t="shared" si="17"/>
        <v>15875</v>
      </c>
      <c r="U45" s="4">
        <f t="shared" si="17"/>
        <v>0</v>
      </c>
      <c r="V45" s="4">
        <f t="shared" si="17"/>
        <v>12375</v>
      </c>
      <c r="W45" s="4">
        <f aca="true" t="shared" si="18" ref="W45:AF45">W43*W42+W44</f>
        <v>15875</v>
      </c>
      <c r="X45" s="4">
        <f t="shared" si="18"/>
        <v>0</v>
      </c>
      <c r="Y45" s="4">
        <f t="shared" si="18"/>
        <v>12375</v>
      </c>
      <c r="Z45" s="4">
        <f t="shared" si="18"/>
        <v>15875</v>
      </c>
      <c r="AA45" s="4">
        <f t="shared" si="18"/>
        <v>0</v>
      </c>
      <c r="AB45" s="4">
        <f t="shared" si="18"/>
        <v>12375</v>
      </c>
      <c r="AC45" s="4">
        <f t="shared" si="18"/>
        <v>15875</v>
      </c>
      <c r="AD45" s="4">
        <f t="shared" si="18"/>
        <v>0</v>
      </c>
      <c r="AE45" s="4">
        <f t="shared" si="18"/>
        <v>12375</v>
      </c>
      <c r="AF45" s="4">
        <f t="shared" si="18"/>
        <v>15875</v>
      </c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</row>
    <row r="46" spans="1:48" ht="11.25">
      <c r="A46" s="2" t="s">
        <v>164</v>
      </c>
      <c r="C46" s="4">
        <f>C45-C39</f>
        <v>-11400</v>
      </c>
      <c r="D46" s="4">
        <f aca="true" t="shared" si="19" ref="D46:V46">D45-D39</f>
        <v>6450</v>
      </c>
      <c r="E46" s="4">
        <f t="shared" si="19"/>
        <v>9950</v>
      </c>
      <c r="F46" s="4">
        <f t="shared" si="19"/>
        <v>-11400</v>
      </c>
      <c r="G46" s="4">
        <f t="shared" si="19"/>
        <v>6450</v>
      </c>
      <c r="H46" s="4">
        <f t="shared" si="19"/>
        <v>9950</v>
      </c>
      <c r="I46" s="4">
        <f t="shared" si="19"/>
        <v>-11400</v>
      </c>
      <c r="J46" s="4">
        <f t="shared" si="19"/>
        <v>6450</v>
      </c>
      <c r="K46" s="4">
        <f t="shared" si="19"/>
        <v>9950</v>
      </c>
      <c r="L46" s="4">
        <f t="shared" si="19"/>
        <v>-11400</v>
      </c>
      <c r="M46" s="4">
        <f t="shared" si="19"/>
        <v>6450</v>
      </c>
      <c r="N46" s="4">
        <f t="shared" si="19"/>
        <v>9950</v>
      </c>
      <c r="O46" s="4">
        <f t="shared" si="19"/>
        <v>-11400</v>
      </c>
      <c r="P46" s="4">
        <f t="shared" si="19"/>
        <v>6450</v>
      </c>
      <c r="Q46" s="4">
        <f t="shared" si="19"/>
        <v>9950</v>
      </c>
      <c r="R46" s="4">
        <f t="shared" si="19"/>
        <v>-11400</v>
      </c>
      <c r="S46" s="4">
        <f t="shared" si="19"/>
        <v>6450</v>
      </c>
      <c r="T46" s="4">
        <f t="shared" si="19"/>
        <v>9950</v>
      </c>
      <c r="U46" s="4">
        <f t="shared" si="19"/>
        <v>-11400</v>
      </c>
      <c r="V46" s="4">
        <f t="shared" si="19"/>
        <v>6450</v>
      </c>
      <c r="W46" s="4">
        <f aca="true" t="shared" si="20" ref="W46:AF46">W45-W39</f>
        <v>9950</v>
      </c>
      <c r="X46" s="4">
        <f t="shared" si="20"/>
        <v>-11400</v>
      </c>
      <c r="Y46" s="4">
        <f t="shared" si="20"/>
        <v>6450</v>
      </c>
      <c r="Z46" s="4">
        <f t="shared" si="20"/>
        <v>9950</v>
      </c>
      <c r="AA46" s="4">
        <f t="shared" si="20"/>
        <v>-11400</v>
      </c>
      <c r="AB46" s="4">
        <f t="shared" si="20"/>
        <v>6450</v>
      </c>
      <c r="AC46" s="4">
        <f t="shared" si="20"/>
        <v>9950</v>
      </c>
      <c r="AD46" s="4">
        <f t="shared" si="20"/>
        <v>-11400</v>
      </c>
      <c r="AE46" s="4">
        <f t="shared" si="20"/>
        <v>6450</v>
      </c>
      <c r="AF46" s="4">
        <f t="shared" si="20"/>
        <v>9950</v>
      </c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48" ht="12">
      <c r="A47" s="1" t="s">
        <v>167</v>
      </c>
      <c r="C47" s="16">
        <f>C46/$B$3*1000</f>
        <v>-760</v>
      </c>
      <c r="D47" s="16">
        <f aca="true" t="shared" si="21" ref="D47:AF47">D46/$B$3*1000</f>
        <v>430</v>
      </c>
      <c r="E47" s="16">
        <f t="shared" si="21"/>
        <v>663.3333333333334</v>
      </c>
      <c r="F47" s="16">
        <f t="shared" si="21"/>
        <v>-760</v>
      </c>
      <c r="G47" s="16">
        <f t="shared" si="21"/>
        <v>430</v>
      </c>
      <c r="H47" s="16">
        <f t="shared" si="21"/>
        <v>663.3333333333334</v>
      </c>
      <c r="I47" s="16">
        <f t="shared" si="21"/>
        <v>-760</v>
      </c>
      <c r="J47" s="16">
        <f t="shared" si="21"/>
        <v>430</v>
      </c>
      <c r="K47" s="16">
        <f t="shared" si="21"/>
        <v>663.3333333333334</v>
      </c>
      <c r="L47" s="16">
        <f t="shared" si="21"/>
        <v>-760</v>
      </c>
      <c r="M47" s="16">
        <f t="shared" si="21"/>
        <v>430</v>
      </c>
      <c r="N47" s="16">
        <f t="shared" si="21"/>
        <v>663.3333333333334</v>
      </c>
      <c r="O47" s="16">
        <f t="shared" si="21"/>
        <v>-760</v>
      </c>
      <c r="P47" s="16">
        <f t="shared" si="21"/>
        <v>430</v>
      </c>
      <c r="Q47" s="16">
        <f t="shared" si="21"/>
        <v>663.3333333333334</v>
      </c>
      <c r="R47" s="16">
        <f t="shared" si="21"/>
        <v>-760</v>
      </c>
      <c r="S47" s="16">
        <f t="shared" si="21"/>
        <v>430</v>
      </c>
      <c r="T47" s="16">
        <f t="shared" si="21"/>
        <v>663.3333333333334</v>
      </c>
      <c r="U47" s="16">
        <f t="shared" si="21"/>
        <v>-760</v>
      </c>
      <c r="V47" s="16">
        <f t="shared" si="21"/>
        <v>430</v>
      </c>
      <c r="W47" s="16">
        <f t="shared" si="21"/>
        <v>663.3333333333334</v>
      </c>
      <c r="X47" s="16">
        <f t="shared" si="21"/>
        <v>-760</v>
      </c>
      <c r="Y47" s="16">
        <f t="shared" si="21"/>
        <v>430</v>
      </c>
      <c r="Z47" s="16">
        <f t="shared" si="21"/>
        <v>663.3333333333334</v>
      </c>
      <c r="AA47" s="16">
        <f t="shared" si="21"/>
        <v>-760</v>
      </c>
      <c r="AB47" s="16">
        <f t="shared" si="21"/>
        <v>430</v>
      </c>
      <c r="AC47" s="16">
        <f t="shared" si="21"/>
        <v>663.3333333333334</v>
      </c>
      <c r="AD47" s="16">
        <f t="shared" si="21"/>
        <v>-760</v>
      </c>
      <c r="AE47" s="16">
        <f t="shared" si="21"/>
        <v>430</v>
      </c>
      <c r="AF47" s="16">
        <f t="shared" si="21"/>
        <v>663.3333333333334</v>
      </c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3:48" ht="11.2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</row>
    <row r="49" spans="1:48" ht="12">
      <c r="A49" s="1" t="s">
        <v>188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</row>
    <row r="50" spans="1:48" ht="11.25">
      <c r="A50" s="12" t="s">
        <v>122</v>
      </c>
      <c r="C50" s="4">
        <f aca="true" t="shared" si="22" ref="C50:AF50">IF(MOD(C$25,$D7)=0,$D8*$B$5/1000,$D9*$B$5/1000)</f>
        <v>2625</v>
      </c>
      <c r="D50" s="4">
        <f t="shared" si="22"/>
        <v>6375</v>
      </c>
      <c r="E50" s="4">
        <f t="shared" si="22"/>
        <v>6375</v>
      </c>
      <c r="F50" s="4">
        <f t="shared" si="22"/>
        <v>6375</v>
      </c>
      <c r="G50" s="4">
        <f t="shared" si="22"/>
        <v>6375</v>
      </c>
      <c r="H50" s="4">
        <f t="shared" si="22"/>
        <v>6375</v>
      </c>
      <c r="I50" s="4">
        <f t="shared" si="22"/>
        <v>6375</v>
      </c>
      <c r="J50" s="4">
        <f t="shared" si="22"/>
        <v>6375</v>
      </c>
      <c r="K50" s="4">
        <f t="shared" si="22"/>
        <v>6375</v>
      </c>
      <c r="L50" s="4">
        <f t="shared" si="22"/>
        <v>6375</v>
      </c>
      <c r="M50" s="4">
        <f t="shared" si="22"/>
        <v>2625</v>
      </c>
      <c r="N50" s="4">
        <f t="shared" si="22"/>
        <v>6375</v>
      </c>
      <c r="O50" s="4">
        <f t="shared" si="22"/>
        <v>6375</v>
      </c>
      <c r="P50" s="4">
        <f t="shared" si="22"/>
        <v>6375</v>
      </c>
      <c r="Q50" s="4">
        <f t="shared" si="22"/>
        <v>6375</v>
      </c>
      <c r="R50" s="4">
        <f t="shared" si="22"/>
        <v>6375</v>
      </c>
      <c r="S50" s="4">
        <f t="shared" si="22"/>
        <v>6375</v>
      </c>
      <c r="T50" s="4">
        <f t="shared" si="22"/>
        <v>6375</v>
      </c>
      <c r="U50" s="4">
        <f t="shared" si="22"/>
        <v>6375</v>
      </c>
      <c r="V50" s="4">
        <f t="shared" si="22"/>
        <v>6375</v>
      </c>
      <c r="W50" s="4">
        <f t="shared" si="22"/>
        <v>2625</v>
      </c>
      <c r="X50" s="4">
        <f t="shared" si="22"/>
        <v>6375</v>
      </c>
      <c r="Y50" s="4">
        <f t="shared" si="22"/>
        <v>6375</v>
      </c>
      <c r="Z50" s="4">
        <f t="shared" si="22"/>
        <v>6375</v>
      </c>
      <c r="AA50" s="4">
        <f t="shared" si="22"/>
        <v>6375</v>
      </c>
      <c r="AB50" s="4">
        <f t="shared" si="22"/>
        <v>6375</v>
      </c>
      <c r="AC50" s="4">
        <f t="shared" si="22"/>
        <v>6375</v>
      </c>
      <c r="AD50" s="4">
        <f t="shared" si="22"/>
        <v>6375</v>
      </c>
      <c r="AE50" s="4">
        <f t="shared" si="22"/>
        <v>6375</v>
      </c>
      <c r="AF50" s="4">
        <f t="shared" si="22"/>
        <v>6375</v>
      </c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</row>
    <row r="51" spans="1:48" ht="11.25">
      <c r="A51" s="12" t="s">
        <v>30</v>
      </c>
      <c r="C51" s="4">
        <f aca="true" t="shared" si="23" ref="C51:AF51">IF(MOD(C$25,$D7)=0,$D13,IF(MOD(C$25,$D7)=1,$E13,IF(MOD(C$25,$D7)=2,$F13,$D17)))</f>
        <v>7500</v>
      </c>
      <c r="D51" s="4">
        <f t="shared" si="23"/>
        <v>1300</v>
      </c>
      <c r="E51" s="4">
        <f t="shared" si="23"/>
        <v>6800</v>
      </c>
      <c r="F51" s="4">
        <f t="shared" si="23"/>
        <v>4800</v>
      </c>
      <c r="G51" s="4">
        <f t="shared" si="23"/>
        <v>4800</v>
      </c>
      <c r="H51" s="4">
        <f t="shared" si="23"/>
        <v>4800</v>
      </c>
      <c r="I51" s="4">
        <f t="shared" si="23"/>
        <v>4800</v>
      </c>
      <c r="J51" s="4">
        <f t="shared" si="23"/>
        <v>4800</v>
      </c>
      <c r="K51" s="4">
        <f t="shared" si="23"/>
        <v>4800</v>
      </c>
      <c r="L51" s="4">
        <f t="shared" si="23"/>
        <v>4800</v>
      </c>
      <c r="M51" s="4">
        <f t="shared" si="23"/>
        <v>7500</v>
      </c>
      <c r="N51" s="4">
        <f t="shared" si="23"/>
        <v>1300</v>
      </c>
      <c r="O51" s="4">
        <f t="shared" si="23"/>
        <v>6800</v>
      </c>
      <c r="P51" s="4">
        <f t="shared" si="23"/>
        <v>4800</v>
      </c>
      <c r="Q51" s="4">
        <f t="shared" si="23"/>
        <v>4800</v>
      </c>
      <c r="R51" s="4">
        <f t="shared" si="23"/>
        <v>4800</v>
      </c>
      <c r="S51" s="4">
        <f t="shared" si="23"/>
        <v>4800</v>
      </c>
      <c r="T51" s="4">
        <f t="shared" si="23"/>
        <v>4800</v>
      </c>
      <c r="U51" s="4">
        <f t="shared" si="23"/>
        <v>4800</v>
      </c>
      <c r="V51" s="4">
        <f t="shared" si="23"/>
        <v>4800</v>
      </c>
      <c r="W51" s="4">
        <f t="shared" si="23"/>
        <v>7500</v>
      </c>
      <c r="X51" s="4">
        <f t="shared" si="23"/>
        <v>1300</v>
      </c>
      <c r="Y51" s="4">
        <f t="shared" si="23"/>
        <v>6800</v>
      </c>
      <c r="Z51" s="4">
        <f t="shared" si="23"/>
        <v>4800</v>
      </c>
      <c r="AA51" s="4">
        <f t="shared" si="23"/>
        <v>4800</v>
      </c>
      <c r="AB51" s="4">
        <f t="shared" si="23"/>
        <v>4800</v>
      </c>
      <c r="AC51" s="4">
        <f t="shared" si="23"/>
        <v>4800</v>
      </c>
      <c r="AD51" s="4">
        <f t="shared" si="23"/>
        <v>4800</v>
      </c>
      <c r="AE51" s="4">
        <f t="shared" si="23"/>
        <v>4800</v>
      </c>
      <c r="AF51" s="4">
        <f t="shared" si="23"/>
        <v>4800</v>
      </c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</row>
    <row r="52" spans="1:48" ht="11.25">
      <c r="A52" s="12" t="s">
        <v>31</v>
      </c>
      <c r="C52" s="4">
        <f aca="true" t="shared" si="24" ref="C52:AF52">IF(MOD(C$25,$D7)=0,$D14,$D18)</f>
        <v>1500</v>
      </c>
      <c r="D52" s="4">
        <f t="shared" si="24"/>
        <v>0</v>
      </c>
      <c r="E52" s="4">
        <f t="shared" si="24"/>
        <v>0</v>
      </c>
      <c r="F52" s="4">
        <f t="shared" si="24"/>
        <v>0</v>
      </c>
      <c r="G52" s="4">
        <f t="shared" si="24"/>
        <v>0</v>
      </c>
      <c r="H52" s="4">
        <f t="shared" si="24"/>
        <v>0</v>
      </c>
      <c r="I52" s="4">
        <f t="shared" si="24"/>
        <v>0</v>
      </c>
      <c r="J52" s="4">
        <f t="shared" si="24"/>
        <v>0</v>
      </c>
      <c r="K52" s="4">
        <f t="shared" si="24"/>
        <v>0</v>
      </c>
      <c r="L52" s="4">
        <f t="shared" si="24"/>
        <v>0</v>
      </c>
      <c r="M52" s="4">
        <f t="shared" si="24"/>
        <v>1500</v>
      </c>
      <c r="N52" s="4">
        <f t="shared" si="24"/>
        <v>0</v>
      </c>
      <c r="O52" s="4">
        <f t="shared" si="24"/>
        <v>0</v>
      </c>
      <c r="P52" s="4">
        <f t="shared" si="24"/>
        <v>0</v>
      </c>
      <c r="Q52" s="4">
        <f t="shared" si="24"/>
        <v>0</v>
      </c>
      <c r="R52" s="4">
        <f t="shared" si="24"/>
        <v>0</v>
      </c>
      <c r="S52" s="4">
        <f t="shared" si="24"/>
        <v>0</v>
      </c>
      <c r="T52" s="4">
        <f t="shared" si="24"/>
        <v>0</v>
      </c>
      <c r="U52" s="4">
        <f t="shared" si="24"/>
        <v>0</v>
      </c>
      <c r="V52" s="4">
        <f t="shared" si="24"/>
        <v>0</v>
      </c>
      <c r="W52" s="4">
        <f t="shared" si="24"/>
        <v>1500</v>
      </c>
      <c r="X52" s="4">
        <f t="shared" si="24"/>
        <v>0</v>
      </c>
      <c r="Y52" s="4">
        <f t="shared" si="24"/>
        <v>0</v>
      </c>
      <c r="Z52" s="4">
        <f t="shared" si="24"/>
        <v>0</v>
      </c>
      <c r="AA52" s="4">
        <f t="shared" si="24"/>
        <v>0</v>
      </c>
      <c r="AB52" s="4">
        <f t="shared" si="24"/>
        <v>0</v>
      </c>
      <c r="AC52" s="4">
        <f t="shared" si="24"/>
        <v>0</v>
      </c>
      <c r="AD52" s="4">
        <f t="shared" si="24"/>
        <v>0</v>
      </c>
      <c r="AE52" s="4">
        <f t="shared" si="24"/>
        <v>0</v>
      </c>
      <c r="AF52" s="4">
        <f t="shared" si="24"/>
        <v>0</v>
      </c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</row>
    <row r="53" spans="1:48" ht="11.25">
      <c r="A53" s="12" t="s">
        <v>32</v>
      </c>
      <c r="C53" s="4">
        <f aca="true" t="shared" si="25" ref="C53:AF53">IF(MOD(C$25,$D7)=0,$D15,$D19)</f>
        <v>1500</v>
      </c>
      <c r="D53" s="4">
        <f t="shared" si="25"/>
        <v>0</v>
      </c>
      <c r="E53" s="4">
        <f t="shared" si="25"/>
        <v>0</v>
      </c>
      <c r="F53" s="4">
        <f t="shared" si="25"/>
        <v>0</v>
      </c>
      <c r="G53" s="4">
        <f t="shared" si="25"/>
        <v>0</v>
      </c>
      <c r="H53" s="4">
        <f t="shared" si="25"/>
        <v>0</v>
      </c>
      <c r="I53" s="4">
        <f t="shared" si="25"/>
        <v>0</v>
      </c>
      <c r="J53" s="4">
        <f t="shared" si="25"/>
        <v>0</v>
      </c>
      <c r="K53" s="4">
        <f t="shared" si="25"/>
        <v>0</v>
      </c>
      <c r="L53" s="4">
        <f t="shared" si="25"/>
        <v>0</v>
      </c>
      <c r="M53" s="4">
        <f t="shared" si="25"/>
        <v>1500</v>
      </c>
      <c r="N53" s="4">
        <f t="shared" si="25"/>
        <v>0</v>
      </c>
      <c r="O53" s="4">
        <f t="shared" si="25"/>
        <v>0</v>
      </c>
      <c r="P53" s="4">
        <f t="shared" si="25"/>
        <v>0</v>
      </c>
      <c r="Q53" s="4">
        <f t="shared" si="25"/>
        <v>0</v>
      </c>
      <c r="R53" s="4">
        <f t="shared" si="25"/>
        <v>0</v>
      </c>
      <c r="S53" s="4">
        <f t="shared" si="25"/>
        <v>0</v>
      </c>
      <c r="T53" s="4">
        <f t="shared" si="25"/>
        <v>0</v>
      </c>
      <c r="U53" s="4">
        <f t="shared" si="25"/>
        <v>0</v>
      </c>
      <c r="V53" s="4">
        <f t="shared" si="25"/>
        <v>0</v>
      </c>
      <c r="W53" s="4">
        <f t="shared" si="25"/>
        <v>1500</v>
      </c>
      <c r="X53" s="4">
        <f t="shared" si="25"/>
        <v>0</v>
      </c>
      <c r="Y53" s="4">
        <f t="shared" si="25"/>
        <v>0</v>
      </c>
      <c r="Z53" s="4">
        <f t="shared" si="25"/>
        <v>0</v>
      </c>
      <c r="AA53" s="4">
        <f t="shared" si="25"/>
        <v>0</v>
      </c>
      <c r="AB53" s="4">
        <f t="shared" si="25"/>
        <v>0</v>
      </c>
      <c r="AC53" s="4">
        <f t="shared" si="25"/>
        <v>0</v>
      </c>
      <c r="AD53" s="4">
        <f t="shared" si="25"/>
        <v>0</v>
      </c>
      <c r="AE53" s="4">
        <f t="shared" si="25"/>
        <v>0</v>
      </c>
      <c r="AF53" s="4">
        <f t="shared" si="25"/>
        <v>0</v>
      </c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</row>
    <row r="54" spans="1:48" ht="11.25">
      <c r="A54" s="2" t="s">
        <v>165</v>
      </c>
      <c r="C54" s="4">
        <f aca="true" t="shared" si="26" ref="C54:AF54">SUM(C50:C53)</f>
        <v>13125</v>
      </c>
      <c r="D54" s="4">
        <f t="shared" si="26"/>
        <v>7675</v>
      </c>
      <c r="E54" s="4">
        <f t="shared" si="26"/>
        <v>13175</v>
      </c>
      <c r="F54" s="4">
        <f t="shared" si="26"/>
        <v>11175</v>
      </c>
      <c r="G54" s="4">
        <f t="shared" si="26"/>
        <v>11175</v>
      </c>
      <c r="H54" s="4">
        <f t="shared" si="26"/>
        <v>11175</v>
      </c>
      <c r="I54" s="4">
        <f t="shared" si="26"/>
        <v>11175</v>
      </c>
      <c r="J54" s="4">
        <f t="shared" si="26"/>
        <v>11175</v>
      </c>
      <c r="K54" s="4">
        <f t="shared" si="26"/>
        <v>11175</v>
      </c>
      <c r="L54" s="4">
        <f t="shared" si="26"/>
        <v>11175</v>
      </c>
      <c r="M54" s="4">
        <f t="shared" si="26"/>
        <v>13125</v>
      </c>
      <c r="N54" s="4">
        <f t="shared" si="26"/>
        <v>7675</v>
      </c>
      <c r="O54" s="4">
        <f t="shared" si="26"/>
        <v>13175</v>
      </c>
      <c r="P54" s="4">
        <f t="shared" si="26"/>
        <v>11175</v>
      </c>
      <c r="Q54" s="4">
        <f t="shared" si="26"/>
        <v>11175</v>
      </c>
      <c r="R54" s="4">
        <f t="shared" si="26"/>
        <v>11175</v>
      </c>
      <c r="S54" s="4">
        <f t="shared" si="26"/>
        <v>11175</v>
      </c>
      <c r="T54" s="4">
        <f t="shared" si="26"/>
        <v>11175</v>
      </c>
      <c r="U54" s="4">
        <f t="shared" si="26"/>
        <v>11175</v>
      </c>
      <c r="V54" s="4">
        <f t="shared" si="26"/>
        <v>11175</v>
      </c>
      <c r="W54" s="4">
        <f t="shared" si="26"/>
        <v>13125</v>
      </c>
      <c r="X54" s="4">
        <f t="shared" si="26"/>
        <v>7675</v>
      </c>
      <c r="Y54" s="4">
        <f t="shared" si="26"/>
        <v>13175</v>
      </c>
      <c r="Z54" s="4">
        <f t="shared" si="26"/>
        <v>11175</v>
      </c>
      <c r="AA54" s="4">
        <f t="shared" si="26"/>
        <v>11175</v>
      </c>
      <c r="AB54" s="4">
        <f t="shared" si="26"/>
        <v>11175</v>
      </c>
      <c r="AC54" s="4">
        <f t="shared" si="26"/>
        <v>11175</v>
      </c>
      <c r="AD54" s="4">
        <f t="shared" si="26"/>
        <v>11175</v>
      </c>
      <c r="AE54" s="4">
        <f t="shared" si="26"/>
        <v>11175</v>
      </c>
      <c r="AF54" s="4">
        <f t="shared" si="26"/>
        <v>11175</v>
      </c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</row>
    <row r="55" spans="1:48" ht="11.25">
      <c r="A55" s="2" t="s">
        <v>166</v>
      </c>
      <c r="C55" s="4">
        <f>C54/$B$3*1000</f>
        <v>875</v>
      </c>
      <c r="D55" s="4">
        <f aca="true" t="shared" si="27" ref="D55:AF55">D54/$B$3*1000</f>
        <v>511.66666666666674</v>
      </c>
      <c r="E55" s="4">
        <f t="shared" si="27"/>
        <v>878.3333333333333</v>
      </c>
      <c r="F55" s="4">
        <f t="shared" si="27"/>
        <v>745</v>
      </c>
      <c r="G55" s="4">
        <f t="shared" si="27"/>
        <v>745</v>
      </c>
      <c r="H55" s="4">
        <f t="shared" si="27"/>
        <v>745</v>
      </c>
      <c r="I55" s="4">
        <f t="shared" si="27"/>
        <v>745</v>
      </c>
      <c r="J55" s="4">
        <f t="shared" si="27"/>
        <v>745</v>
      </c>
      <c r="K55" s="4">
        <f t="shared" si="27"/>
        <v>745</v>
      </c>
      <c r="L55" s="4">
        <f t="shared" si="27"/>
        <v>745</v>
      </c>
      <c r="M55" s="4">
        <f t="shared" si="27"/>
        <v>875</v>
      </c>
      <c r="N55" s="4">
        <f t="shared" si="27"/>
        <v>511.66666666666674</v>
      </c>
      <c r="O55" s="4">
        <f t="shared" si="27"/>
        <v>878.3333333333333</v>
      </c>
      <c r="P55" s="4">
        <f t="shared" si="27"/>
        <v>745</v>
      </c>
      <c r="Q55" s="4">
        <f t="shared" si="27"/>
        <v>745</v>
      </c>
      <c r="R55" s="4">
        <f t="shared" si="27"/>
        <v>745</v>
      </c>
      <c r="S55" s="4">
        <f t="shared" si="27"/>
        <v>745</v>
      </c>
      <c r="T55" s="4">
        <f t="shared" si="27"/>
        <v>745</v>
      </c>
      <c r="U55" s="4">
        <f t="shared" si="27"/>
        <v>745</v>
      </c>
      <c r="V55" s="4">
        <f t="shared" si="27"/>
        <v>745</v>
      </c>
      <c r="W55" s="4">
        <f t="shared" si="27"/>
        <v>875</v>
      </c>
      <c r="X55" s="4">
        <f t="shared" si="27"/>
        <v>511.66666666666674</v>
      </c>
      <c r="Y55" s="4">
        <f t="shared" si="27"/>
        <v>878.3333333333333</v>
      </c>
      <c r="Z55" s="4">
        <f t="shared" si="27"/>
        <v>745</v>
      </c>
      <c r="AA55" s="4">
        <f t="shared" si="27"/>
        <v>745</v>
      </c>
      <c r="AB55" s="4">
        <f t="shared" si="27"/>
        <v>745</v>
      </c>
      <c r="AC55" s="4">
        <f t="shared" si="27"/>
        <v>745</v>
      </c>
      <c r="AD55" s="4">
        <f t="shared" si="27"/>
        <v>745</v>
      </c>
      <c r="AE55" s="4">
        <f t="shared" si="27"/>
        <v>745</v>
      </c>
      <c r="AF55" s="4">
        <f t="shared" si="27"/>
        <v>745</v>
      </c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3:48" ht="11.25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</row>
    <row r="57" spans="1:48" ht="11.25">
      <c r="A57" s="2" t="s">
        <v>161</v>
      </c>
      <c r="C57" s="27">
        <f>IF(MOD(C$25,$D7)&lt;$D10-1,0,$D20)</f>
        <v>0</v>
      </c>
      <c r="D57" s="27">
        <f aca="true" t="shared" si="28" ref="D57:AF57">IF(MOD(D$25,$D7)&lt;$D10-1,0,$D20)</f>
        <v>0</v>
      </c>
      <c r="E57" s="27">
        <f t="shared" si="28"/>
        <v>0</v>
      </c>
      <c r="F57" s="27">
        <f t="shared" si="28"/>
        <v>1.5</v>
      </c>
      <c r="G57" s="27">
        <f t="shared" si="28"/>
        <v>1.5</v>
      </c>
      <c r="H57" s="27">
        <f t="shared" si="28"/>
        <v>1.5</v>
      </c>
      <c r="I57" s="27">
        <f t="shared" si="28"/>
        <v>1.5</v>
      </c>
      <c r="J57" s="27">
        <f t="shared" si="28"/>
        <v>1.5</v>
      </c>
      <c r="K57" s="27">
        <f t="shared" si="28"/>
        <v>1.5</v>
      </c>
      <c r="L57" s="27">
        <f t="shared" si="28"/>
        <v>1.5</v>
      </c>
      <c r="M57" s="27">
        <f t="shared" si="28"/>
        <v>0</v>
      </c>
      <c r="N57" s="27">
        <f t="shared" si="28"/>
        <v>0</v>
      </c>
      <c r="O57" s="27">
        <f t="shared" si="28"/>
        <v>0</v>
      </c>
      <c r="P57" s="27">
        <f t="shared" si="28"/>
        <v>1.5</v>
      </c>
      <c r="Q57" s="27">
        <f t="shared" si="28"/>
        <v>1.5</v>
      </c>
      <c r="R57" s="27">
        <f t="shared" si="28"/>
        <v>1.5</v>
      </c>
      <c r="S57" s="27">
        <f t="shared" si="28"/>
        <v>1.5</v>
      </c>
      <c r="T57" s="27">
        <f t="shared" si="28"/>
        <v>1.5</v>
      </c>
      <c r="U57" s="27">
        <f t="shared" si="28"/>
        <v>1.5</v>
      </c>
      <c r="V57" s="27">
        <f t="shared" si="28"/>
        <v>1.5</v>
      </c>
      <c r="W57" s="27">
        <f t="shared" si="28"/>
        <v>0</v>
      </c>
      <c r="X57" s="27">
        <f t="shared" si="28"/>
        <v>0</v>
      </c>
      <c r="Y57" s="27">
        <f t="shared" si="28"/>
        <v>0</v>
      </c>
      <c r="Z57" s="27">
        <f t="shared" si="28"/>
        <v>1.5</v>
      </c>
      <c r="AA57" s="27">
        <f t="shared" si="28"/>
        <v>1.5</v>
      </c>
      <c r="AB57" s="27">
        <f t="shared" si="28"/>
        <v>1.5</v>
      </c>
      <c r="AC57" s="27">
        <f t="shared" si="28"/>
        <v>1.5</v>
      </c>
      <c r="AD57" s="27">
        <f t="shared" si="28"/>
        <v>1.5</v>
      </c>
      <c r="AE57" s="27">
        <f t="shared" si="28"/>
        <v>1.5</v>
      </c>
      <c r="AF57" s="27">
        <f t="shared" si="28"/>
        <v>1.5</v>
      </c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</row>
    <row r="58" spans="1:48" ht="11.25">
      <c r="A58" s="2" t="s">
        <v>300</v>
      </c>
      <c r="C58" s="4">
        <f aca="true" t="shared" si="29" ref="C58:AF58">$D21</f>
        <v>12000</v>
      </c>
      <c r="D58" s="4">
        <f t="shared" si="29"/>
        <v>12000</v>
      </c>
      <c r="E58" s="4">
        <f t="shared" si="29"/>
        <v>12000</v>
      </c>
      <c r="F58" s="4">
        <f t="shared" si="29"/>
        <v>12000</v>
      </c>
      <c r="G58" s="4">
        <f t="shared" si="29"/>
        <v>12000</v>
      </c>
      <c r="H58" s="4">
        <f t="shared" si="29"/>
        <v>12000</v>
      </c>
      <c r="I58" s="4">
        <f t="shared" si="29"/>
        <v>12000</v>
      </c>
      <c r="J58" s="4">
        <f t="shared" si="29"/>
        <v>12000</v>
      </c>
      <c r="K58" s="4">
        <f t="shared" si="29"/>
        <v>12000</v>
      </c>
      <c r="L58" s="4">
        <f t="shared" si="29"/>
        <v>12000</v>
      </c>
      <c r="M58" s="4">
        <f t="shared" si="29"/>
        <v>12000</v>
      </c>
      <c r="N58" s="4">
        <f t="shared" si="29"/>
        <v>12000</v>
      </c>
      <c r="O58" s="4">
        <f t="shared" si="29"/>
        <v>12000</v>
      </c>
      <c r="P58" s="4">
        <f t="shared" si="29"/>
        <v>12000</v>
      </c>
      <c r="Q58" s="4">
        <f t="shared" si="29"/>
        <v>12000</v>
      </c>
      <c r="R58" s="4">
        <f t="shared" si="29"/>
        <v>12000</v>
      </c>
      <c r="S58" s="4">
        <f t="shared" si="29"/>
        <v>12000</v>
      </c>
      <c r="T58" s="4">
        <f t="shared" si="29"/>
        <v>12000</v>
      </c>
      <c r="U58" s="4">
        <f t="shared" si="29"/>
        <v>12000</v>
      </c>
      <c r="V58" s="4">
        <f t="shared" si="29"/>
        <v>12000</v>
      </c>
      <c r="W58" s="4">
        <f t="shared" si="29"/>
        <v>12000</v>
      </c>
      <c r="X58" s="4">
        <f t="shared" si="29"/>
        <v>12000</v>
      </c>
      <c r="Y58" s="4">
        <f t="shared" si="29"/>
        <v>12000</v>
      </c>
      <c r="Z58" s="4">
        <f t="shared" si="29"/>
        <v>12000</v>
      </c>
      <c r="AA58" s="4">
        <f t="shared" si="29"/>
        <v>12000</v>
      </c>
      <c r="AB58" s="4">
        <f t="shared" si="29"/>
        <v>12000</v>
      </c>
      <c r="AC58" s="4">
        <f t="shared" si="29"/>
        <v>12000</v>
      </c>
      <c r="AD58" s="4">
        <f t="shared" si="29"/>
        <v>12000</v>
      </c>
      <c r="AE58" s="4">
        <f t="shared" si="29"/>
        <v>12000</v>
      </c>
      <c r="AF58" s="4">
        <f t="shared" si="29"/>
        <v>12000</v>
      </c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</row>
    <row r="59" spans="1:48" ht="11.25">
      <c r="A59" s="2" t="s">
        <v>162</v>
      </c>
      <c r="C59" s="4">
        <f>C58*C57</f>
        <v>0</v>
      </c>
      <c r="D59" s="4">
        <f aca="true" t="shared" si="30" ref="D59:V59">D58*D57</f>
        <v>0</v>
      </c>
      <c r="E59" s="4">
        <f t="shared" si="30"/>
        <v>0</v>
      </c>
      <c r="F59" s="4">
        <f t="shared" si="30"/>
        <v>18000</v>
      </c>
      <c r="G59" s="4">
        <f t="shared" si="30"/>
        <v>18000</v>
      </c>
      <c r="H59" s="4">
        <f t="shared" si="30"/>
        <v>18000</v>
      </c>
      <c r="I59" s="4">
        <f t="shared" si="30"/>
        <v>18000</v>
      </c>
      <c r="J59" s="4">
        <f t="shared" si="30"/>
        <v>18000</v>
      </c>
      <c r="K59" s="4">
        <f t="shared" si="30"/>
        <v>18000</v>
      </c>
      <c r="L59" s="4">
        <f t="shared" si="30"/>
        <v>18000</v>
      </c>
      <c r="M59" s="4">
        <f t="shared" si="30"/>
        <v>0</v>
      </c>
      <c r="N59" s="4">
        <f t="shared" si="30"/>
        <v>0</v>
      </c>
      <c r="O59" s="4">
        <f t="shared" si="30"/>
        <v>0</v>
      </c>
      <c r="P59" s="4">
        <f t="shared" si="30"/>
        <v>18000</v>
      </c>
      <c r="Q59" s="4">
        <f t="shared" si="30"/>
        <v>18000</v>
      </c>
      <c r="R59" s="4">
        <f t="shared" si="30"/>
        <v>18000</v>
      </c>
      <c r="S59" s="4">
        <f t="shared" si="30"/>
        <v>18000</v>
      </c>
      <c r="T59" s="4">
        <f t="shared" si="30"/>
        <v>18000</v>
      </c>
      <c r="U59" s="4">
        <f t="shared" si="30"/>
        <v>18000</v>
      </c>
      <c r="V59" s="4">
        <f t="shared" si="30"/>
        <v>18000</v>
      </c>
      <c r="W59" s="4">
        <f aca="true" t="shared" si="31" ref="W59:AE59">W58*W57</f>
        <v>0</v>
      </c>
      <c r="X59" s="4">
        <f t="shared" si="31"/>
        <v>0</v>
      </c>
      <c r="Y59" s="4">
        <f t="shared" si="31"/>
        <v>0</v>
      </c>
      <c r="Z59" s="4">
        <f t="shared" si="31"/>
        <v>18000</v>
      </c>
      <c r="AA59" s="4">
        <f t="shared" si="31"/>
        <v>18000</v>
      </c>
      <c r="AB59" s="4">
        <f t="shared" si="31"/>
        <v>18000</v>
      </c>
      <c r="AC59" s="4">
        <f t="shared" si="31"/>
        <v>18000</v>
      </c>
      <c r="AD59" s="4">
        <f t="shared" si="31"/>
        <v>18000</v>
      </c>
      <c r="AE59" s="4">
        <f t="shared" si="31"/>
        <v>18000</v>
      </c>
      <c r="AF59" s="4">
        <f>AF58*AF57</f>
        <v>18000</v>
      </c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</row>
    <row r="60" spans="1:48" ht="11.25">
      <c r="A60" s="2" t="s">
        <v>164</v>
      </c>
      <c r="C60" s="4">
        <f aca="true" t="shared" si="32" ref="C60:V60">C59-C54</f>
        <v>-13125</v>
      </c>
      <c r="D60" s="4">
        <f t="shared" si="32"/>
        <v>-7675</v>
      </c>
      <c r="E60" s="4">
        <f t="shared" si="32"/>
        <v>-13175</v>
      </c>
      <c r="F60" s="4">
        <f t="shared" si="32"/>
        <v>6825</v>
      </c>
      <c r="G60" s="4">
        <f t="shared" si="32"/>
        <v>6825</v>
      </c>
      <c r="H60" s="4">
        <f t="shared" si="32"/>
        <v>6825</v>
      </c>
      <c r="I60" s="4">
        <f t="shared" si="32"/>
        <v>6825</v>
      </c>
      <c r="J60" s="4">
        <f t="shared" si="32"/>
        <v>6825</v>
      </c>
      <c r="K60" s="4">
        <f t="shared" si="32"/>
        <v>6825</v>
      </c>
      <c r="L60" s="4">
        <f t="shared" si="32"/>
        <v>6825</v>
      </c>
      <c r="M60" s="4">
        <f t="shared" si="32"/>
        <v>-13125</v>
      </c>
      <c r="N60" s="4">
        <f t="shared" si="32"/>
        <v>-7675</v>
      </c>
      <c r="O60" s="4">
        <f t="shared" si="32"/>
        <v>-13175</v>
      </c>
      <c r="P60" s="4">
        <f t="shared" si="32"/>
        <v>6825</v>
      </c>
      <c r="Q60" s="4">
        <f t="shared" si="32"/>
        <v>6825</v>
      </c>
      <c r="R60" s="4">
        <f t="shared" si="32"/>
        <v>6825</v>
      </c>
      <c r="S60" s="4">
        <f t="shared" si="32"/>
        <v>6825</v>
      </c>
      <c r="T60" s="4">
        <f t="shared" si="32"/>
        <v>6825</v>
      </c>
      <c r="U60" s="4">
        <f t="shared" si="32"/>
        <v>6825</v>
      </c>
      <c r="V60" s="4">
        <f t="shared" si="32"/>
        <v>6825</v>
      </c>
      <c r="W60" s="4">
        <f aca="true" t="shared" si="33" ref="W60:AD60">W59-W54</f>
        <v>-13125</v>
      </c>
      <c r="X60" s="4">
        <f t="shared" si="33"/>
        <v>-7675</v>
      </c>
      <c r="Y60" s="4">
        <f t="shared" si="33"/>
        <v>-13175</v>
      </c>
      <c r="Z60" s="4">
        <f t="shared" si="33"/>
        <v>6825</v>
      </c>
      <c r="AA60" s="4">
        <f t="shared" si="33"/>
        <v>6825</v>
      </c>
      <c r="AB60" s="4">
        <f t="shared" si="33"/>
        <v>6825</v>
      </c>
      <c r="AC60" s="4">
        <f t="shared" si="33"/>
        <v>6825</v>
      </c>
      <c r="AD60" s="4">
        <f t="shared" si="33"/>
        <v>6825</v>
      </c>
      <c r="AE60" s="4">
        <f>AE59-AE54</f>
        <v>6825</v>
      </c>
      <c r="AF60" s="4">
        <f>AF59-AF54</f>
        <v>6825</v>
      </c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</row>
    <row r="61" spans="1:48" ht="12">
      <c r="A61" s="1" t="s">
        <v>167</v>
      </c>
      <c r="C61" s="16">
        <f>C60/$B$3*1000</f>
        <v>-875</v>
      </c>
      <c r="D61" s="16">
        <f aca="true" t="shared" si="34" ref="D61:AF61">D60/$B$3*1000</f>
        <v>-511.66666666666674</v>
      </c>
      <c r="E61" s="16">
        <f t="shared" si="34"/>
        <v>-878.3333333333333</v>
      </c>
      <c r="F61" s="16">
        <f t="shared" si="34"/>
        <v>455</v>
      </c>
      <c r="G61" s="16">
        <f t="shared" si="34"/>
        <v>455</v>
      </c>
      <c r="H61" s="16">
        <f t="shared" si="34"/>
        <v>455</v>
      </c>
      <c r="I61" s="16">
        <f t="shared" si="34"/>
        <v>455</v>
      </c>
      <c r="J61" s="16">
        <f t="shared" si="34"/>
        <v>455</v>
      </c>
      <c r="K61" s="16">
        <f t="shared" si="34"/>
        <v>455</v>
      </c>
      <c r="L61" s="16">
        <f t="shared" si="34"/>
        <v>455</v>
      </c>
      <c r="M61" s="16">
        <f t="shared" si="34"/>
        <v>-875</v>
      </c>
      <c r="N61" s="16">
        <f t="shared" si="34"/>
        <v>-511.66666666666674</v>
      </c>
      <c r="O61" s="16">
        <f t="shared" si="34"/>
        <v>-878.3333333333333</v>
      </c>
      <c r="P61" s="16">
        <f t="shared" si="34"/>
        <v>455</v>
      </c>
      <c r="Q61" s="16">
        <f t="shared" si="34"/>
        <v>455</v>
      </c>
      <c r="R61" s="16">
        <f t="shared" si="34"/>
        <v>455</v>
      </c>
      <c r="S61" s="16">
        <f t="shared" si="34"/>
        <v>455</v>
      </c>
      <c r="T61" s="16">
        <f t="shared" si="34"/>
        <v>455</v>
      </c>
      <c r="U61" s="16">
        <f t="shared" si="34"/>
        <v>455</v>
      </c>
      <c r="V61" s="16">
        <f t="shared" si="34"/>
        <v>455</v>
      </c>
      <c r="W61" s="16">
        <f t="shared" si="34"/>
        <v>-875</v>
      </c>
      <c r="X61" s="16">
        <f t="shared" si="34"/>
        <v>-511.66666666666674</v>
      </c>
      <c r="Y61" s="16">
        <f t="shared" si="34"/>
        <v>-878.3333333333333</v>
      </c>
      <c r="Z61" s="16">
        <f t="shared" si="34"/>
        <v>455</v>
      </c>
      <c r="AA61" s="16">
        <f t="shared" si="34"/>
        <v>455</v>
      </c>
      <c r="AB61" s="16">
        <f t="shared" si="34"/>
        <v>455</v>
      </c>
      <c r="AC61" s="16">
        <f t="shared" si="34"/>
        <v>455</v>
      </c>
      <c r="AD61" s="16">
        <f t="shared" si="34"/>
        <v>455</v>
      </c>
      <c r="AE61" s="16">
        <f t="shared" si="34"/>
        <v>455</v>
      </c>
      <c r="AF61" s="16">
        <f t="shared" si="34"/>
        <v>455</v>
      </c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</row>
    <row r="62" spans="3:48" ht="11.2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</row>
    <row r="63" spans="1:48" ht="12">
      <c r="A63" s="1" t="s">
        <v>189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ht="11.25">
      <c r="A64" s="12" t="s">
        <v>122</v>
      </c>
      <c r="C64" s="4">
        <f aca="true" t="shared" si="35" ref="C64:AF64">IF(MOD(C$25,$G7)=0,$G8*$B$5/1000,$G9*$B$5/1000)</f>
        <v>3900</v>
      </c>
      <c r="D64" s="4">
        <f t="shared" si="35"/>
        <v>3750</v>
      </c>
      <c r="E64" s="4">
        <f t="shared" si="35"/>
        <v>3750</v>
      </c>
      <c r="F64" s="4">
        <f t="shared" si="35"/>
        <v>3750</v>
      </c>
      <c r="G64" s="4">
        <f t="shared" si="35"/>
        <v>3750</v>
      </c>
      <c r="H64" s="4">
        <f t="shared" si="35"/>
        <v>3750</v>
      </c>
      <c r="I64" s="4">
        <f t="shared" si="35"/>
        <v>3750</v>
      </c>
      <c r="J64" s="4">
        <f t="shared" si="35"/>
        <v>3750</v>
      </c>
      <c r="K64" s="4">
        <f t="shared" si="35"/>
        <v>3750</v>
      </c>
      <c r="L64" s="4">
        <f t="shared" si="35"/>
        <v>3750</v>
      </c>
      <c r="M64" s="4">
        <f t="shared" si="35"/>
        <v>3750</v>
      </c>
      <c r="N64" s="4">
        <f t="shared" si="35"/>
        <v>3750</v>
      </c>
      <c r="O64" s="4">
        <f t="shared" si="35"/>
        <v>3750</v>
      </c>
      <c r="P64" s="4">
        <f t="shared" si="35"/>
        <v>3750</v>
      </c>
      <c r="Q64" s="4">
        <f t="shared" si="35"/>
        <v>3750</v>
      </c>
      <c r="R64" s="4">
        <f t="shared" si="35"/>
        <v>3750</v>
      </c>
      <c r="S64" s="4">
        <f t="shared" si="35"/>
        <v>3750</v>
      </c>
      <c r="T64" s="4">
        <f t="shared" si="35"/>
        <v>3750</v>
      </c>
      <c r="U64" s="4">
        <f t="shared" si="35"/>
        <v>3750</v>
      </c>
      <c r="V64" s="4">
        <f t="shared" si="35"/>
        <v>3750</v>
      </c>
      <c r="W64" s="4">
        <f t="shared" si="35"/>
        <v>3750</v>
      </c>
      <c r="X64" s="4">
        <f t="shared" si="35"/>
        <v>3750</v>
      </c>
      <c r="Y64" s="4">
        <f t="shared" si="35"/>
        <v>3750</v>
      </c>
      <c r="Z64" s="4">
        <f t="shared" si="35"/>
        <v>3750</v>
      </c>
      <c r="AA64" s="4">
        <f t="shared" si="35"/>
        <v>3750</v>
      </c>
      <c r="AB64" s="4">
        <f t="shared" si="35"/>
        <v>3750</v>
      </c>
      <c r="AC64" s="4">
        <f t="shared" si="35"/>
        <v>3750</v>
      </c>
      <c r="AD64" s="4">
        <f t="shared" si="35"/>
        <v>3750</v>
      </c>
      <c r="AE64" s="4">
        <f t="shared" si="35"/>
        <v>3900</v>
      </c>
      <c r="AF64" s="4">
        <f t="shared" si="35"/>
        <v>3750</v>
      </c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11.25">
      <c r="A65" s="12" t="s">
        <v>30</v>
      </c>
      <c r="C65" s="4">
        <f aca="true" t="shared" si="36" ref="C65:AF65">IF(MOD(C$25,$G7)=0,$G13,IF(MOD(C$25,$G7)&gt;$G10-1,$G17,$H13))</f>
        <v>6000</v>
      </c>
      <c r="D65" s="4">
        <f t="shared" si="36"/>
        <v>950</v>
      </c>
      <c r="E65" s="4">
        <f t="shared" si="36"/>
        <v>950</v>
      </c>
      <c r="F65" s="4">
        <f t="shared" si="36"/>
        <v>950</v>
      </c>
      <c r="G65" s="4">
        <f t="shared" si="36"/>
        <v>950</v>
      </c>
      <c r="H65" s="4">
        <f t="shared" si="36"/>
        <v>950</v>
      </c>
      <c r="I65" s="4">
        <f t="shared" si="36"/>
        <v>950</v>
      </c>
      <c r="J65" s="4">
        <f t="shared" si="36"/>
        <v>950</v>
      </c>
      <c r="K65" s="4">
        <f t="shared" si="36"/>
        <v>2500</v>
      </c>
      <c r="L65" s="4">
        <f t="shared" si="36"/>
        <v>2500</v>
      </c>
      <c r="M65" s="4">
        <f t="shared" si="36"/>
        <v>2500</v>
      </c>
      <c r="N65" s="4">
        <f t="shared" si="36"/>
        <v>2500</v>
      </c>
      <c r="O65" s="4">
        <f t="shared" si="36"/>
        <v>2500</v>
      </c>
      <c r="P65" s="4">
        <f t="shared" si="36"/>
        <v>2500</v>
      </c>
      <c r="Q65" s="4">
        <f t="shared" si="36"/>
        <v>2500</v>
      </c>
      <c r="R65" s="4">
        <f t="shared" si="36"/>
        <v>2500</v>
      </c>
      <c r="S65" s="4">
        <f t="shared" si="36"/>
        <v>2500</v>
      </c>
      <c r="T65" s="4">
        <f t="shared" si="36"/>
        <v>2500</v>
      </c>
      <c r="U65" s="4">
        <f t="shared" si="36"/>
        <v>2500</v>
      </c>
      <c r="V65" s="4">
        <f t="shared" si="36"/>
        <v>2500</v>
      </c>
      <c r="W65" s="4">
        <f t="shared" si="36"/>
        <v>2500</v>
      </c>
      <c r="X65" s="4">
        <f t="shared" si="36"/>
        <v>2500</v>
      </c>
      <c r="Y65" s="4">
        <f t="shared" si="36"/>
        <v>2500</v>
      </c>
      <c r="Z65" s="4">
        <f t="shared" si="36"/>
        <v>2500</v>
      </c>
      <c r="AA65" s="4">
        <f t="shared" si="36"/>
        <v>2500</v>
      </c>
      <c r="AB65" s="4">
        <f t="shared" si="36"/>
        <v>2500</v>
      </c>
      <c r="AC65" s="4">
        <f t="shared" si="36"/>
        <v>2500</v>
      </c>
      <c r="AD65" s="4">
        <f t="shared" si="36"/>
        <v>2500</v>
      </c>
      <c r="AE65" s="4">
        <f t="shared" si="36"/>
        <v>6000</v>
      </c>
      <c r="AF65" s="4">
        <f t="shared" si="36"/>
        <v>950</v>
      </c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  <row r="66" spans="1:48" ht="11.25">
      <c r="A66" s="12" t="s">
        <v>31</v>
      </c>
      <c r="C66" s="4">
        <f aca="true" t="shared" si="37" ref="C66:AF66">IF(MOD(C$25,$G7)=0,$G14,$G18)</f>
        <v>1100</v>
      </c>
      <c r="D66" s="4">
        <f t="shared" si="37"/>
        <v>0</v>
      </c>
      <c r="E66" s="4">
        <f t="shared" si="37"/>
        <v>0</v>
      </c>
      <c r="F66" s="4">
        <f t="shared" si="37"/>
        <v>0</v>
      </c>
      <c r="G66" s="4">
        <f t="shared" si="37"/>
        <v>0</v>
      </c>
      <c r="H66" s="4">
        <f t="shared" si="37"/>
        <v>0</v>
      </c>
      <c r="I66" s="4">
        <f t="shared" si="37"/>
        <v>0</v>
      </c>
      <c r="J66" s="4">
        <f t="shared" si="37"/>
        <v>0</v>
      </c>
      <c r="K66" s="4">
        <f t="shared" si="37"/>
        <v>0</v>
      </c>
      <c r="L66" s="4">
        <f t="shared" si="37"/>
        <v>0</v>
      </c>
      <c r="M66" s="4">
        <f t="shared" si="37"/>
        <v>0</v>
      </c>
      <c r="N66" s="4">
        <f t="shared" si="37"/>
        <v>0</v>
      </c>
      <c r="O66" s="4">
        <f t="shared" si="37"/>
        <v>0</v>
      </c>
      <c r="P66" s="4">
        <f t="shared" si="37"/>
        <v>0</v>
      </c>
      <c r="Q66" s="4">
        <f t="shared" si="37"/>
        <v>0</v>
      </c>
      <c r="R66" s="4">
        <f t="shared" si="37"/>
        <v>0</v>
      </c>
      <c r="S66" s="4">
        <f t="shared" si="37"/>
        <v>0</v>
      </c>
      <c r="T66" s="4">
        <f t="shared" si="37"/>
        <v>0</v>
      </c>
      <c r="U66" s="4">
        <f t="shared" si="37"/>
        <v>0</v>
      </c>
      <c r="V66" s="4">
        <f t="shared" si="37"/>
        <v>0</v>
      </c>
      <c r="W66" s="4">
        <f t="shared" si="37"/>
        <v>0</v>
      </c>
      <c r="X66" s="4">
        <f t="shared" si="37"/>
        <v>0</v>
      </c>
      <c r="Y66" s="4">
        <f t="shared" si="37"/>
        <v>0</v>
      </c>
      <c r="Z66" s="4">
        <f t="shared" si="37"/>
        <v>0</v>
      </c>
      <c r="AA66" s="4">
        <f t="shared" si="37"/>
        <v>0</v>
      </c>
      <c r="AB66" s="4">
        <f t="shared" si="37"/>
        <v>0</v>
      </c>
      <c r="AC66" s="4">
        <f t="shared" si="37"/>
        <v>0</v>
      </c>
      <c r="AD66" s="4">
        <f t="shared" si="37"/>
        <v>0</v>
      </c>
      <c r="AE66" s="4">
        <f t="shared" si="37"/>
        <v>1100</v>
      </c>
      <c r="AF66" s="4">
        <f t="shared" si="37"/>
        <v>0</v>
      </c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</row>
    <row r="67" spans="1:48" ht="11.25">
      <c r="A67" s="12" t="s">
        <v>32</v>
      </c>
      <c r="C67" s="4">
        <f aca="true" t="shared" si="38" ref="C67:AF67">IF(MOD(C$25,$G7)=0,$G15,$G19)</f>
        <v>0</v>
      </c>
      <c r="D67" s="4">
        <f t="shared" si="38"/>
        <v>0</v>
      </c>
      <c r="E67" s="4">
        <f t="shared" si="38"/>
        <v>0</v>
      </c>
      <c r="F67" s="4">
        <f t="shared" si="38"/>
        <v>0</v>
      </c>
      <c r="G67" s="4">
        <f t="shared" si="38"/>
        <v>0</v>
      </c>
      <c r="H67" s="4">
        <f t="shared" si="38"/>
        <v>0</v>
      </c>
      <c r="I67" s="4">
        <f t="shared" si="38"/>
        <v>0</v>
      </c>
      <c r="J67" s="4">
        <f t="shared" si="38"/>
        <v>0</v>
      </c>
      <c r="K67" s="4">
        <f t="shared" si="38"/>
        <v>0</v>
      </c>
      <c r="L67" s="4">
        <f t="shared" si="38"/>
        <v>0</v>
      </c>
      <c r="M67" s="4">
        <f t="shared" si="38"/>
        <v>0</v>
      </c>
      <c r="N67" s="4">
        <f t="shared" si="38"/>
        <v>0</v>
      </c>
      <c r="O67" s="4">
        <f t="shared" si="38"/>
        <v>0</v>
      </c>
      <c r="P67" s="4">
        <f t="shared" si="38"/>
        <v>0</v>
      </c>
      <c r="Q67" s="4">
        <f t="shared" si="38"/>
        <v>0</v>
      </c>
      <c r="R67" s="4">
        <f t="shared" si="38"/>
        <v>0</v>
      </c>
      <c r="S67" s="4">
        <f t="shared" si="38"/>
        <v>0</v>
      </c>
      <c r="T67" s="4">
        <f t="shared" si="38"/>
        <v>0</v>
      </c>
      <c r="U67" s="4">
        <f t="shared" si="38"/>
        <v>0</v>
      </c>
      <c r="V67" s="4">
        <f t="shared" si="38"/>
        <v>0</v>
      </c>
      <c r="W67" s="4">
        <f t="shared" si="38"/>
        <v>0</v>
      </c>
      <c r="X67" s="4">
        <f t="shared" si="38"/>
        <v>0</v>
      </c>
      <c r="Y67" s="4">
        <f t="shared" si="38"/>
        <v>0</v>
      </c>
      <c r="Z67" s="4">
        <f t="shared" si="38"/>
        <v>0</v>
      </c>
      <c r="AA67" s="4">
        <f t="shared" si="38"/>
        <v>0</v>
      </c>
      <c r="AB67" s="4">
        <f t="shared" si="38"/>
        <v>0</v>
      </c>
      <c r="AC67" s="4">
        <f t="shared" si="38"/>
        <v>0</v>
      </c>
      <c r="AD67" s="4">
        <f t="shared" si="38"/>
        <v>0</v>
      </c>
      <c r="AE67" s="4">
        <f t="shared" si="38"/>
        <v>0</v>
      </c>
      <c r="AF67" s="4">
        <f t="shared" si="38"/>
        <v>0</v>
      </c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</row>
    <row r="68" spans="1:48" ht="11.25">
      <c r="A68" s="2" t="s">
        <v>165</v>
      </c>
      <c r="C68" s="4">
        <f aca="true" t="shared" si="39" ref="C68:AF68">SUM(C64:C67)</f>
        <v>11000</v>
      </c>
      <c r="D68" s="4">
        <f t="shared" si="39"/>
        <v>4700</v>
      </c>
      <c r="E68" s="4">
        <f t="shared" si="39"/>
        <v>4700</v>
      </c>
      <c r="F68" s="4">
        <f t="shared" si="39"/>
        <v>4700</v>
      </c>
      <c r="G68" s="4">
        <f t="shared" si="39"/>
        <v>4700</v>
      </c>
      <c r="H68" s="4">
        <f t="shared" si="39"/>
        <v>4700</v>
      </c>
      <c r="I68" s="4">
        <f t="shared" si="39"/>
        <v>4700</v>
      </c>
      <c r="J68" s="4">
        <f t="shared" si="39"/>
        <v>4700</v>
      </c>
      <c r="K68" s="4">
        <f t="shared" si="39"/>
        <v>6250</v>
      </c>
      <c r="L68" s="4">
        <f t="shared" si="39"/>
        <v>6250</v>
      </c>
      <c r="M68" s="4">
        <f t="shared" si="39"/>
        <v>6250</v>
      </c>
      <c r="N68" s="4">
        <f t="shared" si="39"/>
        <v>6250</v>
      </c>
      <c r="O68" s="4">
        <f t="shared" si="39"/>
        <v>6250</v>
      </c>
      <c r="P68" s="4">
        <f t="shared" si="39"/>
        <v>6250</v>
      </c>
      <c r="Q68" s="4">
        <f t="shared" si="39"/>
        <v>6250</v>
      </c>
      <c r="R68" s="4">
        <f t="shared" si="39"/>
        <v>6250</v>
      </c>
      <c r="S68" s="4">
        <f t="shared" si="39"/>
        <v>6250</v>
      </c>
      <c r="T68" s="4">
        <f t="shared" si="39"/>
        <v>6250</v>
      </c>
      <c r="U68" s="4">
        <f t="shared" si="39"/>
        <v>6250</v>
      </c>
      <c r="V68" s="4">
        <f t="shared" si="39"/>
        <v>6250</v>
      </c>
      <c r="W68" s="4">
        <f t="shared" si="39"/>
        <v>6250</v>
      </c>
      <c r="X68" s="4">
        <f t="shared" si="39"/>
        <v>6250</v>
      </c>
      <c r="Y68" s="4">
        <f t="shared" si="39"/>
        <v>6250</v>
      </c>
      <c r="Z68" s="4">
        <f t="shared" si="39"/>
        <v>6250</v>
      </c>
      <c r="AA68" s="4">
        <f t="shared" si="39"/>
        <v>6250</v>
      </c>
      <c r="AB68" s="4">
        <f t="shared" si="39"/>
        <v>6250</v>
      </c>
      <c r="AC68" s="4">
        <f t="shared" si="39"/>
        <v>6250</v>
      </c>
      <c r="AD68" s="4">
        <f t="shared" si="39"/>
        <v>6250</v>
      </c>
      <c r="AE68" s="4">
        <f t="shared" si="39"/>
        <v>11000</v>
      </c>
      <c r="AF68" s="4">
        <f t="shared" si="39"/>
        <v>4700</v>
      </c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</row>
    <row r="69" spans="1:48" ht="11.25">
      <c r="A69" s="2" t="s">
        <v>166</v>
      </c>
      <c r="C69" s="4">
        <f>C68/$B$3*1000</f>
        <v>733.3333333333333</v>
      </c>
      <c r="D69" s="4">
        <f aca="true" t="shared" si="40" ref="D69:AF69">D68/$B$3*1000</f>
        <v>313.33333333333337</v>
      </c>
      <c r="E69" s="4">
        <f t="shared" si="40"/>
        <v>313.33333333333337</v>
      </c>
      <c r="F69" s="4">
        <f t="shared" si="40"/>
        <v>313.33333333333337</v>
      </c>
      <c r="G69" s="4">
        <f t="shared" si="40"/>
        <v>313.33333333333337</v>
      </c>
      <c r="H69" s="4">
        <f t="shared" si="40"/>
        <v>313.33333333333337</v>
      </c>
      <c r="I69" s="4">
        <f t="shared" si="40"/>
        <v>313.33333333333337</v>
      </c>
      <c r="J69" s="4">
        <f t="shared" si="40"/>
        <v>313.33333333333337</v>
      </c>
      <c r="K69" s="4">
        <f t="shared" si="40"/>
        <v>416.6666666666667</v>
      </c>
      <c r="L69" s="4">
        <f t="shared" si="40"/>
        <v>416.6666666666667</v>
      </c>
      <c r="M69" s="4">
        <f t="shared" si="40"/>
        <v>416.6666666666667</v>
      </c>
      <c r="N69" s="4">
        <f t="shared" si="40"/>
        <v>416.6666666666667</v>
      </c>
      <c r="O69" s="4">
        <f t="shared" si="40"/>
        <v>416.6666666666667</v>
      </c>
      <c r="P69" s="4">
        <f t="shared" si="40"/>
        <v>416.6666666666667</v>
      </c>
      <c r="Q69" s="4">
        <f t="shared" si="40"/>
        <v>416.6666666666667</v>
      </c>
      <c r="R69" s="4">
        <f t="shared" si="40"/>
        <v>416.6666666666667</v>
      </c>
      <c r="S69" s="4">
        <f t="shared" si="40"/>
        <v>416.6666666666667</v>
      </c>
      <c r="T69" s="4">
        <f t="shared" si="40"/>
        <v>416.6666666666667</v>
      </c>
      <c r="U69" s="4">
        <f t="shared" si="40"/>
        <v>416.6666666666667</v>
      </c>
      <c r="V69" s="4">
        <f t="shared" si="40"/>
        <v>416.6666666666667</v>
      </c>
      <c r="W69" s="4">
        <f t="shared" si="40"/>
        <v>416.6666666666667</v>
      </c>
      <c r="X69" s="4">
        <f t="shared" si="40"/>
        <v>416.6666666666667</v>
      </c>
      <c r="Y69" s="4">
        <f t="shared" si="40"/>
        <v>416.6666666666667</v>
      </c>
      <c r="Z69" s="4">
        <f t="shared" si="40"/>
        <v>416.6666666666667</v>
      </c>
      <c r="AA69" s="4">
        <f t="shared" si="40"/>
        <v>416.6666666666667</v>
      </c>
      <c r="AB69" s="4">
        <f t="shared" si="40"/>
        <v>416.6666666666667</v>
      </c>
      <c r="AC69" s="4">
        <f t="shared" si="40"/>
        <v>416.6666666666667</v>
      </c>
      <c r="AD69" s="4">
        <f t="shared" si="40"/>
        <v>416.6666666666667</v>
      </c>
      <c r="AE69" s="4">
        <f t="shared" si="40"/>
        <v>733.3333333333333</v>
      </c>
      <c r="AF69" s="4">
        <f t="shared" si="40"/>
        <v>313.33333333333337</v>
      </c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</row>
    <row r="70" spans="3:48" ht="11.2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</row>
    <row r="71" spans="1:48" ht="11.25">
      <c r="A71" s="2" t="s">
        <v>161</v>
      </c>
      <c r="C71" s="27">
        <f aca="true" t="shared" si="41" ref="C71:AF71">IF(MOD(C$25,$G7)&lt;$G10,0,$G20)</f>
        <v>0</v>
      </c>
      <c r="D71" s="27">
        <f t="shared" si="41"/>
        <v>0</v>
      </c>
      <c r="E71" s="27">
        <f t="shared" si="41"/>
        <v>0</v>
      </c>
      <c r="F71" s="27">
        <f t="shared" si="41"/>
        <v>0</v>
      </c>
      <c r="G71" s="27">
        <f t="shared" si="41"/>
        <v>0</v>
      </c>
      <c r="H71" s="27">
        <f t="shared" si="41"/>
        <v>0</v>
      </c>
      <c r="I71" s="27">
        <f t="shared" si="41"/>
        <v>0</v>
      </c>
      <c r="J71" s="27">
        <f t="shared" si="41"/>
        <v>0</v>
      </c>
      <c r="K71" s="27">
        <f t="shared" si="41"/>
        <v>10000</v>
      </c>
      <c r="L71" s="27">
        <f t="shared" si="41"/>
        <v>10000</v>
      </c>
      <c r="M71" s="27">
        <f t="shared" si="41"/>
        <v>10000</v>
      </c>
      <c r="N71" s="27">
        <f t="shared" si="41"/>
        <v>10000</v>
      </c>
      <c r="O71" s="27">
        <f t="shared" si="41"/>
        <v>10000</v>
      </c>
      <c r="P71" s="27">
        <f t="shared" si="41"/>
        <v>10000</v>
      </c>
      <c r="Q71" s="27">
        <f t="shared" si="41"/>
        <v>10000</v>
      </c>
      <c r="R71" s="27">
        <f t="shared" si="41"/>
        <v>10000</v>
      </c>
      <c r="S71" s="27">
        <f t="shared" si="41"/>
        <v>10000</v>
      </c>
      <c r="T71" s="27">
        <f t="shared" si="41"/>
        <v>10000</v>
      </c>
      <c r="U71" s="27">
        <f t="shared" si="41"/>
        <v>10000</v>
      </c>
      <c r="V71" s="27">
        <f t="shared" si="41"/>
        <v>10000</v>
      </c>
      <c r="W71" s="27">
        <f t="shared" si="41"/>
        <v>10000</v>
      </c>
      <c r="X71" s="27">
        <f t="shared" si="41"/>
        <v>10000</v>
      </c>
      <c r="Y71" s="27">
        <f t="shared" si="41"/>
        <v>10000</v>
      </c>
      <c r="Z71" s="27">
        <f t="shared" si="41"/>
        <v>10000</v>
      </c>
      <c r="AA71" s="27">
        <f t="shared" si="41"/>
        <v>10000</v>
      </c>
      <c r="AB71" s="27">
        <f t="shared" si="41"/>
        <v>10000</v>
      </c>
      <c r="AC71" s="27">
        <f t="shared" si="41"/>
        <v>10000</v>
      </c>
      <c r="AD71" s="27">
        <f t="shared" si="41"/>
        <v>10000</v>
      </c>
      <c r="AE71" s="27">
        <f t="shared" si="41"/>
        <v>0</v>
      </c>
      <c r="AF71" s="27">
        <f t="shared" si="41"/>
        <v>0</v>
      </c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</row>
    <row r="72" spans="1:48" ht="11.25">
      <c r="A72" s="2" t="s">
        <v>300</v>
      </c>
      <c r="C72" s="4">
        <f aca="true" t="shared" si="42" ref="C72:AF72">$G21</f>
        <v>1</v>
      </c>
      <c r="D72" s="4">
        <f t="shared" si="42"/>
        <v>1</v>
      </c>
      <c r="E72" s="4">
        <f t="shared" si="42"/>
        <v>1</v>
      </c>
      <c r="F72" s="4">
        <f t="shared" si="42"/>
        <v>1</v>
      </c>
      <c r="G72" s="4">
        <f t="shared" si="42"/>
        <v>1</v>
      </c>
      <c r="H72" s="4">
        <f t="shared" si="42"/>
        <v>1</v>
      </c>
      <c r="I72" s="4">
        <f t="shared" si="42"/>
        <v>1</v>
      </c>
      <c r="J72" s="4">
        <f t="shared" si="42"/>
        <v>1</v>
      </c>
      <c r="K72" s="4">
        <f t="shared" si="42"/>
        <v>1</v>
      </c>
      <c r="L72" s="4">
        <f t="shared" si="42"/>
        <v>1</v>
      </c>
      <c r="M72" s="4">
        <f t="shared" si="42"/>
        <v>1</v>
      </c>
      <c r="N72" s="4">
        <f t="shared" si="42"/>
        <v>1</v>
      </c>
      <c r="O72" s="4">
        <f t="shared" si="42"/>
        <v>1</v>
      </c>
      <c r="P72" s="4">
        <f t="shared" si="42"/>
        <v>1</v>
      </c>
      <c r="Q72" s="4">
        <f t="shared" si="42"/>
        <v>1</v>
      </c>
      <c r="R72" s="4">
        <f t="shared" si="42"/>
        <v>1</v>
      </c>
      <c r="S72" s="4">
        <f t="shared" si="42"/>
        <v>1</v>
      </c>
      <c r="T72" s="4">
        <f t="shared" si="42"/>
        <v>1</v>
      </c>
      <c r="U72" s="4">
        <f t="shared" si="42"/>
        <v>1</v>
      </c>
      <c r="V72" s="4">
        <f t="shared" si="42"/>
        <v>1</v>
      </c>
      <c r="W72" s="4">
        <f t="shared" si="42"/>
        <v>1</v>
      </c>
      <c r="X72" s="4">
        <f t="shared" si="42"/>
        <v>1</v>
      </c>
      <c r="Y72" s="4">
        <f t="shared" si="42"/>
        <v>1</v>
      </c>
      <c r="Z72" s="4">
        <f t="shared" si="42"/>
        <v>1</v>
      </c>
      <c r="AA72" s="4">
        <f t="shared" si="42"/>
        <v>1</v>
      </c>
      <c r="AB72" s="4">
        <f t="shared" si="42"/>
        <v>1</v>
      </c>
      <c r="AC72" s="4">
        <f t="shared" si="42"/>
        <v>1</v>
      </c>
      <c r="AD72" s="4">
        <f t="shared" si="42"/>
        <v>1</v>
      </c>
      <c r="AE72" s="4">
        <f t="shared" si="42"/>
        <v>1</v>
      </c>
      <c r="AF72" s="4">
        <f t="shared" si="42"/>
        <v>1</v>
      </c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</row>
    <row r="73" spans="1:48" ht="11.25">
      <c r="A73" s="2" t="s">
        <v>162</v>
      </c>
      <c r="C73" s="4">
        <f>C72*C71</f>
        <v>0</v>
      </c>
      <c r="D73" s="4">
        <f aca="true" t="shared" si="43" ref="D73:V73">D72*D71</f>
        <v>0</v>
      </c>
      <c r="E73" s="4">
        <f t="shared" si="43"/>
        <v>0</v>
      </c>
      <c r="F73" s="4">
        <f t="shared" si="43"/>
        <v>0</v>
      </c>
      <c r="G73" s="4">
        <f t="shared" si="43"/>
        <v>0</v>
      </c>
      <c r="H73" s="4">
        <f t="shared" si="43"/>
        <v>0</v>
      </c>
      <c r="I73" s="4">
        <f t="shared" si="43"/>
        <v>0</v>
      </c>
      <c r="J73" s="4">
        <f t="shared" si="43"/>
        <v>0</v>
      </c>
      <c r="K73" s="4">
        <f t="shared" si="43"/>
        <v>10000</v>
      </c>
      <c r="L73" s="4">
        <f t="shared" si="43"/>
        <v>10000</v>
      </c>
      <c r="M73" s="4">
        <f t="shared" si="43"/>
        <v>10000</v>
      </c>
      <c r="N73" s="4">
        <f t="shared" si="43"/>
        <v>10000</v>
      </c>
      <c r="O73" s="4">
        <f t="shared" si="43"/>
        <v>10000</v>
      </c>
      <c r="P73" s="4">
        <f t="shared" si="43"/>
        <v>10000</v>
      </c>
      <c r="Q73" s="4">
        <f t="shared" si="43"/>
        <v>10000</v>
      </c>
      <c r="R73" s="4">
        <f t="shared" si="43"/>
        <v>10000</v>
      </c>
      <c r="S73" s="4">
        <f t="shared" si="43"/>
        <v>10000</v>
      </c>
      <c r="T73" s="4">
        <f t="shared" si="43"/>
        <v>10000</v>
      </c>
      <c r="U73" s="4">
        <f t="shared" si="43"/>
        <v>10000</v>
      </c>
      <c r="V73" s="4">
        <f t="shared" si="43"/>
        <v>10000</v>
      </c>
      <c r="W73" s="4">
        <f aca="true" t="shared" si="44" ref="W73:AE73">W72*W71</f>
        <v>10000</v>
      </c>
      <c r="X73" s="4">
        <f t="shared" si="44"/>
        <v>10000</v>
      </c>
      <c r="Y73" s="4">
        <f t="shared" si="44"/>
        <v>10000</v>
      </c>
      <c r="Z73" s="4">
        <f t="shared" si="44"/>
        <v>10000</v>
      </c>
      <c r="AA73" s="4">
        <f t="shared" si="44"/>
        <v>10000</v>
      </c>
      <c r="AB73" s="4">
        <f t="shared" si="44"/>
        <v>10000</v>
      </c>
      <c r="AC73" s="4">
        <f t="shared" si="44"/>
        <v>10000</v>
      </c>
      <c r="AD73" s="4">
        <f t="shared" si="44"/>
        <v>10000</v>
      </c>
      <c r="AE73" s="4">
        <f t="shared" si="44"/>
        <v>0</v>
      </c>
      <c r="AF73" s="4">
        <f>AF72*AF71</f>
        <v>0</v>
      </c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</row>
    <row r="74" spans="1:48" ht="11.25">
      <c r="A74" s="2" t="s">
        <v>164</v>
      </c>
      <c r="C74" s="4">
        <f aca="true" t="shared" si="45" ref="C74:V74">C73-C68</f>
        <v>-11000</v>
      </c>
      <c r="D74" s="4">
        <f t="shared" si="45"/>
        <v>-4700</v>
      </c>
      <c r="E74" s="4">
        <f t="shared" si="45"/>
        <v>-4700</v>
      </c>
      <c r="F74" s="4">
        <f t="shared" si="45"/>
        <v>-4700</v>
      </c>
      <c r="G74" s="4">
        <f t="shared" si="45"/>
        <v>-4700</v>
      </c>
      <c r="H74" s="4">
        <f t="shared" si="45"/>
        <v>-4700</v>
      </c>
      <c r="I74" s="4">
        <f t="shared" si="45"/>
        <v>-4700</v>
      </c>
      <c r="J74" s="4">
        <f t="shared" si="45"/>
        <v>-4700</v>
      </c>
      <c r="K74" s="4">
        <f t="shared" si="45"/>
        <v>3750</v>
      </c>
      <c r="L74" s="4">
        <f t="shared" si="45"/>
        <v>3750</v>
      </c>
      <c r="M74" s="4">
        <f t="shared" si="45"/>
        <v>3750</v>
      </c>
      <c r="N74" s="4">
        <f t="shared" si="45"/>
        <v>3750</v>
      </c>
      <c r="O74" s="4">
        <f t="shared" si="45"/>
        <v>3750</v>
      </c>
      <c r="P74" s="4">
        <f t="shared" si="45"/>
        <v>3750</v>
      </c>
      <c r="Q74" s="4">
        <f t="shared" si="45"/>
        <v>3750</v>
      </c>
      <c r="R74" s="4">
        <f t="shared" si="45"/>
        <v>3750</v>
      </c>
      <c r="S74" s="4">
        <f t="shared" si="45"/>
        <v>3750</v>
      </c>
      <c r="T74" s="4">
        <f t="shared" si="45"/>
        <v>3750</v>
      </c>
      <c r="U74" s="4">
        <f t="shared" si="45"/>
        <v>3750</v>
      </c>
      <c r="V74" s="4">
        <f t="shared" si="45"/>
        <v>3750</v>
      </c>
      <c r="W74" s="4">
        <f aca="true" t="shared" si="46" ref="W74:AD74">W73-W68</f>
        <v>3750</v>
      </c>
      <c r="X74" s="4">
        <f t="shared" si="46"/>
        <v>3750</v>
      </c>
      <c r="Y74" s="4">
        <f t="shared" si="46"/>
        <v>3750</v>
      </c>
      <c r="Z74" s="4">
        <f t="shared" si="46"/>
        <v>3750</v>
      </c>
      <c r="AA74" s="4">
        <f t="shared" si="46"/>
        <v>3750</v>
      </c>
      <c r="AB74" s="4">
        <f t="shared" si="46"/>
        <v>3750</v>
      </c>
      <c r="AC74" s="4">
        <f t="shared" si="46"/>
        <v>3750</v>
      </c>
      <c r="AD74" s="4">
        <f t="shared" si="46"/>
        <v>3750</v>
      </c>
      <c r="AE74" s="4">
        <f>AE73-AE68</f>
        <v>-11000</v>
      </c>
      <c r="AF74" s="4">
        <f>AF73-AF68</f>
        <v>-4700</v>
      </c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</row>
    <row r="75" spans="1:48" ht="12">
      <c r="A75" s="1" t="s">
        <v>167</v>
      </c>
      <c r="C75" s="16">
        <f>C74/$B$3*1000</f>
        <v>-733.3333333333333</v>
      </c>
      <c r="D75" s="16">
        <f aca="true" t="shared" si="47" ref="D75:AF75">D74/$B$3*1000</f>
        <v>-313.33333333333337</v>
      </c>
      <c r="E75" s="16">
        <f t="shared" si="47"/>
        <v>-313.33333333333337</v>
      </c>
      <c r="F75" s="16">
        <f t="shared" si="47"/>
        <v>-313.33333333333337</v>
      </c>
      <c r="G75" s="16">
        <f t="shared" si="47"/>
        <v>-313.33333333333337</v>
      </c>
      <c r="H75" s="16">
        <f t="shared" si="47"/>
        <v>-313.33333333333337</v>
      </c>
      <c r="I75" s="16">
        <f t="shared" si="47"/>
        <v>-313.33333333333337</v>
      </c>
      <c r="J75" s="16">
        <f t="shared" si="47"/>
        <v>-313.33333333333337</v>
      </c>
      <c r="K75" s="16">
        <f t="shared" si="47"/>
        <v>250</v>
      </c>
      <c r="L75" s="16">
        <f t="shared" si="47"/>
        <v>250</v>
      </c>
      <c r="M75" s="16">
        <f t="shared" si="47"/>
        <v>250</v>
      </c>
      <c r="N75" s="16">
        <f t="shared" si="47"/>
        <v>250</v>
      </c>
      <c r="O75" s="16">
        <f t="shared" si="47"/>
        <v>250</v>
      </c>
      <c r="P75" s="16">
        <f t="shared" si="47"/>
        <v>250</v>
      </c>
      <c r="Q75" s="16">
        <f t="shared" si="47"/>
        <v>250</v>
      </c>
      <c r="R75" s="16">
        <f t="shared" si="47"/>
        <v>250</v>
      </c>
      <c r="S75" s="16">
        <f t="shared" si="47"/>
        <v>250</v>
      </c>
      <c r="T75" s="16">
        <f t="shared" si="47"/>
        <v>250</v>
      </c>
      <c r="U75" s="16">
        <f t="shared" si="47"/>
        <v>250</v>
      </c>
      <c r="V75" s="16">
        <f t="shared" si="47"/>
        <v>250</v>
      </c>
      <c r="W75" s="16">
        <f t="shared" si="47"/>
        <v>250</v>
      </c>
      <c r="X75" s="16">
        <f t="shared" si="47"/>
        <v>250</v>
      </c>
      <c r="Y75" s="16">
        <f t="shared" si="47"/>
        <v>250</v>
      </c>
      <c r="Z75" s="16">
        <f t="shared" si="47"/>
        <v>250</v>
      </c>
      <c r="AA75" s="16">
        <f t="shared" si="47"/>
        <v>250</v>
      </c>
      <c r="AB75" s="16">
        <f t="shared" si="47"/>
        <v>250</v>
      </c>
      <c r="AC75" s="16">
        <f t="shared" si="47"/>
        <v>250</v>
      </c>
      <c r="AD75" s="16">
        <f t="shared" si="47"/>
        <v>250</v>
      </c>
      <c r="AE75" s="16">
        <f t="shared" si="47"/>
        <v>-733.3333333333333</v>
      </c>
      <c r="AF75" s="16">
        <f t="shared" si="47"/>
        <v>-313.33333333333337</v>
      </c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</row>
    <row r="76" spans="3:48" ht="11.2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</row>
    <row r="77" spans="3:48" ht="12">
      <c r="C77" s="73" t="s">
        <v>180</v>
      </c>
      <c r="D77" s="74" t="s">
        <v>181</v>
      </c>
      <c r="E77" s="74" t="s">
        <v>182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</row>
    <row r="78" spans="1:48" ht="11.25">
      <c r="A78" s="4" t="s">
        <v>147</v>
      </c>
      <c r="C78" s="2">
        <v>230</v>
      </c>
      <c r="D78" s="4">
        <v>200</v>
      </c>
      <c r="E78" s="4">
        <v>200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</row>
    <row r="79" spans="1:48" ht="11.25">
      <c r="A79" s="4" t="s">
        <v>183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</row>
    <row r="80" spans="1:48" ht="11.25">
      <c r="A80" s="12" t="s">
        <v>154</v>
      </c>
      <c r="C80" s="2">
        <v>550</v>
      </c>
      <c r="D80" s="4">
        <v>600</v>
      </c>
      <c r="E80" s="4">
        <v>550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</row>
    <row r="81" spans="1:48" ht="11.25">
      <c r="A81" s="12" t="s">
        <v>155</v>
      </c>
      <c r="C81" s="2">
        <v>400</v>
      </c>
      <c r="D81" s="4">
        <v>500</v>
      </c>
      <c r="E81" s="4">
        <v>150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</row>
    <row r="82" spans="1:48" ht="11.25">
      <c r="A82" s="12" t="s">
        <v>156</v>
      </c>
      <c r="C82" s="2">
        <v>300</v>
      </c>
      <c r="D82" s="4">
        <v>500</v>
      </c>
      <c r="E82" s="4">
        <v>500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</row>
    <row r="83" spans="6:48" ht="11.25"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</row>
    <row r="84" spans="1:48" ht="12">
      <c r="A84" s="1" t="s">
        <v>190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</row>
    <row r="85" spans="1:48" ht="11.25">
      <c r="A85" s="12" t="s">
        <v>122</v>
      </c>
      <c r="C85" s="4">
        <f>I8*$B$5/1000</f>
        <v>3450</v>
      </c>
      <c r="D85" s="4">
        <f>J8*$B$5/1000</f>
        <v>3000</v>
      </c>
      <c r="E85" s="4">
        <f>K8*$B$5/1000</f>
        <v>3000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</row>
    <row r="86" spans="1:48" ht="11.25">
      <c r="A86" s="12" t="s">
        <v>30</v>
      </c>
      <c r="C86" s="4">
        <f aca="true" t="shared" si="48" ref="C86:E88">I13</f>
        <v>550</v>
      </c>
      <c r="D86" s="4">
        <f t="shared" si="48"/>
        <v>600</v>
      </c>
      <c r="E86" s="4">
        <f t="shared" si="48"/>
        <v>550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</row>
    <row r="87" spans="1:48" ht="11.25">
      <c r="A87" s="12" t="s">
        <v>31</v>
      </c>
      <c r="C87" s="4">
        <f t="shared" si="48"/>
        <v>400</v>
      </c>
      <c r="D87" s="4">
        <f t="shared" si="48"/>
        <v>500</v>
      </c>
      <c r="E87" s="4">
        <f t="shared" si="48"/>
        <v>150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</row>
    <row r="88" spans="1:48" ht="11.25">
      <c r="A88" s="12" t="s">
        <v>32</v>
      </c>
      <c r="C88" s="4">
        <f t="shared" si="48"/>
        <v>300</v>
      </c>
      <c r="D88" s="4">
        <f t="shared" si="48"/>
        <v>500</v>
      </c>
      <c r="E88" s="4">
        <f t="shared" si="48"/>
        <v>500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</row>
    <row r="89" spans="1:48" ht="11.25">
      <c r="A89" s="2" t="s">
        <v>165</v>
      </c>
      <c r="C89" s="4">
        <f>SUM(C85:C88)</f>
        <v>4700</v>
      </c>
      <c r="D89" s="4">
        <f>SUM(D85:D88)</f>
        <v>4600</v>
      </c>
      <c r="E89" s="4">
        <f>SUM(E85:E88)</f>
        <v>4200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</row>
    <row r="90" spans="1:48" ht="11.25">
      <c r="A90" s="2" t="s">
        <v>166</v>
      </c>
      <c r="C90" s="4">
        <f>C89/$B$3*1000</f>
        <v>313.33333333333337</v>
      </c>
      <c r="D90" s="4">
        <f>D89/$B$3*1000</f>
        <v>306.66666666666663</v>
      </c>
      <c r="E90" s="4">
        <f>E89/$B$3*1000</f>
        <v>280</v>
      </c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</row>
    <row r="91" spans="2:48" ht="11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</row>
    <row r="92" spans="1:48" ht="11.25">
      <c r="A92" s="2" t="s">
        <v>162</v>
      </c>
      <c r="B92" s="4"/>
      <c r="C92" s="4">
        <f>I21*I20</f>
        <v>4375</v>
      </c>
      <c r="D92" s="4">
        <f>J21*J20</f>
        <v>4800</v>
      </c>
      <c r="E92" s="4">
        <f>K21*K20</f>
        <v>2000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</row>
    <row r="93" spans="1:48" ht="11.25">
      <c r="A93" s="2" t="s">
        <v>164</v>
      </c>
      <c r="B93" s="4"/>
      <c r="C93" s="4">
        <f>C92-C89</f>
        <v>-325</v>
      </c>
      <c r="D93" s="4">
        <f>D92-D89</f>
        <v>200</v>
      </c>
      <c r="E93" s="4">
        <f>E92-E89</f>
        <v>-2200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</row>
    <row r="94" spans="1:48" ht="12">
      <c r="A94" s="1" t="s">
        <v>167</v>
      </c>
      <c r="B94" s="4"/>
      <c r="C94" s="16">
        <f>C93/$B$3*1000</f>
        <v>-21.666666666666668</v>
      </c>
      <c r="D94" s="16">
        <f>D93/$B$3*1000</f>
        <v>13.333333333333334</v>
      </c>
      <c r="E94" s="16">
        <f>E93/$B$3*1000</f>
        <v>-146.66666666666666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</row>
    <row r="95" spans="3:48" ht="11.25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</row>
    <row r="96" spans="3:48" ht="11.25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</row>
    <row r="97" spans="3:48" ht="11.25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</row>
    <row r="98" spans="3:48" ht="12" thickBot="1">
      <c r="C98" s="15">
        <v>1996</v>
      </c>
      <c r="D98" s="15">
        <f>C98+1</f>
        <v>1997</v>
      </c>
      <c r="E98" s="15">
        <f aca="true" t="shared" si="49" ref="E98:V98">D98+1</f>
        <v>1998</v>
      </c>
      <c r="F98" s="15">
        <f t="shared" si="49"/>
        <v>1999</v>
      </c>
      <c r="G98" s="15">
        <f t="shared" si="49"/>
        <v>2000</v>
      </c>
      <c r="H98" s="15">
        <f t="shared" si="49"/>
        <v>2001</v>
      </c>
      <c r="I98" s="15">
        <f t="shared" si="49"/>
        <v>2002</v>
      </c>
      <c r="J98" s="15">
        <f t="shared" si="49"/>
        <v>2003</v>
      </c>
      <c r="K98" s="15">
        <f t="shared" si="49"/>
        <v>2004</v>
      </c>
      <c r="L98" s="15">
        <f t="shared" si="49"/>
        <v>2005</v>
      </c>
      <c r="M98" s="15">
        <f t="shared" si="49"/>
        <v>2006</v>
      </c>
      <c r="N98" s="15">
        <f t="shared" si="49"/>
        <v>2007</v>
      </c>
      <c r="O98" s="15">
        <f t="shared" si="49"/>
        <v>2008</v>
      </c>
      <c r="P98" s="15">
        <f t="shared" si="49"/>
        <v>2009</v>
      </c>
      <c r="Q98" s="15">
        <f t="shared" si="49"/>
        <v>2010</v>
      </c>
      <c r="R98" s="15">
        <f t="shared" si="49"/>
        <v>2011</v>
      </c>
      <c r="S98" s="15">
        <f t="shared" si="49"/>
        <v>2012</v>
      </c>
      <c r="T98" s="15">
        <f t="shared" si="49"/>
        <v>2013</v>
      </c>
      <c r="U98" s="15">
        <f>T98+1</f>
        <v>2014</v>
      </c>
      <c r="V98" s="15">
        <f t="shared" si="49"/>
        <v>2015</v>
      </c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</row>
    <row r="99" spans="1:48" ht="12" thickTop="1">
      <c r="A99" s="22" t="s">
        <v>142</v>
      </c>
      <c r="C99" s="2">
        <f>'Tai chinh'!D32</f>
        <v>0</v>
      </c>
      <c r="D99" s="2">
        <f>'Tai chinh'!E32</f>
        <v>0</v>
      </c>
      <c r="E99" s="2">
        <f>'Tai chinh'!F32</f>
        <v>1.28</v>
      </c>
      <c r="F99" s="2">
        <f>'Tai chinh'!G32</f>
        <v>8</v>
      </c>
      <c r="G99" s="10">
        <f>'Tai chinh'!H32</f>
        <v>15</v>
      </c>
      <c r="H99" s="10">
        <f>'Tai chinh'!I32</f>
        <v>17</v>
      </c>
      <c r="I99" s="10">
        <f>'Tai chinh'!J32</f>
        <v>18</v>
      </c>
      <c r="J99" s="10">
        <f>'Tai chinh'!K32</f>
        <v>18</v>
      </c>
      <c r="K99" s="10">
        <f>'Tai chinh'!L32</f>
        <v>18</v>
      </c>
      <c r="L99" s="10">
        <f>'Tai chinh'!M32</f>
        <v>18</v>
      </c>
      <c r="M99" s="10">
        <f>'Tai chinh'!N32</f>
        <v>18</v>
      </c>
      <c r="N99" s="10">
        <f>'Tai chinh'!O32</f>
        <v>18</v>
      </c>
      <c r="O99" s="10">
        <f>'Tai chinh'!P32</f>
        <v>18</v>
      </c>
      <c r="P99" s="10">
        <f>'Tai chinh'!Q32</f>
        <v>18</v>
      </c>
      <c r="Q99" s="10">
        <f>'Tai chinh'!R32</f>
        <v>18</v>
      </c>
      <c r="R99" s="10">
        <f>'Tai chinh'!S32</f>
        <v>18</v>
      </c>
      <c r="S99" s="10">
        <f>'Tai chinh'!T32</f>
        <v>18</v>
      </c>
      <c r="T99" s="10">
        <f>'Tai chinh'!U32</f>
        <v>18</v>
      </c>
      <c r="U99" s="10">
        <f>'Tai chinh'!V32</f>
        <v>18</v>
      </c>
      <c r="V99" s="10">
        <f>'Tai chinh'!V32</f>
        <v>18</v>
      </c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</row>
    <row r="100" spans="2:48" ht="12" thickBot="1">
      <c r="B100" s="113" t="s">
        <v>191</v>
      </c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</row>
    <row r="101" spans="1:48" ht="11.25">
      <c r="A101" s="112">
        <v>1996</v>
      </c>
      <c r="B101" s="10">
        <f>C99</f>
        <v>0</v>
      </c>
      <c r="C101" s="114">
        <f>$B$101*C32</f>
        <v>0</v>
      </c>
      <c r="D101" s="115">
        <f aca="true" t="shared" si="50" ref="D101:V101">$B$101*D32</f>
        <v>0</v>
      </c>
      <c r="E101" s="115">
        <f t="shared" si="50"/>
        <v>0</v>
      </c>
      <c r="F101" s="115">
        <f t="shared" si="50"/>
        <v>0</v>
      </c>
      <c r="G101" s="115">
        <f t="shared" si="50"/>
        <v>0</v>
      </c>
      <c r="H101" s="115">
        <f t="shared" si="50"/>
        <v>0</v>
      </c>
      <c r="I101" s="115">
        <f t="shared" si="50"/>
        <v>0</v>
      </c>
      <c r="J101" s="115">
        <f t="shared" si="50"/>
        <v>0</v>
      </c>
      <c r="K101" s="115">
        <f t="shared" si="50"/>
        <v>0</v>
      </c>
      <c r="L101" s="115">
        <f t="shared" si="50"/>
        <v>0</v>
      </c>
      <c r="M101" s="115">
        <f t="shared" si="50"/>
        <v>0</v>
      </c>
      <c r="N101" s="115">
        <f t="shared" si="50"/>
        <v>0</v>
      </c>
      <c r="O101" s="115">
        <f t="shared" si="50"/>
        <v>0</v>
      </c>
      <c r="P101" s="115">
        <f t="shared" si="50"/>
        <v>0</v>
      </c>
      <c r="Q101" s="115">
        <f t="shared" si="50"/>
        <v>0</v>
      </c>
      <c r="R101" s="115">
        <f t="shared" si="50"/>
        <v>0</v>
      </c>
      <c r="S101" s="115">
        <f t="shared" si="50"/>
        <v>0</v>
      </c>
      <c r="T101" s="115">
        <f t="shared" si="50"/>
        <v>0</v>
      </c>
      <c r="U101" s="115">
        <f t="shared" si="50"/>
        <v>0</v>
      </c>
      <c r="V101" s="116">
        <f t="shared" si="50"/>
        <v>0</v>
      </c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</row>
    <row r="102" spans="1:48" ht="11.25">
      <c r="A102" s="112">
        <v>1997</v>
      </c>
      <c r="B102" s="10">
        <f>D99-C99</f>
        <v>0</v>
      </c>
      <c r="C102" s="43"/>
      <c r="D102" s="32">
        <f>$B$102*C32</f>
        <v>0</v>
      </c>
      <c r="E102" s="32">
        <f aca="true" t="shared" si="51" ref="E102:V102">$B$102*D32</f>
        <v>0</v>
      </c>
      <c r="F102" s="32">
        <f t="shared" si="51"/>
        <v>0</v>
      </c>
      <c r="G102" s="32">
        <f t="shared" si="51"/>
        <v>0</v>
      </c>
      <c r="H102" s="32">
        <f t="shared" si="51"/>
        <v>0</v>
      </c>
      <c r="I102" s="32">
        <f t="shared" si="51"/>
        <v>0</v>
      </c>
      <c r="J102" s="32">
        <f t="shared" si="51"/>
        <v>0</v>
      </c>
      <c r="K102" s="32">
        <f t="shared" si="51"/>
        <v>0</v>
      </c>
      <c r="L102" s="32">
        <f t="shared" si="51"/>
        <v>0</v>
      </c>
      <c r="M102" s="32">
        <f t="shared" si="51"/>
        <v>0</v>
      </c>
      <c r="N102" s="32">
        <f t="shared" si="51"/>
        <v>0</v>
      </c>
      <c r="O102" s="32">
        <f t="shared" si="51"/>
        <v>0</v>
      </c>
      <c r="P102" s="32">
        <f t="shared" si="51"/>
        <v>0</v>
      </c>
      <c r="Q102" s="32">
        <f t="shared" si="51"/>
        <v>0</v>
      </c>
      <c r="R102" s="32">
        <f t="shared" si="51"/>
        <v>0</v>
      </c>
      <c r="S102" s="32">
        <f t="shared" si="51"/>
        <v>0</v>
      </c>
      <c r="T102" s="32">
        <f t="shared" si="51"/>
        <v>0</v>
      </c>
      <c r="U102" s="32">
        <f t="shared" si="51"/>
        <v>0</v>
      </c>
      <c r="V102" s="33">
        <f t="shared" si="51"/>
        <v>0</v>
      </c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</row>
    <row r="103" spans="1:48" ht="11.25">
      <c r="A103" s="112">
        <v>1998</v>
      </c>
      <c r="B103" s="10">
        <f>E99</f>
        <v>1.28</v>
      </c>
      <c r="C103" s="43"/>
      <c r="D103" s="32"/>
      <c r="E103" s="32">
        <f>$B$103*C32</f>
        <v>614.4</v>
      </c>
      <c r="F103" s="32">
        <f aca="true" t="shared" si="52" ref="F103:V103">$B$103*D32</f>
        <v>366.93333333333334</v>
      </c>
      <c r="G103" s="32">
        <f t="shared" si="52"/>
        <v>366.93333333333334</v>
      </c>
      <c r="H103" s="32">
        <f t="shared" si="52"/>
        <v>366.93333333333334</v>
      </c>
      <c r="I103" s="32">
        <f t="shared" si="52"/>
        <v>614.4</v>
      </c>
      <c r="J103" s="32">
        <f t="shared" si="52"/>
        <v>366.93333333333334</v>
      </c>
      <c r="K103" s="32">
        <f t="shared" si="52"/>
        <v>366.93333333333334</v>
      </c>
      <c r="L103" s="32">
        <f t="shared" si="52"/>
        <v>366.93333333333334</v>
      </c>
      <c r="M103" s="32">
        <f t="shared" si="52"/>
        <v>614.4</v>
      </c>
      <c r="N103" s="32">
        <f t="shared" si="52"/>
        <v>366.93333333333334</v>
      </c>
      <c r="O103" s="32">
        <f t="shared" si="52"/>
        <v>366.93333333333334</v>
      </c>
      <c r="P103" s="32">
        <f t="shared" si="52"/>
        <v>366.93333333333334</v>
      </c>
      <c r="Q103" s="32">
        <f t="shared" si="52"/>
        <v>614.4</v>
      </c>
      <c r="R103" s="32">
        <f t="shared" si="52"/>
        <v>366.93333333333334</v>
      </c>
      <c r="S103" s="32">
        <f t="shared" si="52"/>
        <v>366.93333333333334</v>
      </c>
      <c r="T103" s="32">
        <f t="shared" si="52"/>
        <v>366.93333333333334</v>
      </c>
      <c r="U103" s="32">
        <f t="shared" si="52"/>
        <v>614.4</v>
      </c>
      <c r="V103" s="33">
        <f t="shared" si="52"/>
        <v>366.93333333333334</v>
      </c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</row>
    <row r="104" spans="1:48" ht="11.25">
      <c r="A104" s="112">
        <v>1999</v>
      </c>
      <c r="B104" s="10">
        <f>F99-E99</f>
        <v>6.72</v>
      </c>
      <c r="C104" s="43"/>
      <c r="D104" s="32"/>
      <c r="E104" s="32"/>
      <c r="F104" s="32">
        <f>$B$104*C32</f>
        <v>3225.6</v>
      </c>
      <c r="G104" s="32">
        <f aca="true" t="shared" si="53" ref="G104:V104">$B$104*D32</f>
        <v>1926.4</v>
      </c>
      <c r="H104" s="32">
        <f t="shared" si="53"/>
        <v>1926.4</v>
      </c>
      <c r="I104" s="32">
        <f t="shared" si="53"/>
        <v>1926.4</v>
      </c>
      <c r="J104" s="32">
        <f t="shared" si="53"/>
        <v>3225.6</v>
      </c>
      <c r="K104" s="32">
        <f t="shared" si="53"/>
        <v>1926.4</v>
      </c>
      <c r="L104" s="32">
        <f t="shared" si="53"/>
        <v>1926.4</v>
      </c>
      <c r="M104" s="32">
        <f t="shared" si="53"/>
        <v>1926.4</v>
      </c>
      <c r="N104" s="32">
        <f t="shared" si="53"/>
        <v>3225.6</v>
      </c>
      <c r="O104" s="32">
        <f t="shared" si="53"/>
        <v>1926.4</v>
      </c>
      <c r="P104" s="32">
        <f t="shared" si="53"/>
        <v>1926.4</v>
      </c>
      <c r="Q104" s="32">
        <f t="shared" si="53"/>
        <v>1926.4</v>
      </c>
      <c r="R104" s="32">
        <f t="shared" si="53"/>
        <v>3225.6</v>
      </c>
      <c r="S104" s="32">
        <f t="shared" si="53"/>
        <v>1926.4</v>
      </c>
      <c r="T104" s="32">
        <f t="shared" si="53"/>
        <v>1926.4</v>
      </c>
      <c r="U104" s="32">
        <f t="shared" si="53"/>
        <v>1926.4</v>
      </c>
      <c r="V104" s="33">
        <f t="shared" si="53"/>
        <v>3225.6</v>
      </c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</row>
    <row r="105" spans="1:48" ht="11.25">
      <c r="A105" s="112">
        <v>2000</v>
      </c>
      <c r="B105" s="10">
        <f>G99-F99</f>
        <v>7</v>
      </c>
      <c r="C105" s="43"/>
      <c r="D105" s="32"/>
      <c r="E105" s="32"/>
      <c r="F105" s="32"/>
      <c r="G105" s="32">
        <f>$B$105*C32</f>
        <v>3360</v>
      </c>
      <c r="H105" s="32">
        <f aca="true" t="shared" si="54" ref="H105:V105">$B$105*D32</f>
        <v>2006.6666666666667</v>
      </c>
      <c r="I105" s="32">
        <f t="shared" si="54"/>
        <v>2006.6666666666667</v>
      </c>
      <c r="J105" s="32">
        <f t="shared" si="54"/>
        <v>2006.6666666666667</v>
      </c>
      <c r="K105" s="32">
        <f t="shared" si="54"/>
        <v>3360</v>
      </c>
      <c r="L105" s="32">
        <f t="shared" si="54"/>
        <v>2006.6666666666667</v>
      </c>
      <c r="M105" s="32">
        <f t="shared" si="54"/>
        <v>2006.6666666666667</v>
      </c>
      <c r="N105" s="32">
        <f t="shared" si="54"/>
        <v>2006.6666666666667</v>
      </c>
      <c r="O105" s="32">
        <f t="shared" si="54"/>
        <v>3360</v>
      </c>
      <c r="P105" s="32">
        <f t="shared" si="54"/>
        <v>2006.6666666666667</v>
      </c>
      <c r="Q105" s="32">
        <f t="shared" si="54"/>
        <v>2006.6666666666667</v>
      </c>
      <c r="R105" s="32">
        <f t="shared" si="54"/>
        <v>2006.6666666666667</v>
      </c>
      <c r="S105" s="32">
        <f t="shared" si="54"/>
        <v>3360</v>
      </c>
      <c r="T105" s="32">
        <f t="shared" si="54"/>
        <v>2006.6666666666667</v>
      </c>
      <c r="U105" s="32">
        <f t="shared" si="54"/>
        <v>2006.6666666666667</v>
      </c>
      <c r="V105" s="33">
        <f t="shared" si="54"/>
        <v>2006.6666666666667</v>
      </c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</row>
    <row r="106" spans="1:48" ht="11.25">
      <c r="A106" s="112">
        <v>2001</v>
      </c>
      <c r="B106" s="10">
        <f>H99-G99</f>
        <v>2</v>
      </c>
      <c r="C106" s="43"/>
      <c r="D106" s="32"/>
      <c r="E106" s="32"/>
      <c r="F106" s="32"/>
      <c r="G106" s="32"/>
      <c r="H106" s="32">
        <f>$B$106*C32</f>
        <v>960</v>
      </c>
      <c r="I106" s="32">
        <f>$B$106*D32</f>
        <v>573.3333333333334</v>
      </c>
      <c r="J106" s="32">
        <f aca="true" t="shared" si="55" ref="J106:V106">$B$106*E32</f>
        <v>573.3333333333334</v>
      </c>
      <c r="K106" s="32">
        <f t="shared" si="55"/>
        <v>573.3333333333334</v>
      </c>
      <c r="L106" s="32">
        <f t="shared" si="55"/>
        <v>960</v>
      </c>
      <c r="M106" s="32">
        <f t="shared" si="55"/>
        <v>573.3333333333334</v>
      </c>
      <c r="N106" s="32">
        <f t="shared" si="55"/>
        <v>573.3333333333334</v>
      </c>
      <c r="O106" s="32">
        <f t="shared" si="55"/>
        <v>573.3333333333334</v>
      </c>
      <c r="P106" s="32">
        <f t="shared" si="55"/>
        <v>960</v>
      </c>
      <c r="Q106" s="32">
        <f t="shared" si="55"/>
        <v>573.3333333333334</v>
      </c>
      <c r="R106" s="32">
        <f t="shared" si="55"/>
        <v>573.3333333333334</v>
      </c>
      <c r="S106" s="32">
        <f t="shared" si="55"/>
        <v>573.3333333333334</v>
      </c>
      <c r="T106" s="32">
        <f t="shared" si="55"/>
        <v>960</v>
      </c>
      <c r="U106" s="32">
        <f t="shared" si="55"/>
        <v>573.3333333333334</v>
      </c>
      <c r="V106" s="33">
        <f t="shared" si="55"/>
        <v>573.3333333333334</v>
      </c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</row>
    <row r="107" spans="1:48" ht="11.25">
      <c r="A107" s="112">
        <v>2002</v>
      </c>
      <c r="B107" s="10">
        <f>I99-H99</f>
        <v>1</v>
      </c>
      <c r="C107" s="43"/>
      <c r="D107" s="32"/>
      <c r="E107" s="32"/>
      <c r="F107" s="32"/>
      <c r="G107" s="32"/>
      <c r="H107" s="32"/>
      <c r="I107" s="32">
        <f>$B$107*C32</f>
        <v>480</v>
      </c>
      <c r="J107" s="32">
        <f aca="true" t="shared" si="56" ref="J107:V107">$B$107*D32</f>
        <v>286.6666666666667</v>
      </c>
      <c r="K107" s="32">
        <f t="shared" si="56"/>
        <v>286.6666666666667</v>
      </c>
      <c r="L107" s="32">
        <f t="shared" si="56"/>
        <v>286.6666666666667</v>
      </c>
      <c r="M107" s="32">
        <f t="shared" si="56"/>
        <v>480</v>
      </c>
      <c r="N107" s="32">
        <f t="shared" si="56"/>
        <v>286.6666666666667</v>
      </c>
      <c r="O107" s="32">
        <f t="shared" si="56"/>
        <v>286.6666666666667</v>
      </c>
      <c r="P107" s="32">
        <f t="shared" si="56"/>
        <v>286.6666666666667</v>
      </c>
      <c r="Q107" s="32">
        <f t="shared" si="56"/>
        <v>480</v>
      </c>
      <c r="R107" s="32">
        <f t="shared" si="56"/>
        <v>286.6666666666667</v>
      </c>
      <c r="S107" s="32">
        <f t="shared" si="56"/>
        <v>286.6666666666667</v>
      </c>
      <c r="T107" s="32">
        <f t="shared" si="56"/>
        <v>286.6666666666667</v>
      </c>
      <c r="U107" s="32">
        <f t="shared" si="56"/>
        <v>480</v>
      </c>
      <c r="V107" s="33">
        <f t="shared" si="56"/>
        <v>286.6666666666667</v>
      </c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</row>
    <row r="108" spans="1:48" ht="11.25">
      <c r="A108" s="112">
        <v>2003</v>
      </c>
      <c r="B108" s="10">
        <f>J99-I99</f>
        <v>0</v>
      </c>
      <c r="C108" s="43"/>
      <c r="D108" s="32"/>
      <c r="E108" s="32"/>
      <c r="F108" s="32"/>
      <c r="G108" s="32"/>
      <c r="H108" s="32"/>
      <c r="I108" s="32"/>
      <c r="J108" s="32">
        <f>$B$108*C32</f>
        <v>0</v>
      </c>
      <c r="K108" s="32">
        <f aca="true" t="shared" si="57" ref="K108:V108">$B$108*D32</f>
        <v>0</v>
      </c>
      <c r="L108" s="32">
        <f t="shared" si="57"/>
        <v>0</v>
      </c>
      <c r="M108" s="32">
        <f t="shared" si="57"/>
        <v>0</v>
      </c>
      <c r="N108" s="32">
        <f t="shared" si="57"/>
        <v>0</v>
      </c>
      <c r="O108" s="32">
        <f t="shared" si="57"/>
        <v>0</v>
      </c>
      <c r="P108" s="32">
        <f t="shared" si="57"/>
        <v>0</v>
      </c>
      <c r="Q108" s="32">
        <f t="shared" si="57"/>
        <v>0</v>
      </c>
      <c r="R108" s="32">
        <f t="shared" si="57"/>
        <v>0</v>
      </c>
      <c r="S108" s="32">
        <f t="shared" si="57"/>
        <v>0</v>
      </c>
      <c r="T108" s="32">
        <f t="shared" si="57"/>
        <v>0</v>
      </c>
      <c r="U108" s="32">
        <f t="shared" si="57"/>
        <v>0</v>
      </c>
      <c r="V108" s="33">
        <f t="shared" si="57"/>
        <v>0</v>
      </c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</row>
    <row r="109" spans="1:48" ht="11.25">
      <c r="A109" s="112">
        <v>2004</v>
      </c>
      <c r="B109" s="10">
        <f>K99-J99</f>
        <v>0</v>
      </c>
      <c r="C109" s="43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3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</row>
    <row r="110" spans="1:48" ht="11.25">
      <c r="A110" s="112">
        <v>2005</v>
      </c>
      <c r="B110" s="10">
        <f>L99-K99</f>
        <v>0</v>
      </c>
      <c r="C110" s="43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3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</row>
    <row r="111" spans="1:48" ht="11.25">
      <c r="A111" s="112">
        <v>2006</v>
      </c>
      <c r="B111" s="10">
        <f>M99-L99</f>
        <v>0</v>
      </c>
      <c r="C111" s="43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3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</row>
    <row r="112" spans="1:48" ht="11.25">
      <c r="A112" s="112">
        <v>2007</v>
      </c>
      <c r="B112" s="10">
        <f>N99-M99</f>
        <v>0</v>
      </c>
      <c r="C112" s="43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3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</row>
    <row r="113" spans="1:48" ht="11.25">
      <c r="A113" s="112">
        <v>2008</v>
      </c>
      <c r="B113" s="10">
        <f>O99-N99</f>
        <v>0</v>
      </c>
      <c r="C113" s="43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3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</row>
    <row r="114" spans="1:48" ht="11.25">
      <c r="A114" s="112">
        <v>2009</v>
      </c>
      <c r="B114" s="151">
        <f>P99-O99</f>
        <v>0</v>
      </c>
      <c r="C114" s="43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3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</row>
    <row r="115" spans="1:48" ht="11.25">
      <c r="A115" s="112">
        <v>2010</v>
      </c>
      <c r="B115" s="151">
        <f>Q99-P99</f>
        <v>0</v>
      </c>
      <c r="C115" s="43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3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</row>
    <row r="116" spans="1:48" ht="11.25">
      <c r="A116" s="112">
        <v>2011</v>
      </c>
      <c r="B116" s="151">
        <f>R99-Q99</f>
        <v>0</v>
      </c>
      <c r="C116" s="43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3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</row>
    <row r="117" spans="1:32" ht="11.25">
      <c r="A117" s="112">
        <v>2012</v>
      </c>
      <c r="B117" s="151">
        <f>S99-R99</f>
        <v>0</v>
      </c>
      <c r="C117" s="105"/>
      <c r="D117" s="13"/>
      <c r="E117" s="13"/>
      <c r="F117" s="13"/>
      <c r="G117" s="13"/>
      <c r="H117" s="13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3"/>
      <c r="W117" s="4"/>
      <c r="X117" s="4"/>
      <c r="Y117" s="4"/>
      <c r="Z117" s="4"/>
      <c r="AA117" s="4"/>
      <c r="AB117" s="4"/>
      <c r="AC117" s="4"/>
      <c r="AD117" s="4"/>
      <c r="AE117" s="4"/>
      <c r="AF117" s="4"/>
    </row>
    <row r="118" spans="1:32" ht="11.25">
      <c r="A118" s="112">
        <v>2013</v>
      </c>
      <c r="B118" s="151">
        <f>T99-S99</f>
        <v>0</v>
      </c>
      <c r="C118" s="105"/>
      <c r="D118" s="13"/>
      <c r="E118" s="13"/>
      <c r="F118" s="13"/>
      <c r="G118" s="13"/>
      <c r="H118" s="13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3"/>
      <c r="W118" s="4"/>
      <c r="X118" s="4"/>
      <c r="Y118" s="4"/>
      <c r="Z118" s="4"/>
      <c r="AA118" s="4"/>
      <c r="AB118" s="4"/>
      <c r="AC118" s="4"/>
      <c r="AD118" s="4"/>
      <c r="AE118" s="4"/>
      <c r="AF118" s="4"/>
    </row>
    <row r="119" spans="1:32" ht="11.25">
      <c r="A119" s="112">
        <v>2014</v>
      </c>
      <c r="B119" s="151">
        <f>U99-T99</f>
        <v>0</v>
      </c>
      <c r="C119" s="105"/>
      <c r="D119" s="13"/>
      <c r="E119" s="13"/>
      <c r="F119" s="13"/>
      <c r="G119" s="13"/>
      <c r="H119" s="13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3"/>
      <c r="W119" s="4"/>
      <c r="X119" s="4"/>
      <c r="Y119" s="4"/>
      <c r="Z119" s="4"/>
      <c r="AA119" s="4"/>
      <c r="AB119" s="4"/>
      <c r="AC119" s="4"/>
      <c r="AD119" s="4"/>
      <c r="AE119" s="4"/>
      <c r="AF119" s="4"/>
    </row>
    <row r="120" spans="1:32" ht="11.25">
      <c r="A120" s="112">
        <v>2015</v>
      </c>
      <c r="B120" s="151">
        <f>V99-U99</f>
        <v>0</v>
      </c>
      <c r="C120" s="105"/>
      <c r="D120" s="13"/>
      <c r="E120" s="13"/>
      <c r="F120" s="13"/>
      <c r="G120" s="13"/>
      <c r="H120" s="13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3"/>
      <c r="W120" s="4"/>
      <c r="X120" s="4"/>
      <c r="Y120" s="4"/>
      <c r="Z120" s="4"/>
      <c r="AA120" s="4"/>
      <c r="AB120" s="4"/>
      <c r="AC120" s="4"/>
      <c r="AD120" s="4"/>
      <c r="AE120" s="4"/>
      <c r="AF120" s="4"/>
    </row>
    <row r="121" spans="1:32" ht="11.25">
      <c r="A121" s="2" t="s">
        <v>143</v>
      </c>
      <c r="C121" s="43">
        <f>SUM(C101:C120)</f>
        <v>0</v>
      </c>
      <c r="D121" s="32">
        <f aca="true" t="shared" si="58" ref="D121:V121">SUM(D101:D120)</f>
        <v>0</v>
      </c>
      <c r="E121" s="32">
        <f t="shared" si="58"/>
        <v>614.4</v>
      </c>
      <c r="F121" s="32">
        <f t="shared" si="58"/>
        <v>3592.5333333333333</v>
      </c>
      <c r="G121" s="32">
        <f t="shared" si="58"/>
        <v>5653.333333333334</v>
      </c>
      <c r="H121" s="32">
        <f t="shared" si="58"/>
        <v>5260</v>
      </c>
      <c r="I121" s="32">
        <f t="shared" si="58"/>
        <v>5600.8</v>
      </c>
      <c r="J121" s="32">
        <f t="shared" si="58"/>
        <v>6459.2</v>
      </c>
      <c r="K121" s="32">
        <f t="shared" si="58"/>
        <v>6513.333333333334</v>
      </c>
      <c r="L121" s="32">
        <f t="shared" si="58"/>
        <v>5546.666666666667</v>
      </c>
      <c r="M121" s="32">
        <f t="shared" si="58"/>
        <v>5600.8</v>
      </c>
      <c r="N121" s="32">
        <f t="shared" si="58"/>
        <v>6459.2</v>
      </c>
      <c r="O121" s="32">
        <f t="shared" si="58"/>
        <v>6513.333333333334</v>
      </c>
      <c r="P121" s="32">
        <f t="shared" si="58"/>
        <v>5546.666666666667</v>
      </c>
      <c r="Q121" s="32">
        <f t="shared" si="58"/>
        <v>5600.8</v>
      </c>
      <c r="R121" s="32">
        <f t="shared" si="58"/>
        <v>6459.2</v>
      </c>
      <c r="S121" s="32">
        <f t="shared" si="58"/>
        <v>6513.333333333334</v>
      </c>
      <c r="T121" s="32">
        <f t="shared" si="58"/>
        <v>5546.666666666667</v>
      </c>
      <c r="U121" s="32">
        <f t="shared" si="58"/>
        <v>5600.8</v>
      </c>
      <c r="V121" s="33">
        <f t="shared" si="58"/>
        <v>6459.2</v>
      </c>
      <c r="W121" s="4"/>
      <c r="X121" s="4"/>
      <c r="Y121" s="4"/>
      <c r="Z121" s="4"/>
      <c r="AA121" s="4"/>
      <c r="AB121" s="4"/>
      <c r="AC121" s="4"/>
      <c r="AD121" s="4"/>
      <c r="AE121" s="4"/>
      <c r="AF121" s="4"/>
    </row>
    <row r="122" spans="1:22" s="4" customFormat="1" ht="11.25">
      <c r="A122" s="4" t="s">
        <v>144</v>
      </c>
      <c r="C122" s="43">
        <f>'Tai chinh'!C127/'Tai chinh'!C82</f>
        <v>0</v>
      </c>
      <c r="D122" s="32">
        <f>'Tai chinh'!D127/'Tai chinh'!D82</f>
        <v>0</v>
      </c>
      <c r="E122" s="32">
        <f>'Tai chinh'!E127/'Tai chinh'!E82</f>
        <v>0</v>
      </c>
      <c r="F122" s="32">
        <f>'Tai chinh'!F127/'Tai chinh'!F82</f>
        <v>745.6310679611651</v>
      </c>
      <c r="G122" s="32">
        <f>'Tai chinh'!G127/'Tai chinh'!G82</f>
        <v>4524.460363842021</v>
      </c>
      <c r="H122" s="32">
        <f>'Tai chinh'!H127/'Tai chinh'!H82</f>
        <v>8236.274934178438</v>
      </c>
      <c r="I122" s="32">
        <f>'Tai chinh'!I127/'Tai chinh'!I82</f>
        <v>9062.567888740026</v>
      </c>
      <c r="J122" s="32">
        <f>'Tai chinh'!J127/'Tai chinh'!J82</f>
        <v>9316.17487134897</v>
      </c>
      <c r="K122" s="32">
        <f>'Tai chinh'!K127/'Tai chinh'!K82</f>
        <v>9316.17487134897</v>
      </c>
      <c r="L122" s="32">
        <f>'Tai chinh'!L127/'Tai chinh'!L82</f>
        <v>9316.174871348969</v>
      </c>
      <c r="M122" s="32">
        <f>'Tai chinh'!M127/'Tai chinh'!M82</f>
        <v>9316.174871348969</v>
      </c>
      <c r="N122" s="32">
        <f>'Tai chinh'!N127/'Tai chinh'!N82</f>
        <v>9316.174871348969</v>
      </c>
      <c r="O122" s="32">
        <f>'Tai chinh'!O127/'Tai chinh'!O82</f>
        <v>9316.17487134897</v>
      </c>
      <c r="P122" s="32">
        <f>'Tai chinh'!P127/'Tai chinh'!P82</f>
        <v>9316.17487134897</v>
      </c>
      <c r="Q122" s="32">
        <f>'Tai chinh'!Q127/'Tai chinh'!Q82</f>
        <v>9316.17487134897</v>
      </c>
      <c r="R122" s="32">
        <f>'Tai chinh'!R127/'Tai chinh'!R82</f>
        <v>9316.174871348965</v>
      </c>
      <c r="S122" s="32">
        <f>'Tai chinh'!S127/'Tai chinh'!S82</f>
        <v>9316.17487134897</v>
      </c>
      <c r="T122" s="32">
        <f>'Tai chinh'!T127/'Tai chinh'!T82</f>
        <v>9316.17487134897</v>
      </c>
      <c r="U122" s="32">
        <f>'Tai chinh'!U127/'Tai chinh'!U82</f>
        <v>9316.174871348967</v>
      </c>
      <c r="V122" s="33">
        <f>'Tai chinh'!V127/'Tai chinh'!V82</f>
        <v>9316.174871348965</v>
      </c>
    </row>
    <row r="123" spans="1:32" ht="12" thickBot="1">
      <c r="A123" s="1" t="s">
        <v>145</v>
      </c>
      <c r="B123" s="1"/>
      <c r="C123" s="44">
        <f>C122-C121</f>
        <v>0</v>
      </c>
      <c r="D123" s="117">
        <f aca="true" t="shared" si="59" ref="D123:V123">D122-D121</f>
        <v>0</v>
      </c>
      <c r="E123" s="117">
        <f t="shared" si="59"/>
        <v>-614.4</v>
      </c>
      <c r="F123" s="117">
        <f t="shared" si="59"/>
        <v>-2846.902265372168</v>
      </c>
      <c r="G123" s="117">
        <f t="shared" si="59"/>
        <v>-1128.8729694913127</v>
      </c>
      <c r="H123" s="117">
        <f t="shared" si="59"/>
        <v>2976.2749341784383</v>
      </c>
      <c r="I123" s="117">
        <f t="shared" si="59"/>
        <v>3461.767888740026</v>
      </c>
      <c r="J123" s="117">
        <f t="shared" si="59"/>
        <v>2856.9748713489707</v>
      </c>
      <c r="K123" s="117">
        <f t="shared" si="59"/>
        <v>2802.8415380156366</v>
      </c>
      <c r="L123" s="117">
        <f t="shared" si="59"/>
        <v>3769.5082046823018</v>
      </c>
      <c r="M123" s="117">
        <f t="shared" si="59"/>
        <v>3715.3748713489686</v>
      </c>
      <c r="N123" s="117">
        <f t="shared" si="59"/>
        <v>2856.974871348969</v>
      </c>
      <c r="O123" s="117">
        <f t="shared" si="59"/>
        <v>2802.8415380156366</v>
      </c>
      <c r="P123" s="117">
        <f t="shared" si="59"/>
        <v>3769.5082046823036</v>
      </c>
      <c r="Q123" s="117">
        <f t="shared" si="59"/>
        <v>3715.3748713489704</v>
      </c>
      <c r="R123" s="117">
        <f t="shared" si="59"/>
        <v>2856.9748713489653</v>
      </c>
      <c r="S123" s="117">
        <f t="shared" si="59"/>
        <v>2802.8415380156366</v>
      </c>
      <c r="T123" s="117">
        <f t="shared" si="59"/>
        <v>3769.5082046823036</v>
      </c>
      <c r="U123" s="117">
        <f t="shared" si="59"/>
        <v>3715.3748713489667</v>
      </c>
      <c r="V123" s="45">
        <f t="shared" si="59"/>
        <v>2856.9748713489653</v>
      </c>
      <c r="W123" s="4"/>
      <c r="X123" s="4"/>
      <c r="Y123" s="4"/>
      <c r="Z123" s="4"/>
      <c r="AA123" s="4"/>
      <c r="AB123" s="4"/>
      <c r="AC123" s="4"/>
      <c r="AD123" s="4"/>
      <c r="AE123" s="4"/>
      <c r="AF123" s="4"/>
    </row>
    <row r="124" spans="9:32" ht="11.25"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</row>
    <row r="125" spans="2:32" ht="12" thickBot="1">
      <c r="B125" s="113" t="s">
        <v>192</v>
      </c>
      <c r="W125" s="4"/>
      <c r="X125" s="4"/>
      <c r="Y125" s="4"/>
      <c r="Z125" s="4"/>
      <c r="AA125" s="4"/>
      <c r="AB125" s="4"/>
      <c r="AC125" s="4"/>
      <c r="AD125" s="4"/>
      <c r="AE125" s="4"/>
      <c r="AF125" s="4"/>
    </row>
    <row r="126" spans="1:32" ht="11.25">
      <c r="A126" s="112">
        <v>1996</v>
      </c>
      <c r="B126" s="10">
        <f>B$101</f>
        <v>0</v>
      </c>
      <c r="C126" s="114">
        <f>$B126*C$47</f>
        <v>0</v>
      </c>
      <c r="D126" s="115">
        <f aca="true" t="shared" si="60" ref="D126:V126">$B126*D$47</f>
        <v>0</v>
      </c>
      <c r="E126" s="115">
        <f t="shared" si="60"/>
        <v>0</v>
      </c>
      <c r="F126" s="115">
        <f t="shared" si="60"/>
        <v>0</v>
      </c>
      <c r="G126" s="115">
        <f t="shared" si="60"/>
        <v>0</v>
      </c>
      <c r="H126" s="115">
        <f t="shared" si="60"/>
        <v>0</v>
      </c>
      <c r="I126" s="115">
        <f t="shared" si="60"/>
        <v>0</v>
      </c>
      <c r="J126" s="115">
        <f t="shared" si="60"/>
        <v>0</v>
      </c>
      <c r="K126" s="115">
        <f t="shared" si="60"/>
        <v>0</v>
      </c>
      <c r="L126" s="115">
        <f t="shared" si="60"/>
        <v>0</v>
      </c>
      <c r="M126" s="115">
        <f t="shared" si="60"/>
        <v>0</v>
      </c>
      <c r="N126" s="115">
        <f t="shared" si="60"/>
        <v>0</v>
      </c>
      <c r="O126" s="115">
        <f t="shared" si="60"/>
        <v>0</v>
      </c>
      <c r="P126" s="115">
        <f t="shared" si="60"/>
        <v>0</v>
      </c>
      <c r="Q126" s="115">
        <f t="shared" si="60"/>
        <v>0</v>
      </c>
      <c r="R126" s="115">
        <f t="shared" si="60"/>
        <v>0</v>
      </c>
      <c r="S126" s="115">
        <f t="shared" si="60"/>
        <v>0</v>
      </c>
      <c r="T126" s="115">
        <f t="shared" si="60"/>
        <v>0</v>
      </c>
      <c r="U126" s="115">
        <f t="shared" si="60"/>
        <v>0</v>
      </c>
      <c r="V126" s="116">
        <f t="shared" si="60"/>
        <v>0</v>
      </c>
      <c r="W126" s="4"/>
      <c r="X126" s="4"/>
      <c r="Y126" s="4"/>
      <c r="Z126" s="4"/>
      <c r="AA126" s="4"/>
      <c r="AB126" s="4"/>
      <c r="AC126" s="4"/>
      <c r="AD126" s="4"/>
      <c r="AE126" s="4"/>
      <c r="AF126" s="4"/>
    </row>
    <row r="127" spans="1:32" ht="11.25">
      <c r="A127" s="112">
        <v>1997</v>
      </c>
      <c r="B127" s="10">
        <f aca="true" t="shared" si="61" ref="B127:B145">B102</f>
        <v>0</v>
      </c>
      <c r="C127" s="43"/>
      <c r="D127" s="32">
        <f>$B127*C$47</f>
        <v>0</v>
      </c>
      <c r="E127" s="32">
        <f aca="true" t="shared" si="62" ref="E127:V127">$B127*D$47</f>
        <v>0</v>
      </c>
      <c r="F127" s="32">
        <f t="shared" si="62"/>
        <v>0</v>
      </c>
      <c r="G127" s="32">
        <f t="shared" si="62"/>
        <v>0</v>
      </c>
      <c r="H127" s="32">
        <f t="shared" si="62"/>
        <v>0</v>
      </c>
      <c r="I127" s="32">
        <f t="shared" si="62"/>
        <v>0</v>
      </c>
      <c r="J127" s="32">
        <f t="shared" si="62"/>
        <v>0</v>
      </c>
      <c r="K127" s="32">
        <f t="shared" si="62"/>
        <v>0</v>
      </c>
      <c r="L127" s="32">
        <f t="shared" si="62"/>
        <v>0</v>
      </c>
      <c r="M127" s="32">
        <f t="shared" si="62"/>
        <v>0</v>
      </c>
      <c r="N127" s="32">
        <f t="shared" si="62"/>
        <v>0</v>
      </c>
      <c r="O127" s="32">
        <f t="shared" si="62"/>
        <v>0</v>
      </c>
      <c r="P127" s="32">
        <f t="shared" si="62"/>
        <v>0</v>
      </c>
      <c r="Q127" s="32">
        <f t="shared" si="62"/>
        <v>0</v>
      </c>
      <c r="R127" s="32">
        <f t="shared" si="62"/>
        <v>0</v>
      </c>
      <c r="S127" s="32">
        <f t="shared" si="62"/>
        <v>0</v>
      </c>
      <c r="T127" s="32">
        <f t="shared" si="62"/>
        <v>0</v>
      </c>
      <c r="U127" s="32">
        <f t="shared" si="62"/>
        <v>0</v>
      </c>
      <c r="V127" s="33">
        <f t="shared" si="62"/>
        <v>0</v>
      </c>
      <c r="W127" s="4"/>
      <c r="X127" s="4"/>
      <c r="Y127" s="4"/>
      <c r="Z127" s="4"/>
      <c r="AA127" s="4"/>
      <c r="AB127" s="4"/>
      <c r="AC127" s="4"/>
      <c r="AD127" s="4"/>
      <c r="AE127" s="4"/>
      <c r="AF127" s="4"/>
    </row>
    <row r="128" spans="1:32" ht="11.25">
      <c r="A128" s="112">
        <v>1998</v>
      </c>
      <c r="B128" s="10">
        <f t="shared" si="61"/>
        <v>1.28</v>
      </c>
      <c r="C128" s="43"/>
      <c r="D128" s="32"/>
      <c r="E128" s="32">
        <f>$B128*C$47</f>
        <v>-972.8000000000001</v>
      </c>
      <c r="F128" s="32">
        <f aca="true" t="shared" si="63" ref="F128:V128">$B128*D$47</f>
        <v>550.4</v>
      </c>
      <c r="G128" s="32">
        <f t="shared" si="63"/>
        <v>849.0666666666667</v>
      </c>
      <c r="H128" s="32">
        <f t="shared" si="63"/>
        <v>-972.8000000000001</v>
      </c>
      <c r="I128" s="32">
        <f t="shared" si="63"/>
        <v>550.4</v>
      </c>
      <c r="J128" s="32">
        <f t="shared" si="63"/>
        <v>849.0666666666667</v>
      </c>
      <c r="K128" s="32">
        <f t="shared" si="63"/>
        <v>-972.8000000000001</v>
      </c>
      <c r="L128" s="32">
        <f t="shared" si="63"/>
        <v>550.4</v>
      </c>
      <c r="M128" s="32">
        <f t="shared" si="63"/>
        <v>849.0666666666667</v>
      </c>
      <c r="N128" s="32">
        <f t="shared" si="63"/>
        <v>-972.8000000000001</v>
      </c>
      <c r="O128" s="32">
        <f t="shared" si="63"/>
        <v>550.4</v>
      </c>
      <c r="P128" s="32">
        <f t="shared" si="63"/>
        <v>849.0666666666667</v>
      </c>
      <c r="Q128" s="32">
        <f t="shared" si="63"/>
        <v>-972.8000000000001</v>
      </c>
      <c r="R128" s="32">
        <f t="shared" si="63"/>
        <v>550.4</v>
      </c>
      <c r="S128" s="32">
        <f t="shared" si="63"/>
        <v>849.0666666666667</v>
      </c>
      <c r="T128" s="32">
        <f t="shared" si="63"/>
        <v>-972.8000000000001</v>
      </c>
      <c r="U128" s="32">
        <f t="shared" si="63"/>
        <v>550.4</v>
      </c>
      <c r="V128" s="33">
        <f t="shared" si="63"/>
        <v>849.0666666666667</v>
      </c>
      <c r="W128" s="4"/>
      <c r="X128" s="4"/>
      <c r="Y128" s="4"/>
      <c r="Z128" s="4"/>
      <c r="AA128" s="4"/>
      <c r="AB128" s="4"/>
      <c r="AC128" s="4"/>
      <c r="AD128" s="4"/>
      <c r="AE128" s="4"/>
      <c r="AF128" s="4"/>
    </row>
    <row r="129" spans="1:32" ht="11.25">
      <c r="A129" s="112">
        <v>1999</v>
      </c>
      <c r="B129" s="10">
        <f t="shared" si="61"/>
        <v>6.72</v>
      </c>
      <c r="C129" s="43"/>
      <c r="D129" s="32"/>
      <c r="E129" s="32"/>
      <c r="F129" s="32">
        <f>$B129*C$47</f>
        <v>-5107.2</v>
      </c>
      <c r="G129" s="32">
        <f aca="true" t="shared" si="64" ref="G129:V129">$B129*D$47</f>
        <v>2889.6</v>
      </c>
      <c r="H129" s="32">
        <f t="shared" si="64"/>
        <v>4457.6</v>
      </c>
      <c r="I129" s="32">
        <f t="shared" si="64"/>
        <v>-5107.2</v>
      </c>
      <c r="J129" s="32">
        <f t="shared" si="64"/>
        <v>2889.6</v>
      </c>
      <c r="K129" s="32">
        <f t="shared" si="64"/>
        <v>4457.6</v>
      </c>
      <c r="L129" s="32">
        <f t="shared" si="64"/>
        <v>-5107.2</v>
      </c>
      <c r="M129" s="32">
        <f t="shared" si="64"/>
        <v>2889.6</v>
      </c>
      <c r="N129" s="32">
        <f t="shared" si="64"/>
        <v>4457.6</v>
      </c>
      <c r="O129" s="32">
        <f t="shared" si="64"/>
        <v>-5107.2</v>
      </c>
      <c r="P129" s="32">
        <f t="shared" si="64"/>
        <v>2889.6</v>
      </c>
      <c r="Q129" s="32">
        <f t="shared" si="64"/>
        <v>4457.6</v>
      </c>
      <c r="R129" s="32">
        <f t="shared" si="64"/>
        <v>-5107.2</v>
      </c>
      <c r="S129" s="32">
        <f t="shared" si="64"/>
        <v>2889.6</v>
      </c>
      <c r="T129" s="32">
        <f t="shared" si="64"/>
        <v>4457.6</v>
      </c>
      <c r="U129" s="32">
        <f t="shared" si="64"/>
        <v>-5107.2</v>
      </c>
      <c r="V129" s="33">
        <f t="shared" si="64"/>
        <v>2889.6</v>
      </c>
      <c r="W129" s="4"/>
      <c r="X129" s="4"/>
      <c r="Y129" s="4"/>
      <c r="Z129" s="4"/>
      <c r="AA129" s="4"/>
      <c r="AB129" s="4"/>
      <c r="AC129" s="4"/>
      <c r="AD129" s="4"/>
      <c r="AE129" s="4"/>
      <c r="AF129" s="4"/>
    </row>
    <row r="130" spans="1:32" ht="11.25">
      <c r="A130" s="112">
        <v>2000</v>
      </c>
      <c r="B130" s="10">
        <f t="shared" si="61"/>
        <v>7</v>
      </c>
      <c r="C130" s="43"/>
      <c r="D130" s="32"/>
      <c r="E130" s="32"/>
      <c r="F130" s="32"/>
      <c r="G130" s="32">
        <f>$B130*C$47</f>
        <v>-5320</v>
      </c>
      <c r="H130" s="32">
        <f aca="true" t="shared" si="65" ref="H130:V130">$B130*D$47</f>
        <v>3010</v>
      </c>
      <c r="I130" s="32">
        <f t="shared" si="65"/>
        <v>4643.333333333334</v>
      </c>
      <c r="J130" s="32">
        <f t="shared" si="65"/>
        <v>-5320</v>
      </c>
      <c r="K130" s="32">
        <f t="shared" si="65"/>
        <v>3010</v>
      </c>
      <c r="L130" s="32">
        <f t="shared" si="65"/>
        <v>4643.333333333334</v>
      </c>
      <c r="M130" s="32">
        <f t="shared" si="65"/>
        <v>-5320</v>
      </c>
      <c r="N130" s="32">
        <f t="shared" si="65"/>
        <v>3010</v>
      </c>
      <c r="O130" s="32">
        <f t="shared" si="65"/>
        <v>4643.333333333334</v>
      </c>
      <c r="P130" s="32">
        <f t="shared" si="65"/>
        <v>-5320</v>
      </c>
      <c r="Q130" s="32">
        <f t="shared" si="65"/>
        <v>3010</v>
      </c>
      <c r="R130" s="32">
        <f t="shared" si="65"/>
        <v>4643.333333333334</v>
      </c>
      <c r="S130" s="32">
        <f t="shared" si="65"/>
        <v>-5320</v>
      </c>
      <c r="T130" s="32">
        <f t="shared" si="65"/>
        <v>3010</v>
      </c>
      <c r="U130" s="32">
        <f t="shared" si="65"/>
        <v>4643.333333333334</v>
      </c>
      <c r="V130" s="33">
        <f t="shared" si="65"/>
        <v>-5320</v>
      </c>
      <c r="W130" s="4"/>
      <c r="X130" s="4"/>
      <c r="Y130" s="4"/>
      <c r="Z130" s="4"/>
      <c r="AA130" s="4"/>
      <c r="AB130" s="4"/>
      <c r="AC130" s="4"/>
      <c r="AD130" s="4"/>
      <c r="AE130" s="4"/>
      <c r="AF130" s="4"/>
    </row>
    <row r="131" spans="1:32" ht="11.25">
      <c r="A131" s="112">
        <v>2001</v>
      </c>
      <c r="B131" s="10">
        <f t="shared" si="61"/>
        <v>2</v>
      </c>
      <c r="C131" s="43"/>
      <c r="D131" s="32"/>
      <c r="E131" s="32"/>
      <c r="F131" s="32"/>
      <c r="G131" s="32"/>
      <c r="H131" s="32">
        <f>$B131*C$47</f>
        <v>-1520</v>
      </c>
      <c r="I131" s="32">
        <f aca="true" t="shared" si="66" ref="I131:V131">$B131*D$47</f>
        <v>860</v>
      </c>
      <c r="J131" s="32">
        <f t="shared" si="66"/>
        <v>1326.6666666666667</v>
      </c>
      <c r="K131" s="32">
        <f t="shared" si="66"/>
        <v>-1520</v>
      </c>
      <c r="L131" s="32">
        <f t="shared" si="66"/>
        <v>860</v>
      </c>
      <c r="M131" s="32">
        <f t="shared" si="66"/>
        <v>1326.6666666666667</v>
      </c>
      <c r="N131" s="32">
        <f t="shared" si="66"/>
        <v>-1520</v>
      </c>
      <c r="O131" s="32">
        <f t="shared" si="66"/>
        <v>860</v>
      </c>
      <c r="P131" s="32">
        <f t="shared" si="66"/>
        <v>1326.6666666666667</v>
      </c>
      <c r="Q131" s="32">
        <f t="shared" si="66"/>
        <v>-1520</v>
      </c>
      <c r="R131" s="32">
        <f t="shared" si="66"/>
        <v>860</v>
      </c>
      <c r="S131" s="32">
        <f t="shared" si="66"/>
        <v>1326.6666666666667</v>
      </c>
      <c r="T131" s="32">
        <f t="shared" si="66"/>
        <v>-1520</v>
      </c>
      <c r="U131" s="32">
        <f t="shared" si="66"/>
        <v>860</v>
      </c>
      <c r="V131" s="33">
        <f t="shared" si="66"/>
        <v>1326.6666666666667</v>
      </c>
      <c r="W131" s="4"/>
      <c r="X131" s="4"/>
      <c r="Y131" s="4"/>
      <c r="Z131" s="4"/>
      <c r="AA131" s="4"/>
      <c r="AB131" s="4"/>
      <c r="AC131" s="4"/>
      <c r="AD131" s="4"/>
      <c r="AE131" s="4"/>
      <c r="AF131" s="4"/>
    </row>
    <row r="132" spans="1:32" ht="11.25">
      <c r="A132" s="112">
        <v>2002</v>
      </c>
      <c r="B132" s="10">
        <f t="shared" si="61"/>
        <v>1</v>
      </c>
      <c r="C132" s="43"/>
      <c r="D132" s="32"/>
      <c r="E132" s="32"/>
      <c r="F132" s="32"/>
      <c r="G132" s="32"/>
      <c r="H132" s="32"/>
      <c r="I132" s="32">
        <f>$B132*C$47</f>
        <v>-760</v>
      </c>
      <c r="J132" s="32">
        <f aca="true" t="shared" si="67" ref="J132:V132">$B132*D$47</f>
        <v>430</v>
      </c>
      <c r="K132" s="32">
        <f t="shared" si="67"/>
        <v>663.3333333333334</v>
      </c>
      <c r="L132" s="32">
        <f t="shared" si="67"/>
        <v>-760</v>
      </c>
      <c r="M132" s="32">
        <f t="shared" si="67"/>
        <v>430</v>
      </c>
      <c r="N132" s="32">
        <f t="shared" si="67"/>
        <v>663.3333333333334</v>
      </c>
      <c r="O132" s="32">
        <f t="shared" si="67"/>
        <v>-760</v>
      </c>
      <c r="P132" s="32">
        <f t="shared" si="67"/>
        <v>430</v>
      </c>
      <c r="Q132" s="32">
        <f t="shared" si="67"/>
        <v>663.3333333333334</v>
      </c>
      <c r="R132" s="32">
        <f t="shared" si="67"/>
        <v>-760</v>
      </c>
      <c r="S132" s="32">
        <f t="shared" si="67"/>
        <v>430</v>
      </c>
      <c r="T132" s="32">
        <f t="shared" si="67"/>
        <v>663.3333333333334</v>
      </c>
      <c r="U132" s="32">
        <f t="shared" si="67"/>
        <v>-760</v>
      </c>
      <c r="V132" s="33">
        <f t="shared" si="67"/>
        <v>430</v>
      </c>
      <c r="W132" s="4"/>
      <c r="X132" s="4"/>
      <c r="Y132" s="4"/>
      <c r="Z132" s="4"/>
      <c r="AA132" s="4"/>
      <c r="AB132" s="4"/>
      <c r="AC132" s="4"/>
      <c r="AD132" s="4"/>
      <c r="AE132" s="4"/>
      <c r="AF132" s="4"/>
    </row>
    <row r="133" spans="1:32" ht="11.25">
      <c r="A133" s="112">
        <v>2003</v>
      </c>
      <c r="B133" s="10">
        <f t="shared" si="61"/>
        <v>0</v>
      </c>
      <c r="C133" s="43"/>
      <c r="D133" s="32"/>
      <c r="E133" s="32"/>
      <c r="F133" s="32"/>
      <c r="G133" s="32"/>
      <c r="H133" s="32"/>
      <c r="I133" s="32"/>
      <c r="J133" s="32">
        <f>$B133*C$47</f>
        <v>0</v>
      </c>
      <c r="K133" s="32">
        <f aca="true" t="shared" si="68" ref="K133:V133">$B133*D$47</f>
        <v>0</v>
      </c>
      <c r="L133" s="32">
        <f t="shared" si="68"/>
        <v>0</v>
      </c>
      <c r="M133" s="32">
        <f t="shared" si="68"/>
        <v>0</v>
      </c>
      <c r="N133" s="32">
        <f t="shared" si="68"/>
        <v>0</v>
      </c>
      <c r="O133" s="32">
        <f t="shared" si="68"/>
        <v>0</v>
      </c>
      <c r="P133" s="32">
        <f t="shared" si="68"/>
        <v>0</v>
      </c>
      <c r="Q133" s="32">
        <f t="shared" si="68"/>
        <v>0</v>
      </c>
      <c r="R133" s="32">
        <f t="shared" si="68"/>
        <v>0</v>
      </c>
      <c r="S133" s="32">
        <f t="shared" si="68"/>
        <v>0</v>
      </c>
      <c r="T133" s="32">
        <f t="shared" si="68"/>
        <v>0</v>
      </c>
      <c r="U133" s="32">
        <f t="shared" si="68"/>
        <v>0</v>
      </c>
      <c r="V133" s="33">
        <f t="shared" si="68"/>
        <v>0</v>
      </c>
      <c r="W133" s="4"/>
      <c r="X133" s="4"/>
      <c r="Y133" s="4"/>
      <c r="Z133" s="4"/>
      <c r="AA133" s="4"/>
      <c r="AB133" s="4"/>
      <c r="AC133" s="4"/>
      <c r="AD133" s="4"/>
      <c r="AE133" s="4"/>
      <c r="AF133" s="4"/>
    </row>
    <row r="134" spans="1:32" ht="11.25">
      <c r="A134" s="112">
        <v>2004</v>
      </c>
      <c r="B134" s="10">
        <f t="shared" si="61"/>
        <v>0</v>
      </c>
      <c r="C134" s="43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3"/>
      <c r="W134" s="4"/>
      <c r="X134" s="4"/>
      <c r="Y134" s="4"/>
      <c r="Z134" s="4"/>
      <c r="AA134" s="4"/>
      <c r="AB134" s="4"/>
      <c r="AC134" s="4"/>
      <c r="AD134" s="4"/>
      <c r="AE134" s="4"/>
      <c r="AF134" s="4"/>
    </row>
    <row r="135" spans="1:32" ht="11.25">
      <c r="A135" s="112">
        <v>2005</v>
      </c>
      <c r="B135" s="10">
        <f t="shared" si="61"/>
        <v>0</v>
      </c>
      <c r="C135" s="43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3"/>
      <c r="W135" s="4"/>
      <c r="X135" s="4"/>
      <c r="Y135" s="4"/>
      <c r="Z135" s="4"/>
      <c r="AA135" s="4"/>
      <c r="AB135" s="4"/>
      <c r="AC135" s="4"/>
      <c r="AD135" s="4"/>
      <c r="AE135" s="4"/>
      <c r="AF135" s="4"/>
    </row>
    <row r="136" spans="1:32" ht="11.25">
      <c r="A136" s="112">
        <v>2006</v>
      </c>
      <c r="B136" s="10">
        <f t="shared" si="61"/>
        <v>0</v>
      </c>
      <c r="C136" s="43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3"/>
      <c r="W136" s="4"/>
      <c r="X136" s="4"/>
      <c r="Y136" s="4"/>
      <c r="Z136" s="4"/>
      <c r="AA136" s="4"/>
      <c r="AB136" s="4"/>
      <c r="AC136" s="4"/>
      <c r="AD136" s="4"/>
      <c r="AE136" s="4"/>
      <c r="AF136" s="4"/>
    </row>
    <row r="137" spans="1:32" ht="11.25">
      <c r="A137" s="112">
        <v>2007</v>
      </c>
      <c r="B137" s="10">
        <f t="shared" si="61"/>
        <v>0</v>
      </c>
      <c r="C137" s="43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3"/>
      <c r="W137" s="4"/>
      <c r="X137" s="4"/>
      <c r="Y137" s="4"/>
      <c r="Z137" s="4"/>
      <c r="AA137" s="4"/>
      <c r="AB137" s="4"/>
      <c r="AC137" s="4"/>
      <c r="AD137" s="4"/>
      <c r="AE137" s="4"/>
      <c r="AF137" s="4"/>
    </row>
    <row r="138" spans="1:32" ht="11.25">
      <c r="A138" s="112">
        <v>2008</v>
      </c>
      <c r="B138" s="10">
        <f t="shared" si="61"/>
        <v>0</v>
      </c>
      <c r="C138" s="43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3"/>
      <c r="W138" s="4"/>
      <c r="X138" s="4"/>
      <c r="Y138" s="4"/>
      <c r="Z138" s="4"/>
      <c r="AA138" s="4"/>
      <c r="AB138" s="4"/>
      <c r="AC138" s="4"/>
      <c r="AD138" s="4"/>
      <c r="AE138" s="4"/>
      <c r="AF138" s="4"/>
    </row>
    <row r="139" spans="1:32" ht="11.25">
      <c r="A139" s="112">
        <v>2009</v>
      </c>
      <c r="B139" s="10">
        <f t="shared" si="61"/>
        <v>0</v>
      </c>
      <c r="C139" s="43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3"/>
      <c r="W139" s="4"/>
      <c r="X139" s="4"/>
      <c r="Y139" s="4"/>
      <c r="Z139" s="4"/>
      <c r="AA139" s="4"/>
      <c r="AB139" s="4"/>
      <c r="AC139" s="4"/>
      <c r="AD139" s="4"/>
      <c r="AE139" s="4"/>
      <c r="AF139" s="4"/>
    </row>
    <row r="140" spans="1:32" ht="11.25">
      <c r="A140" s="112">
        <v>2010</v>
      </c>
      <c r="B140" s="10">
        <f t="shared" si="61"/>
        <v>0</v>
      </c>
      <c r="C140" s="43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3"/>
      <c r="W140" s="4"/>
      <c r="X140" s="4"/>
      <c r="Y140" s="4"/>
      <c r="Z140" s="4"/>
      <c r="AA140" s="4"/>
      <c r="AB140" s="4"/>
      <c r="AC140" s="4"/>
      <c r="AD140" s="4"/>
      <c r="AE140" s="4"/>
      <c r="AF140" s="4"/>
    </row>
    <row r="141" spans="1:32" ht="11.25">
      <c r="A141" s="112">
        <v>2011</v>
      </c>
      <c r="B141" s="10">
        <f t="shared" si="61"/>
        <v>0</v>
      </c>
      <c r="C141" s="43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3"/>
      <c r="W141" s="4"/>
      <c r="X141" s="4"/>
      <c r="Y141" s="4"/>
      <c r="Z141" s="4"/>
      <c r="AA141" s="4"/>
      <c r="AB141" s="4"/>
      <c r="AC141" s="4"/>
      <c r="AD141" s="4"/>
      <c r="AE141" s="4"/>
      <c r="AF141" s="4"/>
    </row>
    <row r="142" spans="1:32" ht="11.25">
      <c r="A142" s="112">
        <v>2012</v>
      </c>
      <c r="B142" s="10">
        <f t="shared" si="61"/>
        <v>0</v>
      </c>
      <c r="C142" s="105"/>
      <c r="D142" s="13"/>
      <c r="E142" s="13"/>
      <c r="F142" s="13"/>
      <c r="G142" s="13"/>
      <c r="H142" s="13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3"/>
      <c r="W142" s="4"/>
      <c r="X142" s="4"/>
      <c r="Y142" s="4"/>
      <c r="Z142" s="4"/>
      <c r="AA142" s="4"/>
      <c r="AB142" s="4"/>
      <c r="AC142" s="4"/>
      <c r="AD142" s="4"/>
      <c r="AE142" s="4"/>
      <c r="AF142" s="4"/>
    </row>
    <row r="143" spans="1:32" ht="11.25">
      <c r="A143" s="112">
        <v>2013</v>
      </c>
      <c r="B143" s="10">
        <f t="shared" si="61"/>
        <v>0</v>
      </c>
      <c r="C143" s="105"/>
      <c r="D143" s="13"/>
      <c r="E143" s="13"/>
      <c r="F143" s="13"/>
      <c r="G143" s="13"/>
      <c r="H143" s="13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3"/>
      <c r="W143" s="4"/>
      <c r="X143" s="4"/>
      <c r="Y143" s="4"/>
      <c r="Z143" s="4"/>
      <c r="AA143" s="4"/>
      <c r="AB143" s="4"/>
      <c r="AC143" s="4"/>
      <c r="AD143" s="4"/>
      <c r="AE143" s="4"/>
      <c r="AF143" s="4"/>
    </row>
    <row r="144" spans="1:32" ht="11.25">
      <c r="A144" s="112">
        <v>2014</v>
      </c>
      <c r="B144" s="10">
        <f t="shared" si="61"/>
        <v>0</v>
      </c>
      <c r="C144" s="105"/>
      <c r="D144" s="13"/>
      <c r="E144" s="13"/>
      <c r="F144" s="13"/>
      <c r="G144" s="13"/>
      <c r="H144" s="13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3"/>
      <c r="W144" s="4"/>
      <c r="X144" s="4"/>
      <c r="Y144" s="4"/>
      <c r="Z144" s="4"/>
      <c r="AA144" s="4"/>
      <c r="AB144" s="4"/>
      <c r="AC144" s="4"/>
      <c r="AD144" s="4"/>
      <c r="AE144" s="4"/>
      <c r="AF144" s="4"/>
    </row>
    <row r="145" spans="1:32" ht="11.25">
      <c r="A145" s="112">
        <v>2015</v>
      </c>
      <c r="B145" s="10">
        <f t="shared" si="61"/>
        <v>0</v>
      </c>
      <c r="C145" s="105"/>
      <c r="D145" s="13"/>
      <c r="E145" s="13"/>
      <c r="F145" s="13"/>
      <c r="G145" s="13"/>
      <c r="H145" s="13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3"/>
      <c r="W145" s="4"/>
      <c r="X145" s="4"/>
      <c r="Y145" s="4"/>
      <c r="Z145" s="4"/>
      <c r="AA145" s="4"/>
      <c r="AB145" s="4"/>
      <c r="AC145" s="4"/>
      <c r="AD145" s="4"/>
      <c r="AE145" s="4"/>
      <c r="AF145" s="4"/>
    </row>
    <row r="146" spans="1:32" ht="12" thickBot="1">
      <c r="A146" s="1" t="s">
        <v>301</v>
      </c>
      <c r="C146" s="44">
        <f>SUM(C126:C145)</f>
        <v>0</v>
      </c>
      <c r="D146" s="117">
        <f aca="true" t="shared" si="69" ref="D146:V146">SUM(D126:D145)</f>
        <v>0</v>
      </c>
      <c r="E146" s="117">
        <f t="shared" si="69"/>
        <v>-972.8000000000001</v>
      </c>
      <c r="F146" s="117">
        <f t="shared" si="69"/>
        <v>-4556.8</v>
      </c>
      <c r="G146" s="117">
        <f t="shared" si="69"/>
        <v>-1581.3333333333335</v>
      </c>
      <c r="H146" s="117">
        <f t="shared" si="69"/>
        <v>4974.8</v>
      </c>
      <c r="I146" s="117">
        <f t="shared" si="69"/>
        <v>186.53333333333376</v>
      </c>
      <c r="J146" s="117">
        <f t="shared" si="69"/>
        <v>175.33333333333326</v>
      </c>
      <c r="K146" s="117">
        <f t="shared" si="69"/>
        <v>5638.133333333333</v>
      </c>
      <c r="L146" s="117">
        <f t="shared" si="69"/>
        <v>186.53333333333376</v>
      </c>
      <c r="M146" s="117">
        <f t="shared" si="69"/>
        <v>175.33333333333326</v>
      </c>
      <c r="N146" s="117">
        <f t="shared" si="69"/>
        <v>5638.133333333333</v>
      </c>
      <c r="O146" s="117">
        <f t="shared" si="69"/>
        <v>186.53333333333376</v>
      </c>
      <c r="P146" s="117">
        <f t="shared" si="69"/>
        <v>175.33333333333326</v>
      </c>
      <c r="Q146" s="117">
        <f t="shared" si="69"/>
        <v>5638.133333333333</v>
      </c>
      <c r="R146" s="117">
        <f t="shared" si="69"/>
        <v>186.53333333333376</v>
      </c>
      <c r="S146" s="117">
        <f t="shared" si="69"/>
        <v>175.33333333333326</v>
      </c>
      <c r="T146" s="117">
        <f t="shared" si="69"/>
        <v>5638.133333333333</v>
      </c>
      <c r="U146" s="117">
        <f t="shared" si="69"/>
        <v>186.53333333333376</v>
      </c>
      <c r="V146" s="45">
        <f t="shared" si="69"/>
        <v>175.33333333333326</v>
      </c>
      <c r="W146" s="4"/>
      <c r="X146" s="4"/>
      <c r="Y146" s="4"/>
      <c r="Z146" s="4"/>
      <c r="AA146" s="4"/>
      <c r="AB146" s="4"/>
      <c r="AC146" s="4"/>
      <c r="AD146" s="4"/>
      <c r="AE146" s="4"/>
      <c r="AF146" s="4"/>
    </row>
    <row r="147" spans="9:32" ht="11.25"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</row>
    <row r="148" spans="2:32" ht="12" thickBot="1">
      <c r="B148" s="113" t="s">
        <v>193</v>
      </c>
      <c r="W148" s="4"/>
      <c r="X148" s="4"/>
      <c r="Y148" s="4"/>
      <c r="Z148" s="4"/>
      <c r="AA148" s="4"/>
      <c r="AB148" s="4"/>
      <c r="AC148" s="4"/>
      <c r="AD148" s="4"/>
      <c r="AE148" s="4"/>
      <c r="AF148" s="4"/>
    </row>
    <row r="149" spans="1:32" ht="11.25">
      <c r="A149" s="112">
        <v>1996</v>
      </c>
      <c r="B149" s="10">
        <f aca="true" t="shared" si="70" ref="B149:B168">B101</f>
        <v>0</v>
      </c>
      <c r="C149" s="114">
        <f>$B149*C$61</f>
        <v>0</v>
      </c>
      <c r="D149" s="115">
        <f aca="true" t="shared" si="71" ref="D149:V149">$B149*D$61</f>
        <v>0</v>
      </c>
      <c r="E149" s="115">
        <f t="shared" si="71"/>
        <v>0</v>
      </c>
      <c r="F149" s="115">
        <f t="shared" si="71"/>
        <v>0</v>
      </c>
      <c r="G149" s="115">
        <f t="shared" si="71"/>
        <v>0</v>
      </c>
      <c r="H149" s="115">
        <f t="shared" si="71"/>
        <v>0</v>
      </c>
      <c r="I149" s="115">
        <f t="shared" si="71"/>
        <v>0</v>
      </c>
      <c r="J149" s="115">
        <f t="shared" si="71"/>
        <v>0</v>
      </c>
      <c r="K149" s="115">
        <f t="shared" si="71"/>
        <v>0</v>
      </c>
      <c r="L149" s="115">
        <f t="shared" si="71"/>
        <v>0</v>
      </c>
      <c r="M149" s="115">
        <f t="shared" si="71"/>
        <v>0</v>
      </c>
      <c r="N149" s="115">
        <f t="shared" si="71"/>
        <v>0</v>
      </c>
      <c r="O149" s="115">
        <f t="shared" si="71"/>
        <v>0</v>
      </c>
      <c r="P149" s="115">
        <f t="shared" si="71"/>
        <v>0</v>
      </c>
      <c r="Q149" s="115">
        <f t="shared" si="71"/>
        <v>0</v>
      </c>
      <c r="R149" s="115">
        <f t="shared" si="71"/>
        <v>0</v>
      </c>
      <c r="S149" s="115">
        <f t="shared" si="71"/>
        <v>0</v>
      </c>
      <c r="T149" s="115">
        <f t="shared" si="71"/>
        <v>0</v>
      </c>
      <c r="U149" s="115">
        <f t="shared" si="71"/>
        <v>0</v>
      </c>
      <c r="V149" s="116">
        <f t="shared" si="71"/>
        <v>0</v>
      </c>
      <c r="W149" s="4"/>
      <c r="X149" s="4"/>
      <c r="Y149" s="4"/>
      <c r="Z149" s="4"/>
      <c r="AA149" s="4"/>
      <c r="AB149" s="4"/>
      <c r="AC149" s="4"/>
      <c r="AD149" s="4"/>
      <c r="AE149" s="4"/>
      <c r="AF149" s="4"/>
    </row>
    <row r="150" spans="1:32" ht="11.25">
      <c r="A150" s="112">
        <v>1997</v>
      </c>
      <c r="B150" s="10">
        <f t="shared" si="70"/>
        <v>0</v>
      </c>
      <c r="C150" s="43"/>
      <c r="D150" s="32">
        <f>$B150*C$61</f>
        <v>0</v>
      </c>
      <c r="E150" s="32">
        <f aca="true" t="shared" si="72" ref="E150:V150">$B150*D$61</f>
        <v>0</v>
      </c>
      <c r="F150" s="32">
        <f t="shared" si="72"/>
        <v>0</v>
      </c>
      <c r="G150" s="32">
        <f t="shared" si="72"/>
        <v>0</v>
      </c>
      <c r="H150" s="32">
        <f t="shared" si="72"/>
        <v>0</v>
      </c>
      <c r="I150" s="32">
        <f t="shared" si="72"/>
        <v>0</v>
      </c>
      <c r="J150" s="32">
        <f t="shared" si="72"/>
        <v>0</v>
      </c>
      <c r="K150" s="32">
        <f t="shared" si="72"/>
        <v>0</v>
      </c>
      <c r="L150" s="32">
        <f t="shared" si="72"/>
        <v>0</v>
      </c>
      <c r="M150" s="32">
        <f t="shared" si="72"/>
        <v>0</v>
      </c>
      <c r="N150" s="32">
        <f t="shared" si="72"/>
        <v>0</v>
      </c>
      <c r="O150" s="32">
        <f t="shared" si="72"/>
        <v>0</v>
      </c>
      <c r="P150" s="32">
        <f t="shared" si="72"/>
        <v>0</v>
      </c>
      <c r="Q150" s="32">
        <f t="shared" si="72"/>
        <v>0</v>
      </c>
      <c r="R150" s="32">
        <f t="shared" si="72"/>
        <v>0</v>
      </c>
      <c r="S150" s="32">
        <f t="shared" si="72"/>
        <v>0</v>
      </c>
      <c r="T150" s="32">
        <f t="shared" si="72"/>
        <v>0</v>
      </c>
      <c r="U150" s="32">
        <f t="shared" si="72"/>
        <v>0</v>
      </c>
      <c r="V150" s="33">
        <f t="shared" si="72"/>
        <v>0</v>
      </c>
      <c r="W150" s="4"/>
      <c r="X150" s="4"/>
      <c r="Y150" s="4"/>
      <c r="Z150" s="4"/>
      <c r="AA150" s="4"/>
      <c r="AB150" s="4"/>
      <c r="AC150" s="4"/>
      <c r="AD150" s="4"/>
      <c r="AE150" s="4"/>
      <c r="AF150" s="4"/>
    </row>
    <row r="151" spans="1:32" ht="11.25">
      <c r="A151" s="112">
        <v>1998</v>
      </c>
      <c r="B151" s="10">
        <f t="shared" si="70"/>
        <v>1.28</v>
      </c>
      <c r="C151" s="43"/>
      <c r="D151" s="32"/>
      <c r="E151" s="32">
        <f>$B151*C$61</f>
        <v>-1120</v>
      </c>
      <c r="F151" s="32">
        <f aca="true" t="shared" si="73" ref="F151:V151">$B151*D$61</f>
        <v>-654.9333333333334</v>
      </c>
      <c r="G151" s="32">
        <f t="shared" si="73"/>
        <v>-1124.2666666666667</v>
      </c>
      <c r="H151" s="32">
        <f t="shared" si="73"/>
        <v>582.4</v>
      </c>
      <c r="I151" s="32">
        <f t="shared" si="73"/>
        <v>582.4</v>
      </c>
      <c r="J151" s="32">
        <f t="shared" si="73"/>
        <v>582.4</v>
      </c>
      <c r="K151" s="32">
        <f t="shared" si="73"/>
        <v>582.4</v>
      </c>
      <c r="L151" s="32">
        <f t="shared" si="73"/>
        <v>582.4</v>
      </c>
      <c r="M151" s="32">
        <f t="shared" si="73"/>
        <v>582.4</v>
      </c>
      <c r="N151" s="32">
        <f t="shared" si="73"/>
        <v>582.4</v>
      </c>
      <c r="O151" s="32">
        <f t="shared" si="73"/>
        <v>-1120</v>
      </c>
      <c r="P151" s="32">
        <f t="shared" si="73"/>
        <v>-654.9333333333334</v>
      </c>
      <c r="Q151" s="32">
        <f t="shared" si="73"/>
        <v>-1124.2666666666667</v>
      </c>
      <c r="R151" s="32">
        <f t="shared" si="73"/>
        <v>582.4</v>
      </c>
      <c r="S151" s="32">
        <f t="shared" si="73"/>
        <v>582.4</v>
      </c>
      <c r="T151" s="32">
        <f t="shared" si="73"/>
        <v>582.4</v>
      </c>
      <c r="U151" s="32">
        <f t="shared" si="73"/>
        <v>582.4</v>
      </c>
      <c r="V151" s="33">
        <f t="shared" si="73"/>
        <v>582.4</v>
      </c>
      <c r="W151" s="4"/>
      <c r="X151" s="4"/>
      <c r="Y151" s="4"/>
      <c r="Z151" s="4"/>
      <c r="AA151" s="4"/>
      <c r="AB151" s="4"/>
      <c r="AC151" s="4"/>
      <c r="AD151" s="4"/>
      <c r="AE151" s="4"/>
      <c r="AF151" s="4"/>
    </row>
    <row r="152" spans="1:32" ht="11.25">
      <c r="A152" s="112">
        <v>1999</v>
      </c>
      <c r="B152" s="10">
        <f t="shared" si="70"/>
        <v>6.72</v>
      </c>
      <c r="C152" s="43"/>
      <c r="D152" s="32"/>
      <c r="E152" s="32"/>
      <c r="F152" s="32">
        <f>$B152*C$61</f>
        <v>-5880</v>
      </c>
      <c r="G152" s="32">
        <f aca="true" t="shared" si="74" ref="G152:V152">$B152*D$61</f>
        <v>-3438.4000000000005</v>
      </c>
      <c r="H152" s="32">
        <f t="shared" si="74"/>
        <v>-5902.4</v>
      </c>
      <c r="I152" s="32">
        <f t="shared" si="74"/>
        <v>3057.6</v>
      </c>
      <c r="J152" s="32">
        <f t="shared" si="74"/>
        <v>3057.6</v>
      </c>
      <c r="K152" s="32">
        <f t="shared" si="74"/>
        <v>3057.6</v>
      </c>
      <c r="L152" s="32">
        <f t="shared" si="74"/>
        <v>3057.6</v>
      </c>
      <c r="M152" s="32">
        <f t="shared" si="74"/>
        <v>3057.6</v>
      </c>
      <c r="N152" s="32">
        <f t="shared" si="74"/>
        <v>3057.6</v>
      </c>
      <c r="O152" s="32">
        <f t="shared" si="74"/>
        <v>3057.6</v>
      </c>
      <c r="P152" s="32">
        <f t="shared" si="74"/>
        <v>-5880</v>
      </c>
      <c r="Q152" s="32">
        <f t="shared" si="74"/>
        <v>-3438.4000000000005</v>
      </c>
      <c r="R152" s="32">
        <f t="shared" si="74"/>
        <v>-5902.4</v>
      </c>
      <c r="S152" s="32">
        <f t="shared" si="74"/>
        <v>3057.6</v>
      </c>
      <c r="T152" s="32">
        <f t="shared" si="74"/>
        <v>3057.6</v>
      </c>
      <c r="U152" s="32">
        <f t="shared" si="74"/>
        <v>3057.6</v>
      </c>
      <c r="V152" s="33">
        <f t="shared" si="74"/>
        <v>3057.6</v>
      </c>
      <c r="W152" s="4"/>
      <c r="X152" s="4"/>
      <c r="Y152" s="4"/>
      <c r="Z152" s="4"/>
      <c r="AA152" s="4"/>
      <c r="AB152" s="4"/>
      <c r="AC152" s="4"/>
      <c r="AD152" s="4"/>
      <c r="AE152" s="4"/>
      <c r="AF152" s="4"/>
    </row>
    <row r="153" spans="1:32" ht="11.25">
      <c r="A153" s="112">
        <v>2000</v>
      </c>
      <c r="B153" s="10">
        <f t="shared" si="70"/>
        <v>7</v>
      </c>
      <c r="C153" s="43"/>
      <c r="D153" s="32"/>
      <c r="E153" s="32"/>
      <c r="F153" s="32"/>
      <c r="G153" s="32">
        <f>$B153*C$61</f>
        <v>-6125</v>
      </c>
      <c r="H153" s="32">
        <f aca="true" t="shared" si="75" ref="H153:V153">$B153*D$61</f>
        <v>-3581.666666666667</v>
      </c>
      <c r="I153" s="32">
        <f t="shared" si="75"/>
        <v>-6148.333333333333</v>
      </c>
      <c r="J153" s="32">
        <f t="shared" si="75"/>
        <v>3185</v>
      </c>
      <c r="K153" s="32">
        <f t="shared" si="75"/>
        <v>3185</v>
      </c>
      <c r="L153" s="32">
        <f t="shared" si="75"/>
        <v>3185</v>
      </c>
      <c r="M153" s="32">
        <f t="shared" si="75"/>
        <v>3185</v>
      </c>
      <c r="N153" s="32">
        <f t="shared" si="75"/>
        <v>3185</v>
      </c>
      <c r="O153" s="32">
        <f t="shared" si="75"/>
        <v>3185</v>
      </c>
      <c r="P153" s="32">
        <f t="shared" si="75"/>
        <v>3185</v>
      </c>
      <c r="Q153" s="32">
        <f t="shared" si="75"/>
        <v>-6125</v>
      </c>
      <c r="R153" s="32">
        <f t="shared" si="75"/>
        <v>-3581.666666666667</v>
      </c>
      <c r="S153" s="32">
        <f t="shared" si="75"/>
        <v>-6148.333333333333</v>
      </c>
      <c r="T153" s="32">
        <f t="shared" si="75"/>
        <v>3185</v>
      </c>
      <c r="U153" s="32">
        <f t="shared" si="75"/>
        <v>3185</v>
      </c>
      <c r="V153" s="33">
        <f t="shared" si="75"/>
        <v>3185</v>
      </c>
      <c r="W153" s="4"/>
      <c r="X153" s="4"/>
      <c r="Y153" s="4"/>
      <c r="Z153" s="4"/>
      <c r="AA153" s="4"/>
      <c r="AB153" s="4"/>
      <c r="AC153" s="4"/>
      <c r="AD153" s="4"/>
      <c r="AE153" s="4"/>
      <c r="AF153" s="4"/>
    </row>
    <row r="154" spans="1:32" ht="11.25">
      <c r="A154" s="112">
        <v>2001</v>
      </c>
      <c r="B154" s="10">
        <f t="shared" si="70"/>
        <v>2</v>
      </c>
      <c r="C154" s="43"/>
      <c r="D154" s="32"/>
      <c r="E154" s="32"/>
      <c r="F154" s="32"/>
      <c r="G154" s="32"/>
      <c r="H154" s="32">
        <f>$B154*C$61</f>
        <v>-1750</v>
      </c>
      <c r="I154" s="32">
        <f aca="true" t="shared" si="76" ref="I154:V154">$B154*D$61</f>
        <v>-1023.3333333333335</v>
      </c>
      <c r="J154" s="32">
        <f t="shared" si="76"/>
        <v>-1756.6666666666665</v>
      </c>
      <c r="K154" s="32">
        <f t="shared" si="76"/>
        <v>910</v>
      </c>
      <c r="L154" s="32">
        <f t="shared" si="76"/>
        <v>910</v>
      </c>
      <c r="M154" s="32">
        <f t="shared" si="76"/>
        <v>910</v>
      </c>
      <c r="N154" s="32">
        <f t="shared" si="76"/>
        <v>910</v>
      </c>
      <c r="O154" s="32">
        <f t="shared" si="76"/>
        <v>910</v>
      </c>
      <c r="P154" s="32">
        <f t="shared" si="76"/>
        <v>910</v>
      </c>
      <c r="Q154" s="32">
        <f t="shared" si="76"/>
        <v>910</v>
      </c>
      <c r="R154" s="32">
        <f t="shared" si="76"/>
        <v>-1750</v>
      </c>
      <c r="S154" s="32">
        <f t="shared" si="76"/>
        <v>-1023.3333333333335</v>
      </c>
      <c r="T154" s="32">
        <f t="shared" si="76"/>
        <v>-1756.6666666666665</v>
      </c>
      <c r="U154" s="32">
        <f t="shared" si="76"/>
        <v>910</v>
      </c>
      <c r="V154" s="33">
        <f t="shared" si="76"/>
        <v>910</v>
      </c>
      <c r="W154" s="4"/>
      <c r="X154" s="4"/>
      <c r="Y154" s="4"/>
      <c r="Z154" s="4"/>
      <c r="AA154" s="4"/>
      <c r="AB154" s="4"/>
      <c r="AC154" s="4"/>
      <c r="AD154" s="4"/>
      <c r="AE154" s="4"/>
      <c r="AF154" s="4"/>
    </row>
    <row r="155" spans="1:32" ht="11.25">
      <c r="A155" s="112">
        <v>2002</v>
      </c>
      <c r="B155" s="10">
        <f t="shared" si="70"/>
        <v>1</v>
      </c>
      <c r="C155" s="43"/>
      <c r="D155" s="32"/>
      <c r="E155" s="32"/>
      <c r="F155" s="32"/>
      <c r="G155" s="32"/>
      <c r="H155" s="32"/>
      <c r="I155" s="32">
        <f>$B155*C$61</f>
        <v>-875</v>
      </c>
      <c r="J155" s="32">
        <f aca="true" t="shared" si="77" ref="J155:V155">$B155*D$61</f>
        <v>-511.66666666666674</v>
      </c>
      <c r="K155" s="32">
        <f t="shared" si="77"/>
        <v>-878.3333333333333</v>
      </c>
      <c r="L155" s="32">
        <f t="shared" si="77"/>
        <v>455</v>
      </c>
      <c r="M155" s="32">
        <f t="shared" si="77"/>
        <v>455</v>
      </c>
      <c r="N155" s="32">
        <f t="shared" si="77"/>
        <v>455</v>
      </c>
      <c r="O155" s="32">
        <f t="shared" si="77"/>
        <v>455</v>
      </c>
      <c r="P155" s="32">
        <f t="shared" si="77"/>
        <v>455</v>
      </c>
      <c r="Q155" s="32">
        <f t="shared" si="77"/>
        <v>455</v>
      </c>
      <c r="R155" s="32">
        <f t="shared" si="77"/>
        <v>455</v>
      </c>
      <c r="S155" s="32">
        <f t="shared" si="77"/>
        <v>-875</v>
      </c>
      <c r="T155" s="32">
        <f t="shared" si="77"/>
        <v>-511.66666666666674</v>
      </c>
      <c r="U155" s="32">
        <f t="shared" si="77"/>
        <v>-878.3333333333333</v>
      </c>
      <c r="V155" s="33">
        <f t="shared" si="77"/>
        <v>455</v>
      </c>
      <c r="W155" s="4"/>
      <c r="X155" s="4"/>
      <c r="Y155" s="4"/>
      <c r="Z155" s="4"/>
      <c r="AA155" s="4"/>
      <c r="AB155" s="4"/>
      <c r="AC155" s="4"/>
      <c r="AD155" s="4"/>
      <c r="AE155" s="4"/>
      <c r="AF155" s="4"/>
    </row>
    <row r="156" spans="1:32" ht="11.25">
      <c r="A156" s="112">
        <v>2003</v>
      </c>
      <c r="B156" s="10">
        <f t="shared" si="70"/>
        <v>0</v>
      </c>
      <c r="C156" s="43"/>
      <c r="D156" s="32"/>
      <c r="E156" s="32"/>
      <c r="F156" s="32"/>
      <c r="G156" s="32"/>
      <c r="H156" s="32"/>
      <c r="I156" s="32"/>
      <c r="J156" s="32">
        <f>$B156*C$61</f>
        <v>0</v>
      </c>
      <c r="K156" s="32">
        <f aca="true" t="shared" si="78" ref="K156:V156">$B156*D$61</f>
        <v>0</v>
      </c>
      <c r="L156" s="32">
        <f t="shared" si="78"/>
        <v>0</v>
      </c>
      <c r="M156" s="32">
        <f t="shared" si="78"/>
        <v>0</v>
      </c>
      <c r="N156" s="32">
        <f t="shared" si="78"/>
        <v>0</v>
      </c>
      <c r="O156" s="32">
        <f t="shared" si="78"/>
        <v>0</v>
      </c>
      <c r="P156" s="32">
        <f t="shared" si="78"/>
        <v>0</v>
      </c>
      <c r="Q156" s="32">
        <f t="shared" si="78"/>
        <v>0</v>
      </c>
      <c r="R156" s="32">
        <f t="shared" si="78"/>
        <v>0</v>
      </c>
      <c r="S156" s="32">
        <f t="shared" si="78"/>
        <v>0</v>
      </c>
      <c r="T156" s="32">
        <f t="shared" si="78"/>
        <v>0</v>
      </c>
      <c r="U156" s="32">
        <f t="shared" si="78"/>
        <v>0</v>
      </c>
      <c r="V156" s="33">
        <f t="shared" si="78"/>
        <v>0</v>
      </c>
      <c r="W156" s="4"/>
      <c r="X156" s="4"/>
      <c r="Y156" s="4"/>
      <c r="Z156" s="4"/>
      <c r="AA156" s="4"/>
      <c r="AB156" s="4"/>
      <c r="AC156" s="4"/>
      <c r="AD156" s="4"/>
      <c r="AE156" s="4"/>
      <c r="AF156" s="4"/>
    </row>
    <row r="157" spans="1:32" ht="11.25">
      <c r="A157" s="112">
        <v>2004</v>
      </c>
      <c r="B157" s="10">
        <f t="shared" si="70"/>
        <v>0</v>
      </c>
      <c r="C157" s="43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3"/>
      <c r="W157" s="4"/>
      <c r="X157" s="4"/>
      <c r="Y157" s="4"/>
      <c r="Z157" s="4"/>
      <c r="AA157" s="4"/>
      <c r="AB157" s="4"/>
      <c r="AC157" s="4"/>
      <c r="AD157" s="4"/>
      <c r="AE157" s="4"/>
      <c r="AF157" s="4"/>
    </row>
    <row r="158" spans="1:32" ht="11.25">
      <c r="A158" s="112">
        <v>2005</v>
      </c>
      <c r="B158" s="10">
        <f t="shared" si="70"/>
        <v>0</v>
      </c>
      <c r="C158" s="43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3"/>
      <c r="W158" s="4"/>
      <c r="X158" s="4"/>
      <c r="Y158" s="4"/>
      <c r="Z158" s="4"/>
      <c r="AA158" s="4"/>
      <c r="AB158" s="4"/>
      <c r="AC158" s="4"/>
      <c r="AD158" s="4"/>
      <c r="AE158" s="4"/>
      <c r="AF158" s="4"/>
    </row>
    <row r="159" spans="1:32" ht="11.25">
      <c r="A159" s="112">
        <v>2006</v>
      </c>
      <c r="B159" s="10">
        <f t="shared" si="70"/>
        <v>0</v>
      </c>
      <c r="C159" s="43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3"/>
      <c r="W159" s="4"/>
      <c r="X159" s="4"/>
      <c r="Y159" s="4"/>
      <c r="Z159" s="4"/>
      <c r="AA159" s="4"/>
      <c r="AB159" s="4"/>
      <c r="AC159" s="4"/>
      <c r="AD159" s="4"/>
      <c r="AE159" s="4"/>
      <c r="AF159" s="4"/>
    </row>
    <row r="160" spans="1:32" ht="11.25">
      <c r="A160" s="112">
        <v>2007</v>
      </c>
      <c r="B160" s="10">
        <f t="shared" si="70"/>
        <v>0</v>
      </c>
      <c r="C160" s="43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3"/>
      <c r="W160" s="4"/>
      <c r="X160" s="4"/>
      <c r="Y160" s="4"/>
      <c r="Z160" s="4"/>
      <c r="AA160" s="4"/>
      <c r="AB160" s="4"/>
      <c r="AC160" s="4"/>
      <c r="AD160" s="4"/>
      <c r="AE160" s="4"/>
      <c r="AF160" s="4"/>
    </row>
    <row r="161" spans="1:32" ht="11.25">
      <c r="A161" s="112">
        <v>2008</v>
      </c>
      <c r="B161" s="10">
        <f t="shared" si="70"/>
        <v>0</v>
      </c>
      <c r="C161" s="43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3"/>
      <c r="W161" s="4"/>
      <c r="X161" s="4"/>
      <c r="Y161" s="4"/>
      <c r="Z161" s="4"/>
      <c r="AA161" s="4"/>
      <c r="AB161" s="4"/>
      <c r="AC161" s="4"/>
      <c r="AD161" s="4"/>
      <c r="AE161" s="4"/>
      <c r="AF161" s="4"/>
    </row>
    <row r="162" spans="1:32" ht="11.25">
      <c r="A162" s="112">
        <v>2009</v>
      </c>
      <c r="B162" s="10">
        <f t="shared" si="70"/>
        <v>0</v>
      </c>
      <c r="C162" s="43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3"/>
      <c r="W162" s="4"/>
      <c r="X162" s="4"/>
      <c r="Y162" s="4"/>
      <c r="Z162" s="4"/>
      <c r="AA162" s="4"/>
      <c r="AB162" s="4"/>
      <c r="AC162" s="4"/>
      <c r="AD162" s="4"/>
      <c r="AE162" s="4"/>
      <c r="AF162" s="4"/>
    </row>
    <row r="163" spans="1:32" ht="11.25">
      <c r="A163" s="112">
        <v>2010</v>
      </c>
      <c r="B163" s="10">
        <f t="shared" si="70"/>
        <v>0</v>
      </c>
      <c r="C163" s="43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3"/>
      <c r="W163" s="4"/>
      <c r="X163" s="4"/>
      <c r="Y163" s="4"/>
      <c r="Z163" s="4"/>
      <c r="AA163" s="4"/>
      <c r="AB163" s="4"/>
      <c r="AC163" s="4"/>
      <c r="AD163" s="4"/>
      <c r="AE163" s="4"/>
      <c r="AF163" s="4"/>
    </row>
    <row r="164" spans="1:32" ht="11.25">
      <c r="A164" s="112">
        <v>2011</v>
      </c>
      <c r="B164" s="10">
        <f t="shared" si="70"/>
        <v>0</v>
      </c>
      <c r="C164" s="43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3"/>
      <c r="W164" s="4"/>
      <c r="X164" s="4"/>
      <c r="Y164" s="4"/>
      <c r="Z164" s="4"/>
      <c r="AA164" s="4"/>
      <c r="AB164" s="4"/>
      <c r="AC164" s="4"/>
      <c r="AD164" s="4"/>
      <c r="AE164" s="4"/>
      <c r="AF164" s="4"/>
    </row>
    <row r="165" spans="1:32" ht="11.25">
      <c r="A165" s="112">
        <v>2012</v>
      </c>
      <c r="B165" s="10">
        <f t="shared" si="70"/>
        <v>0</v>
      </c>
      <c r="C165" s="105"/>
      <c r="D165" s="13"/>
      <c r="E165" s="13"/>
      <c r="F165" s="13"/>
      <c r="G165" s="13"/>
      <c r="H165" s="13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3"/>
      <c r="W165" s="4"/>
      <c r="X165" s="4"/>
      <c r="Y165" s="4"/>
      <c r="Z165" s="4"/>
      <c r="AA165" s="4"/>
      <c r="AB165" s="4"/>
      <c r="AC165" s="4"/>
      <c r="AD165" s="4"/>
      <c r="AE165" s="4"/>
      <c r="AF165" s="4"/>
    </row>
    <row r="166" spans="1:32" ht="11.25">
      <c r="A166" s="112">
        <v>2013</v>
      </c>
      <c r="B166" s="10">
        <f t="shared" si="70"/>
        <v>0</v>
      </c>
      <c r="C166" s="105"/>
      <c r="D166" s="13"/>
      <c r="E166" s="13"/>
      <c r="F166" s="13"/>
      <c r="G166" s="13"/>
      <c r="H166" s="13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3"/>
      <c r="W166" s="4"/>
      <c r="X166" s="4"/>
      <c r="Y166" s="4"/>
      <c r="Z166" s="4"/>
      <c r="AA166" s="4"/>
      <c r="AB166" s="4"/>
      <c r="AC166" s="4"/>
      <c r="AD166" s="4"/>
      <c r="AE166" s="4"/>
      <c r="AF166" s="4"/>
    </row>
    <row r="167" spans="1:32" ht="11.25">
      <c r="A167" s="112">
        <v>2014</v>
      </c>
      <c r="B167" s="10">
        <f t="shared" si="70"/>
        <v>0</v>
      </c>
      <c r="C167" s="105"/>
      <c r="D167" s="13"/>
      <c r="E167" s="13"/>
      <c r="F167" s="13"/>
      <c r="G167" s="13"/>
      <c r="H167" s="13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3"/>
      <c r="W167" s="4"/>
      <c r="X167" s="4"/>
      <c r="Y167" s="4"/>
      <c r="Z167" s="4"/>
      <c r="AA167" s="4"/>
      <c r="AB167" s="4"/>
      <c r="AC167" s="4"/>
      <c r="AD167" s="4"/>
      <c r="AE167" s="4"/>
      <c r="AF167" s="4"/>
    </row>
    <row r="168" spans="1:32" ht="11.25">
      <c r="A168" s="112">
        <v>2015</v>
      </c>
      <c r="B168" s="10">
        <f t="shared" si="70"/>
        <v>0</v>
      </c>
      <c r="C168" s="105"/>
      <c r="D168" s="13"/>
      <c r="E168" s="13"/>
      <c r="F168" s="13"/>
      <c r="G168" s="13"/>
      <c r="H168" s="13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3"/>
      <c r="W168" s="4"/>
      <c r="X168" s="4"/>
      <c r="Y168" s="4"/>
      <c r="Z168" s="4"/>
      <c r="AA168" s="4"/>
      <c r="AB168" s="4"/>
      <c r="AC168" s="4"/>
      <c r="AD168" s="4"/>
      <c r="AE168" s="4"/>
      <c r="AF168" s="4"/>
    </row>
    <row r="169" spans="1:32" ht="12" thickBot="1">
      <c r="A169" s="1" t="s">
        <v>302</v>
      </c>
      <c r="C169" s="44">
        <f>SUM(C149:C168)</f>
        <v>0</v>
      </c>
      <c r="D169" s="117">
        <f aca="true" t="shared" si="79" ref="D169:V169">SUM(D149:D168)</f>
        <v>0</v>
      </c>
      <c r="E169" s="117">
        <f t="shared" si="79"/>
        <v>-1120</v>
      </c>
      <c r="F169" s="117">
        <f t="shared" si="79"/>
        <v>-6534.933333333333</v>
      </c>
      <c r="G169" s="117">
        <f t="shared" si="79"/>
        <v>-10687.666666666668</v>
      </c>
      <c r="H169" s="117">
        <f t="shared" si="79"/>
        <v>-10651.666666666668</v>
      </c>
      <c r="I169" s="117">
        <f t="shared" si="79"/>
        <v>-4406.666666666666</v>
      </c>
      <c r="J169" s="117">
        <f t="shared" si="79"/>
        <v>4556.666666666667</v>
      </c>
      <c r="K169" s="117">
        <f t="shared" si="79"/>
        <v>6856.666666666667</v>
      </c>
      <c r="L169" s="117">
        <f t="shared" si="79"/>
        <v>8190</v>
      </c>
      <c r="M169" s="117">
        <f t="shared" si="79"/>
        <v>8190</v>
      </c>
      <c r="N169" s="117">
        <f t="shared" si="79"/>
        <v>8190</v>
      </c>
      <c r="O169" s="117">
        <f t="shared" si="79"/>
        <v>6487.6</v>
      </c>
      <c r="P169" s="117">
        <f t="shared" si="79"/>
        <v>-1984.9333333333334</v>
      </c>
      <c r="Q169" s="117">
        <f t="shared" si="79"/>
        <v>-9322.666666666668</v>
      </c>
      <c r="R169" s="117">
        <f t="shared" si="79"/>
        <v>-10196.666666666668</v>
      </c>
      <c r="S169" s="117">
        <f t="shared" si="79"/>
        <v>-4406.666666666666</v>
      </c>
      <c r="T169" s="117">
        <f t="shared" si="79"/>
        <v>4556.666666666667</v>
      </c>
      <c r="U169" s="117">
        <f t="shared" si="79"/>
        <v>6856.666666666667</v>
      </c>
      <c r="V169" s="45">
        <f t="shared" si="79"/>
        <v>8190</v>
      </c>
      <c r="W169" s="4"/>
      <c r="X169" s="4"/>
      <c r="Y169" s="4"/>
      <c r="Z169" s="4"/>
      <c r="AA169" s="4"/>
      <c r="AB169" s="4"/>
      <c r="AC169" s="4"/>
      <c r="AD169" s="4"/>
      <c r="AE169" s="4"/>
      <c r="AF169" s="4"/>
    </row>
    <row r="170" spans="9:32" ht="11.25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</row>
    <row r="171" spans="2:32" ht="12" thickBot="1">
      <c r="B171" s="113" t="s">
        <v>194</v>
      </c>
      <c r="W171" s="4"/>
      <c r="X171" s="4"/>
      <c r="Y171" s="4"/>
      <c r="Z171" s="4"/>
      <c r="AA171" s="4"/>
      <c r="AB171" s="4"/>
      <c r="AC171" s="4"/>
      <c r="AD171" s="4"/>
      <c r="AE171" s="4"/>
      <c r="AF171" s="4"/>
    </row>
    <row r="172" spans="1:32" ht="11.25">
      <c r="A172" s="112">
        <v>1996</v>
      </c>
      <c r="B172" s="10">
        <f aca="true" t="shared" si="80" ref="B172:B191">B101</f>
        <v>0</v>
      </c>
      <c r="C172" s="114">
        <f>$B172*C$75</f>
        <v>0</v>
      </c>
      <c r="D172" s="115">
        <f aca="true" t="shared" si="81" ref="D172:V172">$B172*D$75</f>
        <v>0</v>
      </c>
      <c r="E172" s="115">
        <f t="shared" si="81"/>
        <v>0</v>
      </c>
      <c r="F172" s="115">
        <f t="shared" si="81"/>
        <v>0</v>
      </c>
      <c r="G172" s="115">
        <f t="shared" si="81"/>
        <v>0</v>
      </c>
      <c r="H172" s="115">
        <f t="shared" si="81"/>
        <v>0</v>
      </c>
      <c r="I172" s="115">
        <f t="shared" si="81"/>
        <v>0</v>
      </c>
      <c r="J172" s="115">
        <f t="shared" si="81"/>
        <v>0</v>
      </c>
      <c r="K172" s="115">
        <f t="shared" si="81"/>
        <v>0</v>
      </c>
      <c r="L172" s="115">
        <f t="shared" si="81"/>
        <v>0</v>
      </c>
      <c r="M172" s="115">
        <f t="shared" si="81"/>
        <v>0</v>
      </c>
      <c r="N172" s="115">
        <f t="shared" si="81"/>
        <v>0</v>
      </c>
      <c r="O172" s="115">
        <f t="shared" si="81"/>
        <v>0</v>
      </c>
      <c r="P172" s="115">
        <f t="shared" si="81"/>
        <v>0</v>
      </c>
      <c r="Q172" s="115">
        <f t="shared" si="81"/>
        <v>0</v>
      </c>
      <c r="R172" s="115">
        <f t="shared" si="81"/>
        <v>0</v>
      </c>
      <c r="S172" s="115">
        <f t="shared" si="81"/>
        <v>0</v>
      </c>
      <c r="T172" s="115">
        <f t="shared" si="81"/>
        <v>0</v>
      </c>
      <c r="U172" s="115">
        <f t="shared" si="81"/>
        <v>0</v>
      </c>
      <c r="V172" s="116">
        <f t="shared" si="81"/>
        <v>0</v>
      </c>
      <c r="W172" s="4"/>
      <c r="X172" s="4"/>
      <c r="Y172" s="4"/>
      <c r="Z172" s="4"/>
      <c r="AA172" s="4"/>
      <c r="AB172" s="4"/>
      <c r="AC172" s="4"/>
      <c r="AD172" s="4"/>
      <c r="AE172" s="4"/>
      <c r="AF172" s="4"/>
    </row>
    <row r="173" spans="1:32" ht="11.25">
      <c r="A173" s="112">
        <v>1997</v>
      </c>
      <c r="B173" s="10">
        <f t="shared" si="80"/>
        <v>0</v>
      </c>
      <c r="C173" s="43"/>
      <c r="D173" s="32">
        <f>$B173*C$75</f>
        <v>0</v>
      </c>
      <c r="E173" s="32">
        <f aca="true" t="shared" si="82" ref="E173:V173">$B173*D$75</f>
        <v>0</v>
      </c>
      <c r="F173" s="32">
        <f t="shared" si="82"/>
        <v>0</v>
      </c>
      <c r="G173" s="32">
        <f t="shared" si="82"/>
        <v>0</v>
      </c>
      <c r="H173" s="32">
        <f t="shared" si="82"/>
        <v>0</v>
      </c>
      <c r="I173" s="32">
        <f t="shared" si="82"/>
        <v>0</v>
      </c>
      <c r="J173" s="32">
        <f t="shared" si="82"/>
        <v>0</v>
      </c>
      <c r="K173" s="32">
        <f t="shared" si="82"/>
        <v>0</v>
      </c>
      <c r="L173" s="32">
        <f t="shared" si="82"/>
        <v>0</v>
      </c>
      <c r="M173" s="32">
        <f t="shared" si="82"/>
        <v>0</v>
      </c>
      <c r="N173" s="32">
        <f t="shared" si="82"/>
        <v>0</v>
      </c>
      <c r="O173" s="32">
        <f t="shared" si="82"/>
        <v>0</v>
      </c>
      <c r="P173" s="32">
        <f t="shared" si="82"/>
        <v>0</v>
      </c>
      <c r="Q173" s="32">
        <f t="shared" si="82"/>
        <v>0</v>
      </c>
      <c r="R173" s="32">
        <f t="shared" si="82"/>
        <v>0</v>
      </c>
      <c r="S173" s="32">
        <f t="shared" si="82"/>
        <v>0</v>
      </c>
      <c r="T173" s="32">
        <f t="shared" si="82"/>
        <v>0</v>
      </c>
      <c r="U173" s="32">
        <f t="shared" si="82"/>
        <v>0</v>
      </c>
      <c r="V173" s="33">
        <f t="shared" si="82"/>
        <v>0</v>
      </c>
      <c r="W173" s="4"/>
      <c r="X173" s="4"/>
      <c r="Y173" s="4"/>
      <c r="Z173" s="4"/>
      <c r="AA173" s="4"/>
      <c r="AB173" s="4"/>
      <c r="AC173" s="4"/>
      <c r="AD173" s="4"/>
      <c r="AE173" s="4"/>
      <c r="AF173" s="4"/>
    </row>
    <row r="174" spans="1:32" ht="11.25">
      <c r="A174" s="112">
        <v>1998</v>
      </c>
      <c r="B174" s="10">
        <f t="shared" si="80"/>
        <v>1.28</v>
      </c>
      <c r="C174" s="43"/>
      <c r="D174" s="32"/>
      <c r="E174" s="32">
        <f>$B174*C$75</f>
        <v>-938.6666666666666</v>
      </c>
      <c r="F174" s="32">
        <f aca="true" t="shared" si="83" ref="F174:V174">$B174*D$75</f>
        <v>-401.0666666666667</v>
      </c>
      <c r="G174" s="32">
        <f t="shared" si="83"/>
        <v>-401.0666666666667</v>
      </c>
      <c r="H174" s="32">
        <f t="shared" si="83"/>
        <v>-401.0666666666667</v>
      </c>
      <c r="I174" s="32">
        <f t="shared" si="83"/>
        <v>-401.0666666666667</v>
      </c>
      <c r="J174" s="32">
        <f t="shared" si="83"/>
        <v>-401.0666666666667</v>
      </c>
      <c r="K174" s="32">
        <f t="shared" si="83"/>
        <v>-401.0666666666667</v>
      </c>
      <c r="L174" s="32">
        <f t="shared" si="83"/>
        <v>-401.0666666666667</v>
      </c>
      <c r="M174" s="32">
        <f t="shared" si="83"/>
        <v>320</v>
      </c>
      <c r="N174" s="32">
        <f t="shared" si="83"/>
        <v>320</v>
      </c>
      <c r="O174" s="32">
        <f t="shared" si="83"/>
        <v>320</v>
      </c>
      <c r="P174" s="32">
        <f t="shared" si="83"/>
        <v>320</v>
      </c>
      <c r="Q174" s="32">
        <f t="shared" si="83"/>
        <v>320</v>
      </c>
      <c r="R174" s="32">
        <f t="shared" si="83"/>
        <v>320</v>
      </c>
      <c r="S174" s="32">
        <f t="shared" si="83"/>
        <v>320</v>
      </c>
      <c r="T174" s="32">
        <f t="shared" si="83"/>
        <v>320</v>
      </c>
      <c r="U174" s="32">
        <f t="shared" si="83"/>
        <v>320</v>
      </c>
      <c r="V174" s="33">
        <f t="shared" si="83"/>
        <v>320</v>
      </c>
      <c r="W174" s="4"/>
      <c r="X174" s="4"/>
      <c r="Y174" s="4"/>
      <c r="Z174" s="4"/>
      <c r="AA174" s="4"/>
      <c r="AB174" s="4"/>
      <c r="AC174" s="4"/>
      <c r="AD174" s="4"/>
      <c r="AE174" s="4"/>
      <c r="AF174" s="4"/>
    </row>
    <row r="175" spans="1:32" ht="11.25">
      <c r="A175" s="112">
        <v>1999</v>
      </c>
      <c r="B175" s="10">
        <f t="shared" si="80"/>
        <v>6.72</v>
      </c>
      <c r="C175" s="43"/>
      <c r="D175" s="32"/>
      <c r="E175" s="32"/>
      <c r="F175" s="32">
        <f>$B175*C$75</f>
        <v>-4927.999999999999</v>
      </c>
      <c r="G175" s="32">
        <f aca="true" t="shared" si="84" ref="G175:V175">$B175*D$75</f>
        <v>-2105.6000000000004</v>
      </c>
      <c r="H175" s="32">
        <f t="shared" si="84"/>
        <v>-2105.6000000000004</v>
      </c>
      <c r="I175" s="32">
        <f t="shared" si="84"/>
        <v>-2105.6000000000004</v>
      </c>
      <c r="J175" s="32">
        <f t="shared" si="84"/>
        <v>-2105.6000000000004</v>
      </c>
      <c r="K175" s="32">
        <f t="shared" si="84"/>
        <v>-2105.6000000000004</v>
      </c>
      <c r="L175" s="32">
        <f t="shared" si="84"/>
        <v>-2105.6000000000004</v>
      </c>
      <c r="M175" s="32">
        <f t="shared" si="84"/>
        <v>-2105.6000000000004</v>
      </c>
      <c r="N175" s="32">
        <f t="shared" si="84"/>
        <v>1680</v>
      </c>
      <c r="O175" s="32">
        <f t="shared" si="84"/>
        <v>1680</v>
      </c>
      <c r="P175" s="32">
        <f t="shared" si="84"/>
        <v>1680</v>
      </c>
      <c r="Q175" s="32">
        <f t="shared" si="84"/>
        <v>1680</v>
      </c>
      <c r="R175" s="32">
        <f t="shared" si="84"/>
        <v>1680</v>
      </c>
      <c r="S175" s="32">
        <f t="shared" si="84"/>
        <v>1680</v>
      </c>
      <c r="T175" s="32">
        <f t="shared" si="84"/>
        <v>1680</v>
      </c>
      <c r="U175" s="32">
        <f t="shared" si="84"/>
        <v>1680</v>
      </c>
      <c r="V175" s="33">
        <f t="shared" si="84"/>
        <v>1680</v>
      </c>
      <c r="W175" s="4"/>
      <c r="X175" s="4"/>
      <c r="Y175" s="4"/>
      <c r="Z175" s="4"/>
      <c r="AA175" s="4"/>
      <c r="AB175" s="4"/>
      <c r="AC175" s="4"/>
      <c r="AD175" s="4"/>
      <c r="AE175" s="4"/>
      <c r="AF175" s="4"/>
    </row>
    <row r="176" spans="1:32" ht="11.25">
      <c r="A176" s="112">
        <v>2000</v>
      </c>
      <c r="B176" s="10">
        <f t="shared" si="80"/>
        <v>7</v>
      </c>
      <c r="C176" s="43"/>
      <c r="D176" s="32"/>
      <c r="E176" s="32"/>
      <c r="F176" s="32"/>
      <c r="G176" s="32">
        <f>$B176*C$75</f>
        <v>-5133.333333333333</v>
      </c>
      <c r="H176" s="32">
        <f aca="true" t="shared" si="85" ref="H176:V176">$B176*D$75</f>
        <v>-2193.3333333333335</v>
      </c>
      <c r="I176" s="32">
        <f t="shared" si="85"/>
        <v>-2193.3333333333335</v>
      </c>
      <c r="J176" s="32">
        <f t="shared" si="85"/>
        <v>-2193.3333333333335</v>
      </c>
      <c r="K176" s="32">
        <f t="shared" si="85"/>
        <v>-2193.3333333333335</v>
      </c>
      <c r="L176" s="32">
        <f t="shared" si="85"/>
        <v>-2193.3333333333335</v>
      </c>
      <c r="M176" s="32">
        <f t="shared" si="85"/>
        <v>-2193.3333333333335</v>
      </c>
      <c r="N176" s="32">
        <f t="shared" si="85"/>
        <v>-2193.3333333333335</v>
      </c>
      <c r="O176" s="32">
        <f t="shared" si="85"/>
        <v>1750</v>
      </c>
      <c r="P176" s="32">
        <f t="shared" si="85"/>
        <v>1750</v>
      </c>
      <c r="Q176" s="32">
        <f t="shared" si="85"/>
        <v>1750</v>
      </c>
      <c r="R176" s="32">
        <f t="shared" si="85"/>
        <v>1750</v>
      </c>
      <c r="S176" s="32">
        <f t="shared" si="85"/>
        <v>1750</v>
      </c>
      <c r="T176" s="32">
        <f t="shared" si="85"/>
        <v>1750</v>
      </c>
      <c r="U176" s="32">
        <f t="shared" si="85"/>
        <v>1750</v>
      </c>
      <c r="V176" s="33">
        <f t="shared" si="85"/>
        <v>1750</v>
      </c>
      <c r="W176" s="4"/>
      <c r="X176" s="4"/>
      <c r="Y176" s="4"/>
      <c r="Z176" s="4"/>
      <c r="AA176" s="4"/>
      <c r="AB176" s="4"/>
      <c r="AC176" s="4"/>
      <c r="AD176" s="4"/>
      <c r="AE176" s="4"/>
      <c r="AF176" s="4"/>
    </row>
    <row r="177" spans="1:32" ht="11.25">
      <c r="A177" s="112">
        <v>2001</v>
      </c>
      <c r="B177" s="10">
        <f t="shared" si="80"/>
        <v>2</v>
      </c>
      <c r="C177" s="43"/>
      <c r="D177" s="32"/>
      <c r="E177" s="32"/>
      <c r="F177" s="32"/>
      <c r="G177" s="32"/>
      <c r="H177" s="32">
        <f>$B177*C$75</f>
        <v>-1466.6666666666665</v>
      </c>
      <c r="I177" s="32">
        <f aca="true" t="shared" si="86" ref="I177:V177">$B177*D$75</f>
        <v>-626.6666666666667</v>
      </c>
      <c r="J177" s="32">
        <f t="shared" si="86"/>
        <v>-626.6666666666667</v>
      </c>
      <c r="K177" s="32">
        <f t="shared" si="86"/>
        <v>-626.6666666666667</v>
      </c>
      <c r="L177" s="32">
        <f t="shared" si="86"/>
        <v>-626.6666666666667</v>
      </c>
      <c r="M177" s="32">
        <f t="shared" si="86"/>
        <v>-626.6666666666667</v>
      </c>
      <c r="N177" s="32">
        <f t="shared" si="86"/>
        <v>-626.6666666666667</v>
      </c>
      <c r="O177" s="32">
        <f t="shared" si="86"/>
        <v>-626.6666666666667</v>
      </c>
      <c r="P177" s="32">
        <f t="shared" si="86"/>
        <v>500</v>
      </c>
      <c r="Q177" s="32">
        <f t="shared" si="86"/>
        <v>500</v>
      </c>
      <c r="R177" s="32">
        <f t="shared" si="86"/>
        <v>500</v>
      </c>
      <c r="S177" s="32">
        <f t="shared" si="86"/>
        <v>500</v>
      </c>
      <c r="T177" s="32">
        <f t="shared" si="86"/>
        <v>500</v>
      </c>
      <c r="U177" s="32">
        <f t="shared" si="86"/>
        <v>500</v>
      </c>
      <c r="V177" s="33">
        <f t="shared" si="86"/>
        <v>500</v>
      </c>
      <c r="W177" s="4"/>
      <c r="X177" s="4"/>
      <c r="Y177" s="4"/>
      <c r="Z177" s="4"/>
      <c r="AA177" s="4"/>
      <c r="AB177" s="4"/>
      <c r="AC177" s="4"/>
      <c r="AD177" s="4"/>
      <c r="AE177" s="4"/>
      <c r="AF177" s="4"/>
    </row>
    <row r="178" spans="1:32" ht="11.25">
      <c r="A178" s="112">
        <v>2002</v>
      </c>
      <c r="B178" s="10">
        <f t="shared" si="80"/>
        <v>1</v>
      </c>
      <c r="C178" s="43"/>
      <c r="D178" s="32"/>
      <c r="E178" s="32"/>
      <c r="F178" s="32"/>
      <c r="G178" s="32"/>
      <c r="H178" s="32"/>
      <c r="I178" s="32">
        <f>$B178*C$75</f>
        <v>-733.3333333333333</v>
      </c>
      <c r="J178" s="32">
        <f aca="true" t="shared" si="87" ref="J178:V178">$B178*D$75</f>
        <v>-313.33333333333337</v>
      </c>
      <c r="K178" s="32">
        <f t="shared" si="87"/>
        <v>-313.33333333333337</v>
      </c>
      <c r="L178" s="32">
        <f t="shared" si="87"/>
        <v>-313.33333333333337</v>
      </c>
      <c r="M178" s="32">
        <f t="shared" si="87"/>
        <v>-313.33333333333337</v>
      </c>
      <c r="N178" s="32">
        <f t="shared" si="87"/>
        <v>-313.33333333333337</v>
      </c>
      <c r="O178" s="32">
        <f t="shared" si="87"/>
        <v>-313.33333333333337</v>
      </c>
      <c r="P178" s="32">
        <f t="shared" si="87"/>
        <v>-313.33333333333337</v>
      </c>
      <c r="Q178" s="32">
        <f t="shared" si="87"/>
        <v>250</v>
      </c>
      <c r="R178" s="32">
        <f t="shared" si="87"/>
        <v>250</v>
      </c>
      <c r="S178" s="32">
        <f t="shared" si="87"/>
        <v>250</v>
      </c>
      <c r="T178" s="32">
        <f t="shared" si="87"/>
        <v>250</v>
      </c>
      <c r="U178" s="32">
        <f t="shared" si="87"/>
        <v>250</v>
      </c>
      <c r="V178" s="33">
        <f t="shared" si="87"/>
        <v>250</v>
      </c>
      <c r="W178" s="4"/>
      <c r="X178" s="4"/>
      <c r="Y178" s="4"/>
      <c r="Z178" s="4"/>
      <c r="AA178" s="4"/>
      <c r="AB178" s="4"/>
      <c r="AC178" s="4"/>
      <c r="AD178" s="4"/>
      <c r="AE178" s="4"/>
      <c r="AF178" s="4"/>
    </row>
    <row r="179" spans="1:32" ht="11.25">
      <c r="A179" s="112">
        <v>2003</v>
      </c>
      <c r="B179" s="10">
        <f t="shared" si="80"/>
        <v>0</v>
      </c>
      <c r="C179" s="43"/>
      <c r="D179" s="32"/>
      <c r="E179" s="32"/>
      <c r="F179" s="32"/>
      <c r="G179" s="32"/>
      <c r="H179" s="32"/>
      <c r="I179" s="32"/>
      <c r="J179" s="32">
        <f>$B179*C$75</f>
        <v>0</v>
      </c>
      <c r="K179" s="32">
        <f aca="true" t="shared" si="88" ref="K179:V179">$B179*D$75</f>
        <v>0</v>
      </c>
      <c r="L179" s="32">
        <f t="shared" si="88"/>
        <v>0</v>
      </c>
      <c r="M179" s="32">
        <f t="shared" si="88"/>
        <v>0</v>
      </c>
      <c r="N179" s="32">
        <f t="shared" si="88"/>
        <v>0</v>
      </c>
      <c r="O179" s="32">
        <f t="shared" si="88"/>
        <v>0</v>
      </c>
      <c r="P179" s="32">
        <f t="shared" si="88"/>
        <v>0</v>
      </c>
      <c r="Q179" s="32">
        <f t="shared" si="88"/>
        <v>0</v>
      </c>
      <c r="R179" s="32">
        <f t="shared" si="88"/>
        <v>0</v>
      </c>
      <c r="S179" s="32">
        <f t="shared" si="88"/>
        <v>0</v>
      </c>
      <c r="T179" s="32">
        <f t="shared" si="88"/>
        <v>0</v>
      </c>
      <c r="U179" s="32">
        <f t="shared" si="88"/>
        <v>0</v>
      </c>
      <c r="V179" s="33">
        <f t="shared" si="88"/>
        <v>0</v>
      </c>
      <c r="W179" s="4"/>
      <c r="X179" s="4"/>
      <c r="Y179" s="4"/>
      <c r="Z179" s="4"/>
      <c r="AA179" s="4"/>
      <c r="AB179" s="4"/>
      <c r="AC179" s="4"/>
      <c r="AD179" s="4"/>
      <c r="AE179" s="4"/>
      <c r="AF179" s="4"/>
    </row>
    <row r="180" spans="1:32" ht="11.25">
      <c r="A180" s="112">
        <v>2004</v>
      </c>
      <c r="B180" s="10">
        <f t="shared" si="80"/>
        <v>0</v>
      </c>
      <c r="C180" s="43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3"/>
      <c r="W180" s="4"/>
      <c r="X180" s="4"/>
      <c r="Y180" s="4"/>
      <c r="Z180" s="4"/>
      <c r="AA180" s="4"/>
      <c r="AB180" s="4"/>
      <c r="AC180" s="4"/>
      <c r="AD180" s="4"/>
      <c r="AE180" s="4"/>
      <c r="AF180" s="4"/>
    </row>
    <row r="181" spans="1:32" ht="11.25">
      <c r="A181" s="112">
        <v>2005</v>
      </c>
      <c r="B181" s="10">
        <f t="shared" si="80"/>
        <v>0</v>
      </c>
      <c r="C181" s="43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3"/>
      <c r="W181" s="4"/>
      <c r="X181" s="4"/>
      <c r="Y181" s="4"/>
      <c r="Z181" s="4"/>
      <c r="AA181" s="4"/>
      <c r="AB181" s="4"/>
      <c r="AC181" s="4"/>
      <c r="AD181" s="4"/>
      <c r="AE181" s="4"/>
      <c r="AF181" s="4"/>
    </row>
    <row r="182" spans="1:32" ht="11.25">
      <c r="A182" s="112">
        <v>2006</v>
      </c>
      <c r="B182" s="10">
        <f t="shared" si="80"/>
        <v>0</v>
      </c>
      <c r="C182" s="43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3"/>
      <c r="W182" s="4"/>
      <c r="X182" s="4"/>
      <c r="Y182" s="4"/>
      <c r="Z182" s="4"/>
      <c r="AA182" s="4"/>
      <c r="AB182" s="4"/>
      <c r="AC182" s="4"/>
      <c r="AD182" s="4"/>
      <c r="AE182" s="4"/>
      <c r="AF182" s="4"/>
    </row>
    <row r="183" spans="1:32" ht="11.25">
      <c r="A183" s="112">
        <v>2007</v>
      </c>
      <c r="B183" s="10">
        <f t="shared" si="80"/>
        <v>0</v>
      </c>
      <c r="C183" s="43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3"/>
      <c r="W183" s="4"/>
      <c r="X183" s="4"/>
      <c r="Y183" s="4"/>
      <c r="Z183" s="4"/>
      <c r="AA183" s="4"/>
      <c r="AB183" s="4"/>
      <c r="AC183" s="4"/>
      <c r="AD183" s="4"/>
      <c r="AE183" s="4"/>
      <c r="AF183" s="4"/>
    </row>
    <row r="184" spans="1:32" ht="11.25">
      <c r="A184" s="112">
        <v>2008</v>
      </c>
      <c r="B184" s="10">
        <f t="shared" si="80"/>
        <v>0</v>
      </c>
      <c r="C184" s="43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3"/>
      <c r="W184" s="4"/>
      <c r="X184" s="4"/>
      <c r="Y184" s="4"/>
      <c r="Z184" s="4"/>
      <c r="AA184" s="4"/>
      <c r="AB184" s="4"/>
      <c r="AC184" s="4"/>
      <c r="AD184" s="4"/>
      <c r="AE184" s="4"/>
      <c r="AF184" s="4"/>
    </row>
    <row r="185" spans="1:32" ht="11.25">
      <c r="A185" s="112">
        <v>2009</v>
      </c>
      <c r="B185" s="10">
        <f t="shared" si="80"/>
        <v>0</v>
      </c>
      <c r="C185" s="43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3"/>
      <c r="W185" s="4"/>
      <c r="X185" s="4"/>
      <c r="Y185" s="4"/>
      <c r="Z185" s="4"/>
      <c r="AA185" s="4"/>
      <c r="AB185" s="4"/>
      <c r="AC185" s="4"/>
      <c r="AD185" s="4"/>
      <c r="AE185" s="4"/>
      <c r="AF185" s="4"/>
    </row>
    <row r="186" spans="1:32" ht="11.25">
      <c r="A186" s="112">
        <v>2010</v>
      </c>
      <c r="B186" s="10">
        <f t="shared" si="80"/>
        <v>0</v>
      </c>
      <c r="C186" s="43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3"/>
      <c r="W186" s="4"/>
      <c r="X186" s="4"/>
      <c r="Y186" s="4"/>
      <c r="Z186" s="4"/>
      <c r="AA186" s="4"/>
      <c r="AB186" s="4"/>
      <c r="AC186" s="4"/>
      <c r="AD186" s="4"/>
      <c r="AE186" s="4"/>
      <c r="AF186" s="4"/>
    </row>
    <row r="187" spans="1:32" ht="11.25">
      <c r="A187" s="112">
        <v>2011</v>
      </c>
      <c r="B187" s="10">
        <f t="shared" si="80"/>
        <v>0</v>
      </c>
      <c r="C187" s="43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3"/>
      <c r="W187" s="4"/>
      <c r="X187" s="4"/>
      <c r="Y187" s="4"/>
      <c r="Z187" s="4"/>
      <c r="AA187" s="4"/>
      <c r="AB187" s="4"/>
      <c r="AC187" s="4"/>
      <c r="AD187" s="4"/>
      <c r="AE187" s="4"/>
      <c r="AF187" s="4"/>
    </row>
    <row r="188" spans="1:32" ht="11.25">
      <c r="A188" s="112">
        <v>2012</v>
      </c>
      <c r="B188" s="10">
        <f t="shared" si="80"/>
        <v>0</v>
      </c>
      <c r="C188" s="105"/>
      <c r="D188" s="13"/>
      <c r="E188" s="13"/>
      <c r="F188" s="13"/>
      <c r="G188" s="13"/>
      <c r="H188" s="13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3"/>
      <c r="W188" s="4"/>
      <c r="X188" s="4"/>
      <c r="Y188" s="4"/>
      <c r="Z188" s="4"/>
      <c r="AA188" s="4"/>
      <c r="AB188" s="4"/>
      <c r="AC188" s="4"/>
      <c r="AD188" s="4"/>
      <c r="AE188" s="4"/>
      <c r="AF188" s="4"/>
    </row>
    <row r="189" spans="1:32" ht="11.25">
      <c r="A189" s="112">
        <v>2013</v>
      </c>
      <c r="B189" s="10">
        <f t="shared" si="80"/>
        <v>0</v>
      </c>
      <c r="C189" s="105"/>
      <c r="D189" s="13"/>
      <c r="E189" s="13"/>
      <c r="F189" s="13"/>
      <c r="G189" s="13"/>
      <c r="H189" s="13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3"/>
      <c r="W189" s="4"/>
      <c r="X189" s="4"/>
      <c r="Y189" s="4"/>
      <c r="Z189" s="4"/>
      <c r="AA189" s="4"/>
      <c r="AB189" s="4"/>
      <c r="AC189" s="4"/>
      <c r="AD189" s="4"/>
      <c r="AE189" s="4"/>
      <c r="AF189" s="4"/>
    </row>
    <row r="190" spans="1:32" ht="11.25">
      <c r="A190" s="112">
        <v>2014</v>
      </c>
      <c r="B190" s="10">
        <f t="shared" si="80"/>
        <v>0</v>
      </c>
      <c r="C190" s="105"/>
      <c r="D190" s="13"/>
      <c r="E190" s="13"/>
      <c r="F190" s="13"/>
      <c r="G190" s="13"/>
      <c r="H190" s="13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3"/>
      <c r="W190" s="4"/>
      <c r="X190" s="4"/>
      <c r="Y190" s="4"/>
      <c r="Z190" s="4"/>
      <c r="AA190" s="4"/>
      <c r="AB190" s="4"/>
      <c r="AC190" s="4"/>
      <c r="AD190" s="4"/>
      <c r="AE190" s="4"/>
      <c r="AF190" s="4"/>
    </row>
    <row r="191" spans="1:32" ht="11.25">
      <c r="A191" s="112">
        <v>2015</v>
      </c>
      <c r="B191" s="10">
        <f t="shared" si="80"/>
        <v>0</v>
      </c>
      <c r="C191" s="105"/>
      <c r="D191" s="13"/>
      <c r="E191" s="13"/>
      <c r="F191" s="13"/>
      <c r="G191" s="13"/>
      <c r="H191" s="13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3"/>
      <c r="W191" s="4"/>
      <c r="X191" s="4"/>
      <c r="Y191" s="4"/>
      <c r="Z191" s="4"/>
      <c r="AA191" s="4"/>
      <c r="AB191" s="4"/>
      <c r="AC191" s="4"/>
      <c r="AD191" s="4"/>
      <c r="AE191" s="4"/>
      <c r="AF191" s="4"/>
    </row>
    <row r="192" spans="1:32" ht="12" thickBot="1">
      <c r="A192" s="1" t="s">
        <v>303</v>
      </c>
      <c r="C192" s="44">
        <f>SUM(C172:C191)</f>
        <v>0</v>
      </c>
      <c r="D192" s="117">
        <f aca="true" t="shared" si="89" ref="D192:V192">SUM(D172:D191)</f>
        <v>0</v>
      </c>
      <c r="E192" s="117">
        <f t="shared" si="89"/>
        <v>-938.6666666666666</v>
      </c>
      <c r="F192" s="117">
        <f t="shared" si="89"/>
        <v>-5329.066666666666</v>
      </c>
      <c r="G192" s="117">
        <f t="shared" si="89"/>
        <v>-7640</v>
      </c>
      <c r="H192" s="117">
        <f t="shared" si="89"/>
        <v>-6166.666666666666</v>
      </c>
      <c r="I192" s="117">
        <f t="shared" si="89"/>
        <v>-6060</v>
      </c>
      <c r="J192" s="117">
        <f t="shared" si="89"/>
        <v>-5640</v>
      </c>
      <c r="K192" s="117">
        <f t="shared" si="89"/>
        <v>-5640</v>
      </c>
      <c r="L192" s="117">
        <f t="shared" si="89"/>
        <v>-5640</v>
      </c>
      <c r="M192" s="117">
        <f t="shared" si="89"/>
        <v>-4918.933333333333</v>
      </c>
      <c r="N192" s="117">
        <f t="shared" si="89"/>
        <v>-1133.3333333333335</v>
      </c>
      <c r="O192" s="117">
        <f t="shared" si="89"/>
        <v>2809.9999999999995</v>
      </c>
      <c r="P192" s="117">
        <f t="shared" si="89"/>
        <v>3936.6666666666665</v>
      </c>
      <c r="Q192" s="117">
        <f t="shared" si="89"/>
        <v>4500</v>
      </c>
      <c r="R192" s="117">
        <f t="shared" si="89"/>
        <v>4500</v>
      </c>
      <c r="S192" s="117">
        <f t="shared" si="89"/>
        <v>4500</v>
      </c>
      <c r="T192" s="117">
        <f t="shared" si="89"/>
        <v>4500</v>
      </c>
      <c r="U192" s="117">
        <f t="shared" si="89"/>
        <v>4500</v>
      </c>
      <c r="V192" s="45">
        <f t="shared" si="89"/>
        <v>4500</v>
      </c>
      <c r="W192" s="4"/>
      <c r="X192" s="4"/>
      <c r="Y192" s="4"/>
      <c r="Z192" s="4"/>
      <c r="AA192" s="4"/>
      <c r="AB192" s="4"/>
      <c r="AC192" s="4"/>
      <c r="AD192" s="4"/>
      <c r="AE192" s="4"/>
      <c r="AF192" s="4"/>
    </row>
    <row r="193" spans="9:32" ht="11.25"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</row>
    <row r="194" spans="2:32" ht="12" thickBot="1">
      <c r="B194" s="113" t="s">
        <v>195</v>
      </c>
      <c r="W194" s="4"/>
      <c r="X194" s="4"/>
      <c r="Y194" s="4"/>
      <c r="Z194" s="4"/>
      <c r="AA194" s="4"/>
      <c r="AB194" s="4"/>
      <c r="AC194" s="4"/>
      <c r="AD194" s="4"/>
      <c r="AE194" s="4"/>
      <c r="AF194" s="4"/>
    </row>
    <row r="195" spans="1:32" ht="11.25">
      <c r="A195" s="112">
        <v>1996</v>
      </c>
      <c r="B195" s="10">
        <f aca="true" t="shared" si="90" ref="B195:B214">B101</f>
        <v>0</v>
      </c>
      <c r="C195" s="114">
        <f>$B195*($D$94+$E$94)</f>
        <v>0</v>
      </c>
      <c r="D195" s="115">
        <f aca="true" t="shared" si="91" ref="D195:V202">$B195*($D$94+$E$94)</f>
        <v>0</v>
      </c>
      <c r="E195" s="115">
        <f t="shared" si="91"/>
        <v>0</v>
      </c>
      <c r="F195" s="115">
        <f t="shared" si="91"/>
        <v>0</v>
      </c>
      <c r="G195" s="115">
        <f t="shared" si="91"/>
        <v>0</v>
      </c>
      <c r="H195" s="115">
        <f t="shared" si="91"/>
        <v>0</v>
      </c>
      <c r="I195" s="115">
        <f t="shared" si="91"/>
        <v>0</v>
      </c>
      <c r="J195" s="115">
        <f t="shared" si="91"/>
        <v>0</v>
      </c>
      <c r="K195" s="115">
        <f t="shared" si="91"/>
        <v>0</v>
      </c>
      <c r="L195" s="115">
        <f t="shared" si="91"/>
        <v>0</v>
      </c>
      <c r="M195" s="115">
        <f t="shared" si="91"/>
        <v>0</v>
      </c>
      <c r="N195" s="115">
        <f t="shared" si="91"/>
        <v>0</v>
      </c>
      <c r="O195" s="115">
        <f t="shared" si="91"/>
        <v>0</v>
      </c>
      <c r="P195" s="115">
        <f t="shared" si="91"/>
        <v>0</v>
      </c>
      <c r="Q195" s="115">
        <f t="shared" si="91"/>
        <v>0</v>
      </c>
      <c r="R195" s="115">
        <f t="shared" si="91"/>
        <v>0</v>
      </c>
      <c r="S195" s="115">
        <f t="shared" si="91"/>
        <v>0</v>
      </c>
      <c r="T195" s="115">
        <f t="shared" si="91"/>
        <v>0</v>
      </c>
      <c r="U195" s="115">
        <f t="shared" si="91"/>
        <v>0</v>
      </c>
      <c r="V195" s="116">
        <f t="shared" si="91"/>
        <v>0</v>
      </c>
      <c r="W195" s="4"/>
      <c r="X195" s="4"/>
      <c r="Y195" s="4"/>
      <c r="Z195" s="4"/>
      <c r="AA195" s="4"/>
      <c r="AB195" s="4"/>
      <c r="AC195" s="4"/>
      <c r="AD195" s="4"/>
      <c r="AE195" s="4"/>
      <c r="AF195" s="4"/>
    </row>
    <row r="196" spans="1:32" ht="11.25">
      <c r="A196" s="112">
        <v>1997</v>
      </c>
      <c r="B196" s="10">
        <f t="shared" si="90"/>
        <v>0</v>
      </c>
      <c r="C196" s="43"/>
      <c r="D196" s="32">
        <f>$B196*($D$94+$E$94)</f>
        <v>0</v>
      </c>
      <c r="E196" s="32">
        <f t="shared" si="91"/>
        <v>0</v>
      </c>
      <c r="F196" s="32">
        <f t="shared" si="91"/>
        <v>0</v>
      </c>
      <c r="G196" s="32">
        <f t="shared" si="91"/>
        <v>0</v>
      </c>
      <c r="H196" s="32">
        <f t="shared" si="91"/>
        <v>0</v>
      </c>
      <c r="I196" s="32">
        <f t="shared" si="91"/>
        <v>0</v>
      </c>
      <c r="J196" s="32">
        <f t="shared" si="91"/>
        <v>0</v>
      </c>
      <c r="K196" s="32">
        <f t="shared" si="91"/>
        <v>0</v>
      </c>
      <c r="L196" s="32">
        <f t="shared" si="91"/>
        <v>0</v>
      </c>
      <c r="M196" s="32">
        <f t="shared" si="91"/>
        <v>0</v>
      </c>
      <c r="N196" s="32">
        <f t="shared" si="91"/>
        <v>0</v>
      </c>
      <c r="O196" s="32">
        <f t="shared" si="91"/>
        <v>0</v>
      </c>
      <c r="P196" s="32">
        <f t="shared" si="91"/>
        <v>0</v>
      </c>
      <c r="Q196" s="32">
        <f t="shared" si="91"/>
        <v>0</v>
      </c>
      <c r="R196" s="32">
        <f t="shared" si="91"/>
        <v>0</v>
      </c>
      <c r="S196" s="32">
        <f t="shared" si="91"/>
        <v>0</v>
      </c>
      <c r="T196" s="32">
        <f t="shared" si="91"/>
        <v>0</v>
      </c>
      <c r="U196" s="32">
        <f t="shared" si="91"/>
        <v>0</v>
      </c>
      <c r="V196" s="33">
        <f t="shared" si="91"/>
        <v>0</v>
      </c>
      <c r="W196" s="4"/>
      <c r="X196" s="4"/>
      <c r="Y196" s="4"/>
      <c r="Z196" s="4"/>
      <c r="AA196" s="4"/>
      <c r="AB196" s="4"/>
      <c r="AC196" s="4"/>
      <c r="AD196" s="4"/>
      <c r="AE196" s="4"/>
      <c r="AF196" s="4"/>
    </row>
    <row r="197" spans="1:32" ht="11.25">
      <c r="A197" s="112">
        <v>1998</v>
      </c>
      <c r="B197" s="10">
        <f t="shared" si="90"/>
        <v>1.28</v>
      </c>
      <c r="C197" s="43"/>
      <c r="D197" s="32"/>
      <c r="E197" s="32">
        <f>$B197*($D$94+$E$94)</f>
        <v>-170.66666666666666</v>
      </c>
      <c r="F197" s="32">
        <f t="shared" si="91"/>
        <v>-170.66666666666666</v>
      </c>
      <c r="G197" s="32">
        <f t="shared" si="91"/>
        <v>-170.66666666666666</v>
      </c>
      <c r="H197" s="32">
        <f t="shared" si="91"/>
        <v>-170.66666666666666</v>
      </c>
      <c r="I197" s="32">
        <f t="shared" si="91"/>
        <v>-170.66666666666666</v>
      </c>
      <c r="J197" s="32">
        <f t="shared" si="91"/>
        <v>-170.66666666666666</v>
      </c>
      <c r="K197" s="32">
        <f t="shared" si="91"/>
        <v>-170.66666666666666</v>
      </c>
      <c r="L197" s="32">
        <f t="shared" si="91"/>
        <v>-170.66666666666666</v>
      </c>
      <c r="M197" s="32">
        <f t="shared" si="91"/>
        <v>-170.66666666666666</v>
      </c>
      <c r="N197" s="32">
        <f t="shared" si="91"/>
        <v>-170.66666666666666</v>
      </c>
      <c r="O197" s="32">
        <f t="shared" si="91"/>
        <v>-170.66666666666666</v>
      </c>
      <c r="P197" s="32">
        <f t="shared" si="91"/>
        <v>-170.66666666666666</v>
      </c>
      <c r="Q197" s="32">
        <f t="shared" si="91"/>
        <v>-170.66666666666666</v>
      </c>
      <c r="R197" s="32">
        <f t="shared" si="91"/>
        <v>-170.66666666666666</v>
      </c>
      <c r="S197" s="32">
        <f t="shared" si="91"/>
        <v>-170.66666666666666</v>
      </c>
      <c r="T197" s="32">
        <f t="shared" si="91"/>
        <v>-170.66666666666666</v>
      </c>
      <c r="U197" s="32">
        <f t="shared" si="91"/>
        <v>-170.66666666666666</v>
      </c>
      <c r="V197" s="33">
        <f t="shared" si="91"/>
        <v>-170.66666666666666</v>
      </c>
      <c r="W197" s="4"/>
      <c r="X197" s="4"/>
      <c r="Y197" s="4"/>
      <c r="Z197" s="4"/>
      <c r="AA197" s="4"/>
      <c r="AB197" s="4"/>
      <c r="AC197" s="4"/>
      <c r="AD197" s="4"/>
      <c r="AE197" s="4"/>
      <c r="AF197" s="4"/>
    </row>
    <row r="198" spans="1:32" ht="11.25">
      <c r="A198" s="112">
        <v>1999</v>
      </c>
      <c r="B198" s="10">
        <f t="shared" si="90"/>
        <v>6.72</v>
      </c>
      <c r="C198" s="43"/>
      <c r="D198" s="32"/>
      <c r="E198" s="32"/>
      <c r="F198" s="32">
        <f t="shared" si="91"/>
        <v>-895.9999999999999</v>
      </c>
      <c r="G198" s="32">
        <f t="shared" si="91"/>
        <v>-895.9999999999999</v>
      </c>
      <c r="H198" s="32">
        <f t="shared" si="91"/>
        <v>-895.9999999999999</v>
      </c>
      <c r="I198" s="32">
        <f t="shared" si="91"/>
        <v>-895.9999999999999</v>
      </c>
      <c r="J198" s="32">
        <f t="shared" si="91"/>
        <v>-895.9999999999999</v>
      </c>
      <c r="K198" s="32">
        <f t="shared" si="91"/>
        <v>-895.9999999999999</v>
      </c>
      <c r="L198" s="32">
        <f t="shared" si="91"/>
        <v>-895.9999999999999</v>
      </c>
      <c r="M198" s="32">
        <f t="shared" si="91"/>
        <v>-895.9999999999999</v>
      </c>
      <c r="N198" s="32">
        <f t="shared" si="91"/>
        <v>-895.9999999999999</v>
      </c>
      <c r="O198" s="32">
        <f t="shared" si="91"/>
        <v>-895.9999999999999</v>
      </c>
      <c r="P198" s="32">
        <f t="shared" si="91"/>
        <v>-895.9999999999999</v>
      </c>
      <c r="Q198" s="32">
        <f t="shared" si="91"/>
        <v>-895.9999999999999</v>
      </c>
      <c r="R198" s="32">
        <f t="shared" si="91"/>
        <v>-895.9999999999999</v>
      </c>
      <c r="S198" s="32">
        <f t="shared" si="91"/>
        <v>-895.9999999999999</v>
      </c>
      <c r="T198" s="32">
        <f t="shared" si="91"/>
        <v>-895.9999999999999</v>
      </c>
      <c r="U198" s="32">
        <f t="shared" si="91"/>
        <v>-895.9999999999999</v>
      </c>
      <c r="V198" s="33">
        <f t="shared" si="91"/>
        <v>-895.9999999999999</v>
      </c>
      <c r="W198" s="4"/>
      <c r="X198" s="4"/>
      <c r="Y198" s="4"/>
      <c r="Z198" s="4"/>
      <c r="AA198" s="4"/>
      <c r="AB198" s="4"/>
      <c r="AC198" s="4"/>
      <c r="AD198" s="4"/>
      <c r="AE198" s="4"/>
      <c r="AF198" s="4"/>
    </row>
    <row r="199" spans="1:32" ht="11.25">
      <c r="A199" s="112">
        <v>2000</v>
      </c>
      <c r="B199" s="10">
        <f t="shared" si="90"/>
        <v>7</v>
      </c>
      <c r="C199" s="43"/>
      <c r="D199" s="32"/>
      <c r="E199" s="32"/>
      <c r="F199" s="32"/>
      <c r="G199" s="32">
        <f t="shared" si="91"/>
        <v>-933.3333333333333</v>
      </c>
      <c r="H199" s="32">
        <f t="shared" si="91"/>
        <v>-933.3333333333333</v>
      </c>
      <c r="I199" s="32">
        <f t="shared" si="91"/>
        <v>-933.3333333333333</v>
      </c>
      <c r="J199" s="32">
        <f t="shared" si="91"/>
        <v>-933.3333333333333</v>
      </c>
      <c r="K199" s="32">
        <f t="shared" si="91"/>
        <v>-933.3333333333333</v>
      </c>
      <c r="L199" s="32">
        <f t="shared" si="91"/>
        <v>-933.3333333333333</v>
      </c>
      <c r="M199" s="32">
        <f t="shared" si="91"/>
        <v>-933.3333333333333</v>
      </c>
      <c r="N199" s="32">
        <f t="shared" si="91"/>
        <v>-933.3333333333333</v>
      </c>
      <c r="O199" s="32">
        <f t="shared" si="91"/>
        <v>-933.3333333333333</v>
      </c>
      <c r="P199" s="32">
        <f t="shared" si="91"/>
        <v>-933.3333333333333</v>
      </c>
      <c r="Q199" s="32">
        <f t="shared" si="91"/>
        <v>-933.3333333333333</v>
      </c>
      <c r="R199" s="32">
        <f t="shared" si="91"/>
        <v>-933.3333333333333</v>
      </c>
      <c r="S199" s="32">
        <f t="shared" si="91"/>
        <v>-933.3333333333333</v>
      </c>
      <c r="T199" s="32">
        <f t="shared" si="91"/>
        <v>-933.3333333333333</v>
      </c>
      <c r="U199" s="32">
        <f t="shared" si="91"/>
        <v>-933.3333333333333</v>
      </c>
      <c r="V199" s="33">
        <f t="shared" si="91"/>
        <v>-933.3333333333333</v>
      </c>
      <c r="W199" s="4"/>
      <c r="X199" s="4"/>
      <c r="Y199" s="4"/>
      <c r="Z199" s="4"/>
      <c r="AA199" s="4"/>
      <c r="AB199" s="4"/>
      <c r="AC199" s="4"/>
      <c r="AD199" s="4"/>
      <c r="AE199" s="4"/>
      <c r="AF199" s="4"/>
    </row>
    <row r="200" spans="1:32" ht="11.25">
      <c r="A200" s="112">
        <v>2001</v>
      </c>
      <c r="B200" s="10">
        <f t="shared" si="90"/>
        <v>2</v>
      </c>
      <c r="C200" s="43"/>
      <c r="D200" s="32"/>
      <c r="E200" s="32"/>
      <c r="F200" s="32"/>
      <c r="G200" s="32"/>
      <c r="H200" s="32">
        <f t="shared" si="91"/>
        <v>-266.66666666666663</v>
      </c>
      <c r="I200" s="32">
        <f t="shared" si="91"/>
        <v>-266.66666666666663</v>
      </c>
      <c r="J200" s="32">
        <f t="shared" si="91"/>
        <v>-266.66666666666663</v>
      </c>
      <c r="K200" s="32">
        <f t="shared" si="91"/>
        <v>-266.66666666666663</v>
      </c>
      <c r="L200" s="32">
        <f t="shared" si="91"/>
        <v>-266.66666666666663</v>
      </c>
      <c r="M200" s="32">
        <f t="shared" si="91"/>
        <v>-266.66666666666663</v>
      </c>
      <c r="N200" s="32">
        <f t="shared" si="91"/>
        <v>-266.66666666666663</v>
      </c>
      <c r="O200" s="32">
        <f t="shared" si="91"/>
        <v>-266.66666666666663</v>
      </c>
      <c r="P200" s="32">
        <f t="shared" si="91"/>
        <v>-266.66666666666663</v>
      </c>
      <c r="Q200" s="32">
        <f t="shared" si="91"/>
        <v>-266.66666666666663</v>
      </c>
      <c r="R200" s="32">
        <f t="shared" si="91"/>
        <v>-266.66666666666663</v>
      </c>
      <c r="S200" s="32">
        <f t="shared" si="91"/>
        <v>-266.66666666666663</v>
      </c>
      <c r="T200" s="32">
        <f t="shared" si="91"/>
        <v>-266.66666666666663</v>
      </c>
      <c r="U200" s="32">
        <f t="shared" si="91"/>
        <v>-266.66666666666663</v>
      </c>
      <c r="V200" s="33">
        <f t="shared" si="91"/>
        <v>-266.66666666666663</v>
      </c>
      <c r="W200" s="4"/>
      <c r="X200" s="4"/>
      <c r="Y200" s="4"/>
      <c r="Z200" s="4"/>
      <c r="AA200" s="4"/>
      <c r="AB200" s="4"/>
      <c r="AC200" s="4"/>
      <c r="AD200" s="4"/>
      <c r="AE200" s="4"/>
      <c r="AF200" s="4"/>
    </row>
    <row r="201" spans="1:32" ht="11.25">
      <c r="A201" s="112">
        <v>2002</v>
      </c>
      <c r="B201" s="10">
        <f t="shared" si="90"/>
        <v>1</v>
      </c>
      <c r="C201" s="43"/>
      <c r="D201" s="32"/>
      <c r="E201" s="32"/>
      <c r="F201" s="32"/>
      <c r="G201" s="32"/>
      <c r="H201" s="32"/>
      <c r="I201" s="32">
        <f t="shared" si="91"/>
        <v>-133.33333333333331</v>
      </c>
      <c r="J201" s="32">
        <f t="shared" si="91"/>
        <v>-133.33333333333331</v>
      </c>
      <c r="K201" s="32">
        <f t="shared" si="91"/>
        <v>-133.33333333333331</v>
      </c>
      <c r="L201" s="32">
        <f t="shared" si="91"/>
        <v>-133.33333333333331</v>
      </c>
      <c r="M201" s="32">
        <f t="shared" si="91"/>
        <v>-133.33333333333331</v>
      </c>
      <c r="N201" s="32">
        <f t="shared" si="91"/>
        <v>-133.33333333333331</v>
      </c>
      <c r="O201" s="32">
        <f t="shared" si="91"/>
        <v>-133.33333333333331</v>
      </c>
      <c r="P201" s="32">
        <f t="shared" si="91"/>
        <v>-133.33333333333331</v>
      </c>
      <c r="Q201" s="32">
        <f t="shared" si="91"/>
        <v>-133.33333333333331</v>
      </c>
      <c r="R201" s="32">
        <f t="shared" si="91"/>
        <v>-133.33333333333331</v>
      </c>
      <c r="S201" s="32">
        <f t="shared" si="91"/>
        <v>-133.33333333333331</v>
      </c>
      <c r="T201" s="32">
        <f t="shared" si="91"/>
        <v>-133.33333333333331</v>
      </c>
      <c r="U201" s="32">
        <f t="shared" si="91"/>
        <v>-133.33333333333331</v>
      </c>
      <c r="V201" s="33">
        <f t="shared" si="91"/>
        <v>-133.33333333333331</v>
      </c>
      <c r="W201" s="4"/>
      <c r="X201" s="4"/>
      <c r="Y201" s="4"/>
      <c r="Z201" s="4"/>
      <c r="AA201" s="4"/>
      <c r="AB201" s="4"/>
      <c r="AC201" s="4"/>
      <c r="AD201" s="4"/>
      <c r="AE201" s="4"/>
      <c r="AF201" s="4"/>
    </row>
    <row r="202" spans="1:32" ht="11.25">
      <c r="A202" s="112">
        <v>2003</v>
      </c>
      <c r="B202" s="10">
        <f t="shared" si="90"/>
        <v>0</v>
      </c>
      <c r="C202" s="43"/>
      <c r="D202" s="32"/>
      <c r="E202" s="32"/>
      <c r="F202" s="32"/>
      <c r="G202" s="32"/>
      <c r="H202" s="32"/>
      <c r="I202" s="32"/>
      <c r="J202" s="32">
        <f t="shared" si="91"/>
        <v>0</v>
      </c>
      <c r="K202" s="32">
        <f t="shared" si="91"/>
        <v>0</v>
      </c>
      <c r="L202" s="32">
        <f t="shared" si="91"/>
        <v>0</v>
      </c>
      <c r="M202" s="32">
        <f t="shared" si="91"/>
        <v>0</v>
      </c>
      <c r="N202" s="32">
        <f t="shared" si="91"/>
        <v>0</v>
      </c>
      <c r="O202" s="32">
        <f t="shared" si="91"/>
        <v>0</v>
      </c>
      <c r="P202" s="32">
        <f t="shared" si="91"/>
        <v>0</v>
      </c>
      <c r="Q202" s="32">
        <f t="shared" si="91"/>
        <v>0</v>
      </c>
      <c r="R202" s="32">
        <f t="shared" si="91"/>
        <v>0</v>
      </c>
      <c r="S202" s="32">
        <f t="shared" si="91"/>
        <v>0</v>
      </c>
      <c r="T202" s="32">
        <f t="shared" si="91"/>
        <v>0</v>
      </c>
      <c r="U202" s="32">
        <f t="shared" si="91"/>
        <v>0</v>
      </c>
      <c r="V202" s="33">
        <f t="shared" si="91"/>
        <v>0</v>
      </c>
      <c r="W202" s="4"/>
      <c r="X202" s="4"/>
      <c r="Y202" s="4"/>
      <c r="Z202" s="4"/>
      <c r="AA202" s="4"/>
      <c r="AB202" s="4"/>
      <c r="AC202" s="4"/>
      <c r="AD202" s="4"/>
      <c r="AE202" s="4"/>
      <c r="AF202" s="4"/>
    </row>
    <row r="203" spans="1:32" ht="11.25">
      <c r="A203" s="112">
        <v>2004</v>
      </c>
      <c r="B203" s="10">
        <f t="shared" si="90"/>
        <v>0</v>
      </c>
      <c r="C203" s="43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3"/>
      <c r="W203" s="4"/>
      <c r="X203" s="4"/>
      <c r="Y203" s="4"/>
      <c r="Z203" s="4"/>
      <c r="AA203" s="4"/>
      <c r="AB203" s="4"/>
      <c r="AC203" s="4"/>
      <c r="AD203" s="4"/>
      <c r="AE203" s="4"/>
      <c r="AF203" s="4"/>
    </row>
    <row r="204" spans="1:32" ht="11.25">
      <c r="A204" s="112">
        <v>2005</v>
      </c>
      <c r="B204" s="10">
        <f t="shared" si="90"/>
        <v>0</v>
      </c>
      <c r="C204" s="43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3"/>
      <c r="W204" s="4"/>
      <c r="X204" s="4"/>
      <c r="Y204" s="4"/>
      <c r="Z204" s="4"/>
      <c r="AA204" s="4"/>
      <c r="AB204" s="4"/>
      <c r="AC204" s="4"/>
      <c r="AD204" s="4"/>
      <c r="AE204" s="4"/>
      <c r="AF204" s="4"/>
    </row>
    <row r="205" spans="1:32" ht="11.25">
      <c r="A205" s="112">
        <v>2006</v>
      </c>
      <c r="B205" s="10">
        <f t="shared" si="90"/>
        <v>0</v>
      </c>
      <c r="C205" s="43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3"/>
      <c r="W205" s="4"/>
      <c r="X205" s="4"/>
      <c r="Y205" s="4"/>
      <c r="Z205" s="4"/>
      <c r="AA205" s="4"/>
      <c r="AB205" s="4"/>
      <c r="AC205" s="4"/>
      <c r="AD205" s="4"/>
      <c r="AE205" s="4"/>
      <c r="AF205" s="4"/>
    </row>
    <row r="206" spans="1:32" ht="11.25">
      <c r="A206" s="112">
        <v>2007</v>
      </c>
      <c r="B206" s="10">
        <f t="shared" si="90"/>
        <v>0</v>
      </c>
      <c r="C206" s="43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3"/>
      <c r="W206" s="4"/>
      <c r="X206" s="4"/>
      <c r="Y206" s="4"/>
      <c r="Z206" s="4"/>
      <c r="AA206" s="4"/>
      <c r="AB206" s="4"/>
      <c r="AC206" s="4"/>
      <c r="AD206" s="4"/>
      <c r="AE206" s="4"/>
      <c r="AF206" s="4"/>
    </row>
    <row r="207" spans="1:32" ht="11.25">
      <c r="A207" s="112">
        <v>2008</v>
      </c>
      <c r="B207" s="10">
        <f t="shared" si="90"/>
        <v>0</v>
      </c>
      <c r="C207" s="43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3"/>
      <c r="W207" s="4"/>
      <c r="X207" s="4"/>
      <c r="Y207" s="4"/>
      <c r="Z207" s="4"/>
      <c r="AA207" s="4"/>
      <c r="AB207" s="4"/>
      <c r="AC207" s="4"/>
      <c r="AD207" s="4"/>
      <c r="AE207" s="4"/>
      <c r="AF207" s="4"/>
    </row>
    <row r="208" spans="1:32" ht="11.25">
      <c r="A208" s="112">
        <v>2009</v>
      </c>
      <c r="B208" s="10">
        <f t="shared" si="90"/>
        <v>0</v>
      </c>
      <c r="C208" s="43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3"/>
      <c r="W208" s="4"/>
      <c r="X208" s="4"/>
      <c r="Y208" s="4"/>
      <c r="Z208" s="4"/>
      <c r="AA208" s="4"/>
      <c r="AB208" s="4"/>
      <c r="AC208" s="4"/>
      <c r="AD208" s="4"/>
      <c r="AE208" s="4"/>
      <c r="AF208" s="4"/>
    </row>
    <row r="209" spans="1:32" ht="11.25">
      <c r="A209" s="112">
        <v>2010</v>
      </c>
      <c r="B209" s="10">
        <f t="shared" si="90"/>
        <v>0</v>
      </c>
      <c r="C209" s="43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3"/>
      <c r="W209" s="4"/>
      <c r="X209" s="4"/>
      <c r="Y209" s="4"/>
      <c r="Z209" s="4"/>
      <c r="AA209" s="4"/>
      <c r="AB209" s="4"/>
      <c r="AC209" s="4"/>
      <c r="AD209" s="4"/>
      <c r="AE209" s="4"/>
      <c r="AF209" s="4"/>
    </row>
    <row r="210" spans="1:32" ht="11.25">
      <c r="A210" s="112">
        <v>2011</v>
      </c>
      <c r="B210" s="10">
        <f t="shared" si="90"/>
        <v>0</v>
      </c>
      <c r="C210" s="43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3"/>
      <c r="W210" s="4"/>
      <c r="X210" s="4"/>
      <c r="Y210" s="4"/>
      <c r="Z210" s="4"/>
      <c r="AA210" s="4"/>
      <c r="AB210" s="4"/>
      <c r="AC210" s="4"/>
      <c r="AD210" s="4"/>
      <c r="AE210" s="4"/>
      <c r="AF210" s="4"/>
    </row>
    <row r="211" spans="1:32" ht="11.25">
      <c r="A211" s="112">
        <v>2012</v>
      </c>
      <c r="B211" s="10">
        <f t="shared" si="90"/>
        <v>0</v>
      </c>
      <c r="C211" s="105"/>
      <c r="D211" s="13"/>
      <c r="E211" s="13"/>
      <c r="F211" s="13"/>
      <c r="G211" s="13"/>
      <c r="H211" s="13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3"/>
      <c r="W211" s="4"/>
      <c r="X211" s="4"/>
      <c r="Y211" s="4"/>
      <c r="Z211" s="4"/>
      <c r="AA211" s="4"/>
      <c r="AB211" s="4"/>
      <c r="AC211" s="4"/>
      <c r="AD211" s="4"/>
      <c r="AE211" s="4"/>
      <c r="AF211" s="4"/>
    </row>
    <row r="212" spans="1:32" ht="11.25">
      <c r="A212" s="112">
        <v>2013</v>
      </c>
      <c r="B212" s="10">
        <f t="shared" si="90"/>
        <v>0</v>
      </c>
      <c r="C212" s="105"/>
      <c r="D212" s="13"/>
      <c r="E212" s="13"/>
      <c r="F212" s="13"/>
      <c r="G212" s="13"/>
      <c r="H212" s="13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3"/>
      <c r="W212" s="4"/>
      <c r="X212" s="4"/>
      <c r="Y212" s="4"/>
      <c r="Z212" s="4"/>
      <c r="AA212" s="4"/>
      <c r="AB212" s="4"/>
      <c r="AC212" s="4"/>
      <c r="AD212" s="4"/>
      <c r="AE212" s="4"/>
      <c r="AF212" s="4"/>
    </row>
    <row r="213" spans="1:32" ht="11.25">
      <c r="A213" s="112">
        <v>2014</v>
      </c>
      <c r="B213" s="10">
        <f t="shared" si="90"/>
        <v>0</v>
      </c>
      <c r="C213" s="105"/>
      <c r="D213" s="13"/>
      <c r="E213" s="13"/>
      <c r="F213" s="13"/>
      <c r="G213" s="13"/>
      <c r="H213" s="13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3"/>
      <c r="W213" s="4"/>
      <c r="X213" s="4"/>
      <c r="Y213" s="4"/>
      <c r="Z213" s="4"/>
      <c r="AA213" s="4"/>
      <c r="AB213" s="4"/>
      <c r="AC213" s="4"/>
      <c r="AD213" s="4"/>
      <c r="AE213" s="4"/>
      <c r="AF213" s="4"/>
    </row>
    <row r="214" spans="1:32" ht="11.25">
      <c r="A214" s="112">
        <v>2015</v>
      </c>
      <c r="B214" s="10">
        <f t="shared" si="90"/>
        <v>0</v>
      </c>
      <c r="C214" s="105"/>
      <c r="D214" s="13"/>
      <c r="E214" s="13"/>
      <c r="F214" s="13"/>
      <c r="G214" s="13"/>
      <c r="H214" s="13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3"/>
      <c r="W214" s="4"/>
      <c r="X214" s="4"/>
      <c r="Y214" s="4"/>
      <c r="Z214" s="4"/>
      <c r="AA214" s="4"/>
      <c r="AB214" s="4"/>
      <c r="AC214" s="4"/>
      <c r="AD214" s="4"/>
      <c r="AE214" s="4"/>
      <c r="AF214" s="4"/>
    </row>
    <row r="215" spans="1:32" ht="12" thickBot="1">
      <c r="A215" s="1" t="s">
        <v>305</v>
      </c>
      <c r="C215" s="44">
        <f>SUM(C195:C214)</f>
        <v>0</v>
      </c>
      <c r="D215" s="117">
        <f aca="true" t="shared" si="92" ref="D215:V215">SUM(D195:D214)</f>
        <v>0</v>
      </c>
      <c r="E215" s="117">
        <f t="shared" si="92"/>
        <v>-170.66666666666666</v>
      </c>
      <c r="F215" s="117">
        <f t="shared" si="92"/>
        <v>-1066.6666666666665</v>
      </c>
      <c r="G215" s="117">
        <f t="shared" si="92"/>
        <v>-1999.9999999999998</v>
      </c>
      <c r="H215" s="117">
        <f t="shared" si="92"/>
        <v>-2266.6666666666665</v>
      </c>
      <c r="I215" s="117">
        <f t="shared" si="92"/>
        <v>-2400</v>
      </c>
      <c r="J215" s="117">
        <f t="shared" si="92"/>
        <v>-2400</v>
      </c>
      <c r="K215" s="117">
        <f t="shared" si="92"/>
        <v>-2400</v>
      </c>
      <c r="L215" s="117">
        <f t="shared" si="92"/>
        <v>-2400</v>
      </c>
      <c r="M215" s="117">
        <f t="shared" si="92"/>
        <v>-2400</v>
      </c>
      <c r="N215" s="117">
        <f t="shared" si="92"/>
        <v>-2400</v>
      </c>
      <c r="O215" s="117">
        <f t="shared" si="92"/>
        <v>-2400</v>
      </c>
      <c r="P215" s="117">
        <f t="shared" si="92"/>
        <v>-2400</v>
      </c>
      <c r="Q215" s="117">
        <f t="shared" si="92"/>
        <v>-2400</v>
      </c>
      <c r="R215" s="117">
        <f t="shared" si="92"/>
        <v>-2400</v>
      </c>
      <c r="S215" s="117">
        <f t="shared" si="92"/>
        <v>-2400</v>
      </c>
      <c r="T215" s="117">
        <f t="shared" si="92"/>
        <v>-2400</v>
      </c>
      <c r="U215" s="117">
        <f t="shared" si="92"/>
        <v>-2400</v>
      </c>
      <c r="V215" s="45">
        <f t="shared" si="92"/>
        <v>-2400</v>
      </c>
      <c r="W215" s="4"/>
      <c r="X215" s="4"/>
      <c r="Y215" s="4"/>
      <c r="Z215" s="4"/>
      <c r="AA215" s="4"/>
      <c r="AB215" s="4"/>
      <c r="AC215" s="4"/>
      <c r="AD215" s="4"/>
      <c r="AE215" s="4"/>
      <c r="AF215" s="4"/>
    </row>
    <row r="216" spans="9:32" ht="11.25"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</row>
    <row r="217" spans="2:32" ht="12" thickBot="1">
      <c r="B217" s="113" t="s">
        <v>196</v>
      </c>
      <c r="W217" s="4"/>
      <c r="X217" s="4"/>
      <c r="Y217" s="4"/>
      <c r="Z217" s="4"/>
      <c r="AA217" s="4"/>
      <c r="AB217" s="4"/>
      <c r="AC217" s="4"/>
      <c r="AD217" s="4"/>
      <c r="AE217" s="4"/>
      <c r="AF217" s="4"/>
    </row>
    <row r="218" spans="1:32" ht="11.25">
      <c r="A218" s="112">
        <v>1996</v>
      </c>
      <c r="B218" s="10">
        <f aca="true" t="shared" si="93" ref="B218:B237">B101</f>
        <v>0</v>
      </c>
      <c r="C218" s="114">
        <f>$B218*($D$94+$D$94)</f>
        <v>0</v>
      </c>
      <c r="D218" s="115">
        <f aca="true" t="shared" si="94" ref="D218:V225">$B218*($D$94+$D$94)</f>
        <v>0</v>
      </c>
      <c r="E218" s="115">
        <f t="shared" si="94"/>
        <v>0</v>
      </c>
      <c r="F218" s="115">
        <f t="shared" si="94"/>
        <v>0</v>
      </c>
      <c r="G218" s="115">
        <f t="shared" si="94"/>
        <v>0</v>
      </c>
      <c r="H218" s="115">
        <f t="shared" si="94"/>
        <v>0</v>
      </c>
      <c r="I218" s="115">
        <f t="shared" si="94"/>
        <v>0</v>
      </c>
      <c r="J218" s="115">
        <f t="shared" si="94"/>
        <v>0</v>
      </c>
      <c r="K218" s="115">
        <f t="shared" si="94"/>
        <v>0</v>
      </c>
      <c r="L218" s="115">
        <f t="shared" si="94"/>
        <v>0</v>
      </c>
      <c r="M218" s="115">
        <f t="shared" si="94"/>
        <v>0</v>
      </c>
      <c r="N218" s="115">
        <f t="shared" si="94"/>
        <v>0</v>
      </c>
      <c r="O218" s="115">
        <f t="shared" si="94"/>
        <v>0</v>
      </c>
      <c r="P218" s="115">
        <f t="shared" si="94"/>
        <v>0</v>
      </c>
      <c r="Q218" s="115">
        <f t="shared" si="94"/>
        <v>0</v>
      </c>
      <c r="R218" s="115">
        <f t="shared" si="94"/>
        <v>0</v>
      </c>
      <c r="S218" s="115">
        <f t="shared" si="94"/>
        <v>0</v>
      </c>
      <c r="T218" s="115">
        <f t="shared" si="94"/>
        <v>0</v>
      </c>
      <c r="U218" s="115">
        <f t="shared" si="94"/>
        <v>0</v>
      </c>
      <c r="V218" s="116">
        <f t="shared" si="94"/>
        <v>0</v>
      </c>
      <c r="W218" s="4"/>
      <c r="X218" s="4"/>
      <c r="Y218" s="4"/>
      <c r="Z218" s="4"/>
      <c r="AA218" s="4"/>
      <c r="AB218" s="4"/>
      <c r="AC218" s="4"/>
      <c r="AD218" s="4"/>
      <c r="AE218" s="4"/>
      <c r="AF218" s="4"/>
    </row>
    <row r="219" spans="1:32" ht="11.25">
      <c r="A219" s="112">
        <v>1997</v>
      </c>
      <c r="B219" s="10">
        <f t="shared" si="93"/>
        <v>0</v>
      </c>
      <c r="C219" s="43"/>
      <c r="D219" s="32">
        <f t="shared" si="94"/>
        <v>0</v>
      </c>
      <c r="E219" s="32">
        <f t="shared" si="94"/>
        <v>0</v>
      </c>
      <c r="F219" s="32">
        <f t="shared" si="94"/>
        <v>0</v>
      </c>
      <c r="G219" s="32">
        <f t="shared" si="94"/>
        <v>0</v>
      </c>
      <c r="H219" s="32">
        <f t="shared" si="94"/>
        <v>0</v>
      </c>
      <c r="I219" s="32">
        <f t="shared" si="94"/>
        <v>0</v>
      </c>
      <c r="J219" s="32">
        <f t="shared" si="94"/>
        <v>0</v>
      </c>
      <c r="K219" s="32">
        <f t="shared" si="94"/>
        <v>0</v>
      </c>
      <c r="L219" s="32">
        <f t="shared" si="94"/>
        <v>0</v>
      </c>
      <c r="M219" s="32">
        <f t="shared" si="94"/>
        <v>0</v>
      </c>
      <c r="N219" s="32">
        <f t="shared" si="94"/>
        <v>0</v>
      </c>
      <c r="O219" s="32">
        <f t="shared" si="94"/>
        <v>0</v>
      </c>
      <c r="P219" s="32">
        <f t="shared" si="94"/>
        <v>0</v>
      </c>
      <c r="Q219" s="32">
        <f t="shared" si="94"/>
        <v>0</v>
      </c>
      <c r="R219" s="32">
        <f t="shared" si="94"/>
        <v>0</v>
      </c>
      <c r="S219" s="32">
        <f t="shared" si="94"/>
        <v>0</v>
      </c>
      <c r="T219" s="32">
        <f t="shared" si="94"/>
        <v>0</v>
      </c>
      <c r="U219" s="32">
        <f t="shared" si="94"/>
        <v>0</v>
      </c>
      <c r="V219" s="33">
        <f t="shared" si="94"/>
        <v>0</v>
      </c>
      <c r="W219" s="4"/>
      <c r="X219" s="4"/>
      <c r="Y219" s="4"/>
      <c r="Z219" s="4"/>
      <c r="AA219" s="4"/>
      <c r="AB219" s="4"/>
      <c r="AC219" s="4"/>
      <c r="AD219" s="4"/>
      <c r="AE219" s="4"/>
      <c r="AF219" s="4"/>
    </row>
    <row r="220" spans="1:32" ht="11.25">
      <c r="A220" s="112">
        <v>1998</v>
      </c>
      <c r="B220" s="10">
        <f t="shared" si="93"/>
        <v>1.28</v>
      </c>
      <c r="C220" s="43"/>
      <c r="D220" s="32"/>
      <c r="E220" s="32">
        <f t="shared" si="94"/>
        <v>34.13333333333333</v>
      </c>
      <c r="F220" s="32">
        <f t="shared" si="94"/>
        <v>34.13333333333333</v>
      </c>
      <c r="G220" s="32">
        <f t="shared" si="94"/>
        <v>34.13333333333333</v>
      </c>
      <c r="H220" s="32">
        <f t="shared" si="94"/>
        <v>34.13333333333333</v>
      </c>
      <c r="I220" s="32">
        <f t="shared" si="94"/>
        <v>34.13333333333333</v>
      </c>
      <c r="J220" s="32">
        <f t="shared" si="94"/>
        <v>34.13333333333333</v>
      </c>
      <c r="K220" s="32">
        <f t="shared" si="94"/>
        <v>34.13333333333333</v>
      </c>
      <c r="L220" s="32">
        <f t="shared" si="94"/>
        <v>34.13333333333333</v>
      </c>
      <c r="M220" s="32">
        <f t="shared" si="94"/>
        <v>34.13333333333333</v>
      </c>
      <c r="N220" s="32">
        <f t="shared" si="94"/>
        <v>34.13333333333333</v>
      </c>
      <c r="O220" s="32">
        <f t="shared" si="94"/>
        <v>34.13333333333333</v>
      </c>
      <c r="P220" s="32">
        <f t="shared" si="94"/>
        <v>34.13333333333333</v>
      </c>
      <c r="Q220" s="32">
        <f t="shared" si="94"/>
        <v>34.13333333333333</v>
      </c>
      <c r="R220" s="32">
        <f t="shared" si="94"/>
        <v>34.13333333333333</v>
      </c>
      <c r="S220" s="32">
        <f t="shared" si="94"/>
        <v>34.13333333333333</v>
      </c>
      <c r="T220" s="32">
        <f t="shared" si="94"/>
        <v>34.13333333333333</v>
      </c>
      <c r="U220" s="32">
        <f t="shared" si="94"/>
        <v>34.13333333333333</v>
      </c>
      <c r="V220" s="33">
        <f t="shared" si="94"/>
        <v>34.13333333333333</v>
      </c>
      <c r="W220" s="4"/>
      <c r="X220" s="4"/>
      <c r="Y220" s="4"/>
      <c r="Z220" s="4"/>
      <c r="AA220" s="4"/>
      <c r="AB220" s="4"/>
      <c r="AC220" s="4"/>
      <c r="AD220" s="4"/>
      <c r="AE220" s="4"/>
      <c r="AF220" s="4"/>
    </row>
    <row r="221" spans="1:32" ht="11.25">
      <c r="A221" s="112">
        <v>1999</v>
      </c>
      <c r="B221" s="10">
        <f t="shared" si="93"/>
        <v>6.72</v>
      </c>
      <c r="C221" s="43"/>
      <c r="D221" s="32"/>
      <c r="E221" s="32"/>
      <c r="F221" s="32">
        <f t="shared" si="94"/>
        <v>179.2</v>
      </c>
      <c r="G221" s="32">
        <f t="shared" si="94"/>
        <v>179.2</v>
      </c>
      <c r="H221" s="32">
        <f t="shared" si="94"/>
        <v>179.2</v>
      </c>
      <c r="I221" s="32">
        <f t="shared" si="94"/>
        <v>179.2</v>
      </c>
      <c r="J221" s="32">
        <f t="shared" si="94"/>
        <v>179.2</v>
      </c>
      <c r="K221" s="32">
        <f t="shared" si="94"/>
        <v>179.2</v>
      </c>
      <c r="L221" s="32">
        <f t="shared" si="94"/>
        <v>179.2</v>
      </c>
      <c r="M221" s="32">
        <f t="shared" si="94"/>
        <v>179.2</v>
      </c>
      <c r="N221" s="32">
        <f t="shared" si="94"/>
        <v>179.2</v>
      </c>
      <c r="O221" s="32">
        <f t="shared" si="94"/>
        <v>179.2</v>
      </c>
      <c r="P221" s="32">
        <f t="shared" si="94"/>
        <v>179.2</v>
      </c>
      <c r="Q221" s="32">
        <f t="shared" si="94"/>
        <v>179.2</v>
      </c>
      <c r="R221" s="32">
        <f t="shared" si="94"/>
        <v>179.2</v>
      </c>
      <c r="S221" s="32">
        <f t="shared" si="94"/>
        <v>179.2</v>
      </c>
      <c r="T221" s="32">
        <f t="shared" si="94"/>
        <v>179.2</v>
      </c>
      <c r="U221" s="32">
        <f t="shared" si="94"/>
        <v>179.2</v>
      </c>
      <c r="V221" s="33">
        <f t="shared" si="94"/>
        <v>179.2</v>
      </c>
      <c r="W221" s="4"/>
      <c r="X221" s="4"/>
      <c r="Y221" s="4"/>
      <c r="Z221" s="4"/>
      <c r="AA221" s="4"/>
      <c r="AB221" s="4"/>
      <c r="AC221" s="4"/>
      <c r="AD221" s="4"/>
      <c r="AE221" s="4"/>
      <c r="AF221" s="4"/>
    </row>
    <row r="222" spans="1:32" ht="11.25">
      <c r="A222" s="112">
        <v>2000</v>
      </c>
      <c r="B222" s="10">
        <f t="shared" si="93"/>
        <v>7</v>
      </c>
      <c r="C222" s="43"/>
      <c r="D222" s="32"/>
      <c r="E222" s="32"/>
      <c r="F222" s="32"/>
      <c r="G222" s="32">
        <f t="shared" si="94"/>
        <v>186.66666666666669</v>
      </c>
      <c r="H222" s="32">
        <f t="shared" si="94"/>
        <v>186.66666666666669</v>
      </c>
      <c r="I222" s="32">
        <f t="shared" si="94"/>
        <v>186.66666666666669</v>
      </c>
      <c r="J222" s="32">
        <f t="shared" si="94"/>
        <v>186.66666666666669</v>
      </c>
      <c r="K222" s="32">
        <f t="shared" si="94"/>
        <v>186.66666666666669</v>
      </c>
      <c r="L222" s="32">
        <f t="shared" si="94"/>
        <v>186.66666666666669</v>
      </c>
      <c r="M222" s="32">
        <f t="shared" si="94"/>
        <v>186.66666666666669</v>
      </c>
      <c r="N222" s="32">
        <f t="shared" si="94"/>
        <v>186.66666666666669</v>
      </c>
      <c r="O222" s="32">
        <f t="shared" si="94"/>
        <v>186.66666666666669</v>
      </c>
      <c r="P222" s="32">
        <f t="shared" si="94"/>
        <v>186.66666666666669</v>
      </c>
      <c r="Q222" s="32">
        <f t="shared" si="94"/>
        <v>186.66666666666669</v>
      </c>
      <c r="R222" s="32">
        <f t="shared" si="94"/>
        <v>186.66666666666669</v>
      </c>
      <c r="S222" s="32">
        <f t="shared" si="94"/>
        <v>186.66666666666669</v>
      </c>
      <c r="T222" s="32">
        <f t="shared" si="94"/>
        <v>186.66666666666669</v>
      </c>
      <c r="U222" s="32">
        <f t="shared" si="94"/>
        <v>186.66666666666669</v>
      </c>
      <c r="V222" s="33">
        <f t="shared" si="94"/>
        <v>186.66666666666669</v>
      </c>
      <c r="W222" s="4"/>
      <c r="X222" s="4"/>
      <c r="Y222" s="4"/>
      <c r="Z222" s="4"/>
      <c r="AA222" s="4"/>
      <c r="AB222" s="4"/>
      <c r="AC222" s="4"/>
      <c r="AD222" s="4"/>
      <c r="AE222" s="4"/>
      <c r="AF222" s="4"/>
    </row>
    <row r="223" spans="1:32" ht="11.25">
      <c r="A223" s="112">
        <v>2001</v>
      </c>
      <c r="B223" s="10">
        <f t="shared" si="93"/>
        <v>2</v>
      </c>
      <c r="C223" s="43"/>
      <c r="D223" s="32"/>
      <c r="E223" s="32"/>
      <c r="F223" s="32"/>
      <c r="G223" s="32"/>
      <c r="H223" s="32">
        <f t="shared" si="94"/>
        <v>53.333333333333336</v>
      </c>
      <c r="I223" s="32">
        <f t="shared" si="94"/>
        <v>53.333333333333336</v>
      </c>
      <c r="J223" s="32">
        <f t="shared" si="94"/>
        <v>53.333333333333336</v>
      </c>
      <c r="K223" s="32">
        <f t="shared" si="94"/>
        <v>53.333333333333336</v>
      </c>
      <c r="L223" s="32">
        <f t="shared" si="94"/>
        <v>53.333333333333336</v>
      </c>
      <c r="M223" s="32">
        <f t="shared" si="94"/>
        <v>53.333333333333336</v>
      </c>
      <c r="N223" s="32">
        <f t="shared" si="94"/>
        <v>53.333333333333336</v>
      </c>
      <c r="O223" s="32">
        <f t="shared" si="94"/>
        <v>53.333333333333336</v>
      </c>
      <c r="P223" s="32">
        <f t="shared" si="94"/>
        <v>53.333333333333336</v>
      </c>
      <c r="Q223" s="32">
        <f t="shared" si="94"/>
        <v>53.333333333333336</v>
      </c>
      <c r="R223" s="32">
        <f t="shared" si="94"/>
        <v>53.333333333333336</v>
      </c>
      <c r="S223" s="32">
        <f t="shared" si="94"/>
        <v>53.333333333333336</v>
      </c>
      <c r="T223" s="32">
        <f t="shared" si="94"/>
        <v>53.333333333333336</v>
      </c>
      <c r="U223" s="32">
        <f t="shared" si="94"/>
        <v>53.333333333333336</v>
      </c>
      <c r="V223" s="33">
        <f t="shared" si="94"/>
        <v>53.333333333333336</v>
      </c>
      <c r="W223" s="4"/>
      <c r="X223" s="4"/>
      <c r="Y223" s="4"/>
      <c r="Z223" s="4"/>
      <c r="AA223" s="4"/>
      <c r="AB223" s="4"/>
      <c r="AC223" s="4"/>
      <c r="AD223" s="4"/>
      <c r="AE223" s="4"/>
      <c r="AF223" s="4"/>
    </row>
    <row r="224" spans="1:32" ht="11.25">
      <c r="A224" s="112">
        <v>2002</v>
      </c>
      <c r="B224" s="10">
        <f t="shared" si="93"/>
        <v>1</v>
      </c>
      <c r="C224" s="43"/>
      <c r="D224" s="32"/>
      <c r="E224" s="32"/>
      <c r="F224" s="32"/>
      <c r="G224" s="32"/>
      <c r="H224" s="32"/>
      <c r="I224" s="32">
        <f t="shared" si="94"/>
        <v>26.666666666666668</v>
      </c>
      <c r="J224" s="32">
        <f t="shared" si="94"/>
        <v>26.666666666666668</v>
      </c>
      <c r="K224" s="32">
        <f t="shared" si="94"/>
        <v>26.666666666666668</v>
      </c>
      <c r="L224" s="32">
        <f t="shared" si="94"/>
        <v>26.666666666666668</v>
      </c>
      <c r="M224" s="32">
        <f t="shared" si="94"/>
        <v>26.666666666666668</v>
      </c>
      <c r="N224" s="32">
        <f t="shared" si="94"/>
        <v>26.666666666666668</v>
      </c>
      <c r="O224" s="32">
        <f t="shared" si="94"/>
        <v>26.666666666666668</v>
      </c>
      <c r="P224" s="32">
        <f t="shared" si="94"/>
        <v>26.666666666666668</v>
      </c>
      <c r="Q224" s="32">
        <f t="shared" si="94"/>
        <v>26.666666666666668</v>
      </c>
      <c r="R224" s="32">
        <f t="shared" si="94"/>
        <v>26.666666666666668</v>
      </c>
      <c r="S224" s="32">
        <f t="shared" si="94"/>
        <v>26.666666666666668</v>
      </c>
      <c r="T224" s="32">
        <f t="shared" si="94"/>
        <v>26.666666666666668</v>
      </c>
      <c r="U224" s="32">
        <f t="shared" si="94"/>
        <v>26.666666666666668</v>
      </c>
      <c r="V224" s="33">
        <f t="shared" si="94"/>
        <v>26.666666666666668</v>
      </c>
      <c r="W224" s="4"/>
      <c r="X224" s="4"/>
      <c r="Y224" s="4"/>
      <c r="Z224" s="4"/>
      <c r="AA224" s="4"/>
      <c r="AB224" s="4"/>
      <c r="AC224" s="4"/>
      <c r="AD224" s="4"/>
      <c r="AE224" s="4"/>
      <c r="AF224" s="4"/>
    </row>
    <row r="225" spans="1:32" ht="11.25">
      <c r="A225" s="112">
        <v>2003</v>
      </c>
      <c r="B225" s="10">
        <f t="shared" si="93"/>
        <v>0</v>
      </c>
      <c r="C225" s="43"/>
      <c r="D225" s="32"/>
      <c r="E225" s="32"/>
      <c r="F225" s="32"/>
      <c r="G225" s="32"/>
      <c r="H225" s="32"/>
      <c r="I225" s="32"/>
      <c r="J225" s="32">
        <f t="shared" si="94"/>
        <v>0</v>
      </c>
      <c r="K225" s="32">
        <f t="shared" si="94"/>
        <v>0</v>
      </c>
      <c r="L225" s="32">
        <f t="shared" si="94"/>
        <v>0</v>
      </c>
      <c r="M225" s="32">
        <f t="shared" si="94"/>
        <v>0</v>
      </c>
      <c r="N225" s="32">
        <f t="shared" si="94"/>
        <v>0</v>
      </c>
      <c r="O225" s="32">
        <f t="shared" si="94"/>
        <v>0</v>
      </c>
      <c r="P225" s="32">
        <f t="shared" si="94"/>
        <v>0</v>
      </c>
      <c r="Q225" s="32">
        <f t="shared" si="94"/>
        <v>0</v>
      </c>
      <c r="R225" s="32">
        <f t="shared" si="94"/>
        <v>0</v>
      </c>
      <c r="S225" s="32">
        <f t="shared" si="94"/>
        <v>0</v>
      </c>
      <c r="T225" s="32">
        <f t="shared" si="94"/>
        <v>0</v>
      </c>
      <c r="U225" s="32">
        <f t="shared" si="94"/>
        <v>0</v>
      </c>
      <c r="V225" s="33">
        <f t="shared" si="94"/>
        <v>0</v>
      </c>
      <c r="W225" s="4"/>
      <c r="X225" s="4"/>
      <c r="Y225" s="4"/>
      <c r="Z225" s="4"/>
      <c r="AA225" s="4"/>
      <c r="AB225" s="4"/>
      <c r="AC225" s="4"/>
      <c r="AD225" s="4"/>
      <c r="AE225" s="4"/>
      <c r="AF225" s="4"/>
    </row>
    <row r="226" spans="1:32" ht="11.25">
      <c r="A226" s="112">
        <v>2004</v>
      </c>
      <c r="B226" s="10">
        <f t="shared" si="93"/>
        <v>0</v>
      </c>
      <c r="C226" s="43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3"/>
      <c r="W226" s="4"/>
      <c r="X226" s="4"/>
      <c r="Y226" s="4"/>
      <c r="Z226" s="4"/>
      <c r="AA226" s="4"/>
      <c r="AB226" s="4"/>
      <c r="AC226" s="4"/>
      <c r="AD226" s="4"/>
      <c r="AE226" s="4"/>
      <c r="AF226" s="4"/>
    </row>
    <row r="227" spans="1:32" ht="11.25">
      <c r="A227" s="112">
        <v>2005</v>
      </c>
      <c r="B227" s="10">
        <f t="shared" si="93"/>
        <v>0</v>
      </c>
      <c r="C227" s="43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3"/>
      <c r="W227" s="4"/>
      <c r="X227" s="4"/>
      <c r="Y227" s="4"/>
      <c r="Z227" s="4"/>
      <c r="AA227" s="4"/>
      <c r="AB227" s="4"/>
      <c r="AC227" s="4"/>
      <c r="AD227" s="4"/>
      <c r="AE227" s="4"/>
      <c r="AF227" s="4"/>
    </row>
    <row r="228" spans="1:32" ht="11.25">
      <c r="A228" s="112">
        <v>2006</v>
      </c>
      <c r="B228" s="10">
        <f t="shared" si="93"/>
        <v>0</v>
      </c>
      <c r="C228" s="43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3"/>
      <c r="W228" s="4"/>
      <c r="X228" s="4"/>
      <c r="Y228" s="4"/>
      <c r="Z228" s="4"/>
      <c r="AA228" s="4"/>
      <c r="AB228" s="4"/>
      <c r="AC228" s="4"/>
      <c r="AD228" s="4"/>
      <c r="AE228" s="4"/>
      <c r="AF228" s="4"/>
    </row>
    <row r="229" spans="1:32" ht="11.25">
      <c r="A229" s="112">
        <v>2007</v>
      </c>
      <c r="B229" s="10">
        <f t="shared" si="93"/>
        <v>0</v>
      </c>
      <c r="C229" s="43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3"/>
      <c r="W229" s="4"/>
      <c r="X229" s="4"/>
      <c r="Y229" s="4"/>
      <c r="Z229" s="4"/>
      <c r="AA229" s="4"/>
      <c r="AB229" s="4"/>
      <c r="AC229" s="4"/>
      <c r="AD229" s="4"/>
      <c r="AE229" s="4"/>
      <c r="AF229" s="4"/>
    </row>
    <row r="230" spans="1:32" ht="11.25">
      <c r="A230" s="112">
        <v>2008</v>
      </c>
      <c r="B230" s="10">
        <f t="shared" si="93"/>
        <v>0</v>
      </c>
      <c r="C230" s="43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3"/>
      <c r="W230" s="4"/>
      <c r="X230" s="4"/>
      <c r="Y230" s="4"/>
      <c r="Z230" s="4"/>
      <c r="AA230" s="4"/>
      <c r="AB230" s="4"/>
      <c r="AC230" s="4"/>
      <c r="AD230" s="4"/>
      <c r="AE230" s="4"/>
      <c r="AF230" s="4"/>
    </row>
    <row r="231" spans="1:32" ht="11.25">
      <c r="A231" s="112">
        <v>2009</v>
      </c>
      <c r="B231" s="10">
        <f t="shared" si="93"/>
        <v>0</v>
      </c>
      <c r="C231" s="43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3"/>
      <c r="W231" s="4"/>
      <c r="X231" s="4"/>
      <c r="Y231" s="4"/>
      <c r="Z231" s="4"/>
      <c r="AA231" s="4"/>
      <c r="AB231" s="4"/>
      <c r="AC231" s="4"/>
      <c r="AD231" s="4"/>
      <c r="AE231" s="4"/>
      <c r="AF231" s="4"/>
    </row>
    <row r="232" spans="1:32" ht="11.25">
      <c r="A232" s="112">
        <v>2010</v>
      </c>
      <c r="B232" s="10">
        <f t="shared" si="93"/>
        <v>0</v>
      </c>
      <c r="C232" s="43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3"/>
      <c r="W232" s="4"/>
      <c r="X232" s="4"/>
      <c r="Y232" s="4"/>
      <c r="Z232" s="4"/>
      <c r="AA232" s="4"/>
      <c r="AB232" s="4"/>
      <c r="AC232" s="4"/>
      <c r="AD232" s="4"/>
      <c r="AE232" s="4"/>
      <c r="AF232" s="4"/>
    </row>
    <row r="233" spans="1:32" ht="11.25">
      <c r="A233" s="112">
        <v>2011</v>
      </c>
      <c r="B233" s="10">
        <f t="shared" si="93"/>
        <v>0</v>
      </c>
      <c r="C233" s="43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3"/>
      <c r="W233" s="4"/>
      <c r="X233" s="4"/>
      <c r="Y233" s="4"/>
      <c r="Z233" s="4"/>
      <c r="AA233" s="4"/>
      <c r="AB233" s="4"/>
      <c r="AC233" s="4"/>
      <c r="AD233" s="4"/>
      <c r="AE233" s="4"/>
      <c r="AF233" s="4"/>
    </row>
    <row r="234" spans="1:32" ht="11.25">
      <c r="A234" s="112">
        <v>2012</v>
      </c>
      <c r="B234" s="10">
        <f t="shared" si="93"/>
        <v>0</v>
      </c>
      <c r="C234" s="105"/>
      <c r="D234" s="13"/>
      <c r="E234" s="13"/>
      <c r="F234" s="13"/>
      <c r="G234" s="13"/>
      <c r="H234" s="13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3"/>
      <c r="W234" s="4"/>
      <c r="X234" s="4"/>
      <c r="Y234" s="4"/>
      <c r="Z234" s="4"/>
      <c r="AA234" s="4"/>
      <c r="AB234" s="4"/>
      <c r="AC234" s="4"/>
      <c r="AD234" s="4"/>
      <c r="AE234" s="4"/>
      <c r="AF234" s="4"/>
    </row>
    <row r="235" spans="1:32" ht="11.25">
      <c r="A235" s="112">
        <v>2013</v>
      </c>
      <c r="B235" s="10">
        <f t="shared" si="93"/>
        <v>0</v>
      </c>
      <c r="C235" s="105"/>
      <c r="D235" s="13"/>
      <c r="E235" s="13"/>
      <c r="F235" s="13"/>
      <c r="G235" s="13"/>
      <c r="H235" s="13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3"/>
      <c r="W235" s="4"/>
      <c r="X235" s="4"/>
      <c r="Y235" s="4"/>
      <c r="Z235" s="4"/>
      <c r="AA235" s="4"/>
      <c r="AB235" s="4"/>
      <c r="AC235" s="4"/>
      <c r="AD235" s="4"/>
      <c r="AE235" s="4"/>
      <c r="AF235" s="4"/>
    </row>
    <row r="236" spans="1:32" ht="11.25">
      <c r="A236" s="112">
        <v>2014</v>
      </c>
      <c r="B236" s="10">
        <f t="shared" si="93"/>
        <v>0</v>
      </c>
      <c r="C236" s="105"/>
      <c r="D236" s="13"/>
      <c r="E236" s="13"/>
      <c r="F236" s="13"/>
      <c r="G236" s="13"/>
      <c r="H236" s="13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3"/>
      <c r="W236" s="4"/>
      <c r="X236" s="4"/>
      <c r="Y236" s="4"/>
      <c r="Z236" s="4"/>
      <c r="AA236" s="4"/>
      <c r="AB236" s="4"/>
      <c r="AC236" s="4"/>
      <c r="AD236" s="4"/>
      <c r="AE236" s="4"/>
      <c r="AF236" s="4"/>
    </row>
    <row r="237" spans="1:32" ht="11.25">
      <c r="A237" s="112">
        <v>2015</v>
      </c>
      <c r="B237" s="10">
        <f t="shared" si="93"/>
        <v>0</v>
      </c>
      <c r="C237" s="105"/>
      <c r="D237" s="13"/>
      <c r="E237" s="13"/>
      <c r="F237" s="13"/>
      <c r="G237" s="13"/>
      <c r="H237" s="13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3"/>
      <c r="W237" s="4"/>
      <c r="X237" s="4"/>
      <c r="Y237" s="4"/>
      <c r="Z237" s="4"/>
      <c r="AA237" s="4"/>
      <c r="AB237" s="4"/>
      <c r="AC237" s="4"/>
      <c r="AD237" s="4"/>
      <c r="AE237" s="4"/>
      <c r="AF237" s="4"/>
    </row>
    <row r="238" spans="1:32" ht="12" thickBot="1">
      <c r="A238" s="1" t="s">
        <v>304</v>
      </c>
      <c r="C238" s="44">
        <f>SUM(C218:C237)</f>
        <v>0</v>
      </c>
      <c r="D238" s="117">
        <f aca="true" t="shared" si="95" ref="D238:V238">SUM(D218:D237)</f>
        <v>0</v>
      </c>
      <c r="E238" s="117">
        <f t="shared" si="95"/>
        <v>34.13333333333333</v>
      </c>
      <c r="F238" s="117">
        <f t="shared" si="95"/>
        <v>213.33333333333331</v>
      </c>
      <c r="G238" s="117">
        <f t="shared" si="95"/>
        <v>400</v>
      </c>
      <c r="H238" s="117">
        <f t="shared" si="95"/>
        <v>453.3333333333333</v>
      </c>
      <c r="I238" s="117">
        <f t="shared" si="95"/>
        <v>480</v>
      </c>
      <c r="J238" s="117">
        <f t="shared" si="95"/>
        <v>480</v>
      </c>
      <c r="K238" s="117">
        <f t="shared" si="95"/>
        <v>480</v>
      </c>
      <c r="L238" s="117">
        <f t="shared" si="95"/>
        <v>480</v>
      </c>
      <c r="M238" s="117">
        <f t="shared" si="95"/>
        <v>480</v>
      </c>
      <c r="N238" s="117">
        <f t="shared" si="95"/>
        <v>480</v>
      </c>
      <c r="O238" s="117">
        <f t="shared" si="95"/>
        <v>480</v>
      </c>
      <c r="P238" s="117">
        <f t="shared" si="95"/>
        <v>480</v>
      </c>
      <c r="Q238" s="117">
        <f t="shared" si="95"/>
        <v>480</v>
      </c>
      <c r="R238" s="117">
        <f t="shared" si="95"/>
        <v>480</v>
      </c>
      <c r="S238" s="117">
        <f t="shared" si="95"/>
        <v>480</v>
      </c>
      <c r="T238" s="117">
        <f t="shared" si="95"/>
        <v>480</v>
      </c>
      <c r="U238" s="117">
        <f t="shared" si="95"/>
        <v>480</v>
      </c>
      <c r="V238" s="45">
        <f t="shared" si="95"/>
        <v>480</v>
      </c>
      <c r="W238" s="4"/>
      <c r="X238" s="4"/>
      <c r="Y238" s="4"/>
      <c r="Z238" s="4"/>
      <c r="AA238" s="4"/>
      <c r="AB238" s="4"/>
      <c r="AC238" s="4"/>
      <c r="AD238" s="4"/>
      <c r="AE238" s="4"/>
      <c r="AF238" s="4"/>
    </row>
    <row r="239" spans="9:32" ht="11.25"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</row>
    <row r="240" spans="2:32" ht="12" thickBot="1">
      <c r="B240" s="113" t="s">
        <v>197</v>
      </c>
      <c r="W240" s="4"/>
      <c r="X240" s="4"/>
      <c r="Y240" s="4"/>
      <c r="Z240" s="4"/>
      <c r="AA240" s="4"/>
      <c r="AB240" s="4"/>
      <c r="AC240" s="4"/>
      <c r="AD240" s="4"/>
      <c r="AE240" s="4"/>
      <c r="AF240" s="4"/>
    </row>
    <row r="241" spans="1:32" ht="11.25">
      <c r="A241" s="112">
        <v>1996</v>
      </c>
      <c r="B241" s="10">
        <f aca="true" t="shared" si="96" ref="B241:B260">B101</f>
        <v>0</v>
      </c>
      <c r="C241" s="114">
        <f>$B241*($C$94+$D$94)</f>
        <v>0</v>
      </c>
      <c r="D241" s="115">
        <f aca="true" t="shared" si="97" ref="D241:V248">$B241*($C$94+$D$94)</f>
        <v>0</v>
      </c>
      <c r="E241" s="115">
        <f t="shared" si="97"/>
        <v>0</v>
      </c>
      <c r="F241" s="115">
        <f t="shared" si="97"/>
        <v>0</v>
      </c>
      <c r="G241" s="115">
        <f t="shared" si="97"/>
        <v>0</v>
      </c>
      <c r="H241" s="115">
        <f t="shared" si="97"/>
        <v>0</v>
      </c>
      <c r="I241" s="115">
        <f t="shared" si="97"/>
        <v>0</v>
      </c>
      <c r="J241" s="115">
        <f t="shared" si="97"/>
        <v>0</v>
      </c>
      <c r="K241" s="115">
        <f t="shared" si="97"/>
        <v>0</v>
      </c>
      <c r="L241" s="115">
        <f t="shared" si="97"/>
        <v>0</v>
      </c>
      <c r="M241" s="115">
        <f t="shared" si="97"/>
        <v>0</v>
      </c>
      <c r="N241" s="115">
        <f t="shared" si="97"/>
        <v>0</v>
      </c>
      <c r="O241" s="115">
        <f t="shared" si="97"/>
        <v>0</v>
      </c>
      <c r="P241" s="115">
        <f t="shared" si="97"/>
        <v>0</v>
      </c>
      <c r="Q241" s="115">
        <f t="shared" si="97"/>
        <v>0</v>
      </c>
      <c r="R241" s="115">
        <f t="shared" si="97"/>
        <v>0</v>
      </c>
      <c r="S241" s="115">
        <f t="shared" si="97"/>
        <v>0</v>
      </c>
      <c r="T241" s="115">
        <f t="shared" si="97"/>
        <v>0</v>
      </c>
      <c r="U241" s="115">
        <f t="shared" si="97"/>
        <v>0</v>
      </c>
      <c r="V241" s="116">
        <f t="shared" si="97"/>
        <v>0</v>
      </c>
      <c r="W241" s="4"/>
      <c r="X241" s="4"/>
      <c r="Y241" s="4"/>
      <c r="Z241" s="4"/>
      <c r="AA241" s="4"/>
      <c r="AB241" s="4"/>
      <c r="AC241" s="4"/>
      <c r="AD241" s="4"/>
      <c r="AE241" s="4"/>
      <c r="AF241" s="4"/>
    </row>
    <row r="242" spans="1:32" ht="11.25">
      <c r="A242" s="112">
        <v>1997</v>
      </c>
      <c r="B242" s="10">
        <f t="shared" si="96"/>
        <v>0</v>
      </c>
      <c r="C242" s="43"/>
      <c r="D242" s="32">
        <f t="shared" si="97"/>
        <v>0</v>
      </c>
      <c r="E242" s="32">
        <f t="shared" si="97"/>
        <v>0</v>
      </c>
      <c r="F242" s="32">
        <f t="shared" si="97"/>
        <v>0</v>
      </c>
      <c r="G242" s="32">
        <f t="shared" si="97"/>
        <v>0</v>
      </c>
      <c r="H242" s="32">
        <f t="shared" si="97"/>
        <v>0</v>
      </c>
      <c r="I242" s="32">
        <f t="shared" si="97"/>
        <v>0</v>
      </c>
      <c r="J242" s="32">
        <f t="shared" si="97"/>
        <v>0</v>
      </c>
      <c r="K242" s="32">
        <f t="shared" si="97"/>
        <v>0</v>
      </c>
      <c r="L242" s="32">
        <f t="shared" si="97"/>
        <v>0</v>
      </c>
      <c r="M242" s="32">
        <f t="shared" si="97"/>
        <v>0</v>
      </c>
      <c r="N242" s="32">
        <f t="shared" si="97"/>
        <v>0</v>
      </c>
      <c r="O242" s="32">
        <f t="shared" si="97"/>
        <v>0</v>
      </c>
      <c r="P242" s="32">
        <f t="shared" si="97"/>
        <v>0</v>
      </c>
      <c r="Q242" s="32">
        <f t="shared" si="97"/>
        <v>0</v>
      </c>
      <c r="R242" s="32">
        <f t="shared" si="97"/>
        <v>0</v>
      </c>
      <c r="S242" s="32">
        <f t="shared" si="97"/>
        <v>0</v>
      </c>
      <c r="T242" s="32">
        <f t="shared" si="97"/>
        <v>0</v>
      </c>
      <c r="U242" s="32">
        <f t="shared" si="97"/>
        <v>0</v>
      </c>
      <c r="V242" s="33">
        <f t="shared" si="97"/>
        <v>0</v>
      </c>
      <c r="W242" s="4"/>
      <c r="X242" s="4"/>
      <c r="Y242" s="4"/>
      <c r="Z242" s="4"/>
      <c r="AA242" s="4"/>
      <c r="AB242" s="4"/>
      <c r="AC242" s="4"/>
      <c r="AD242" s="4"/>
      <c r="AE242" s="4"/>
      <c r="AF242" s="4"/>
    </row>
    <row r="243" spans="1:32" ht="11.25">
      <c r="A243" s="112">
        <v>1998</v>
      </c>
      <c r="B243" s="10">
        <f t="shared" si="96"/>
        <v>1.28</v>
      </c>
      <c r="C243" s="43"/>
      <c r="D243" s="32"/>
      <c r="E243" s="32">
        <f t="shared" si="97"/>
        <v>-10.666666666666668</v>
      </c>
      <c r="F243" s="32">
        <f t="shared" si="97"/>
        <v>-10.666666666666668</v>
      </c>
      <c r="G243" s="32">
        <f t="shared" si="97"/>
        <v>-10.666666666666668</v>
      </c>
      <c r="H243" s="32">
        <f t="shared" si="97"/>
        <v>-10.666666666666668</v>
      </c>
      <c r="I243" s="32">
        <f t="shared" si="97"/>
        <v>-10.666666666666668</v>
      </c>
      <c r="J243" s="32">
        <f t="shared" si="97"/>
        <v>-10.666666666666668</v>
      </c>
      <c r="K243" s="32">
        <f t="shared" si="97"/>
        <v>-10.666666666666668</v>
      </c>
      <c r="L243" s="32">
        <f t="shared" si="97"/>
        <v>-10.666666666666668</v>
      </c>
      <c r="M243" s="32">
        <f t="shared" si="97"/>
        <v>-10.666666666666668</v>
      </c>
      <c r="N243" s="32">
        <f t="shared" si="97"/>
        <v>-10.666666666666668</v>
      </c>
      <c r="O243" s="32">
        <f t="shared" si="97"/>
        <v>-10.666666666666668</v>
      </c>
      <c r="P243" s="32">
        <f t="shared" si="97"/>
        <v>-10.666666666666668</v>
      </c>
      <c r="Q243" s="32">
        <f t="shared" si="97"/>
        <v>-10.666666666666668</v>
      </c>
      <c r="R243" s="32">
        <f t="shared" si="97"/>
        <v>-10.666666666666668</v>
      </c>
      <c r="S243" s="32">
        <f t="shared" si="97"/>
        <v>-10.666666666666668</v>
      </c>
      <c r="T243" s="32">
        <f t="shared" si="97"/>
        <v>-10.666666666666668</v>
      </c>
      <c r="U243" s="32">
        <f t="shared" si="97"/>
        <v>-10.666666666666668</v>
      </c>
      <c r="V243" s="33">
        <f t="shared" si="97"/>
        <v>-10.666666666666668</v>
      </c>
      <c r="W243" s="4"/>
      <c r="X243" s="4"/>
      <c r="Y243" s="4"/>
      <c r="Z243" s="4"/>
      <c r="AA243" s="4"/>
      <c r="AB243" s="4"/>
      <c r="AC243" s="4"/>
      <c r="AD243" s="4"/>
      <c r="AE243" s="4"/>
      <c r="AF243" s="4"/>
    </row>
    <row r="244" spans="1:32" ht="11.25">
      <c r="A244" s="112">
        <v>1999</v>
      </c>
      <c r="B244" s="10">
        <f t="shared" si="96"/>
        <v>6.72</v>
      </c>
      <c r="C244" s="43"/>
      <c r="D244" s="32"/>
      <c r="E244" s="32"/>
      <c r="F244" s="32">
        <f t="shared" si="97"/>
        <v>-56</v>
      </c>
      <c r="G244" s="32">
        <f t="shared" si="97"/>
        <v>-56</v>
      </c>
      <c r="H244" s="32">
        <f t="shared" si="97"/>
        <v>-56</v>
      </c>
      <c r="I244" s="32">
        <f t="shared" si="97"/>
        <v>-56</v>
      </c>
      <c r="J244" s="32">
        <f t="shared" si="97"/>
        <v>-56</v>
      </c>
      <c r="K244" s="32">
        <f t="shared" si="97"/>
        <v>-56</v>
      </c>
      <c r="L244" s="32">
        <f t="shared" si="97"/>
        <v>-56</v>
      </c>
      <c r="M244" s="32">
        <f t="shared" si="97"/>
        <v>-56</v>
      </c>
      <c r="N244" s="32">
        <f t="shared" si="97"/>
        <v>-56</v>
      </c>
      <c r="O244" s="32">
        <f t="shared" si="97"/>
        <v>-56</v>
      </c>
      <c r="P244" s="32">
        <f t="shared" si="97"/>
        <v>-56</v>
      </c>
      <c r="Q244" s="32">
        <f t="shared" si="97"/>
        <v>-56</v>
      </c>
      <c r="R244" s="32">
        <f t="shared" si="97"/>
        <v>-56</v>
      </c>
      <c r="S244" s="32">
        <f t="shared" si="97"/>
        <v>-56</v>
      </c>
      <c r="T244" s="32">
        <f t="shared" si="97"/>
        <v>-56</v>
      </c>
      <c r="U244" s="32">
        <f t="shared" si="97"/>
        <v>-56</v>
      </c>
      <c r="V244" s="33">
        <f t="shared" si="97"/>
        <v>-56</v>
      </c>
      <c r="W244" s="4"/>
      <c r="X244" s="4"/>
      <c r="Y244" s="4"/>
      <c r="Z244" s="4"/>
      <c r="AA244" s="4"/>
      <c r="AB244" s="4"/>
      <c r="AC244" s="4"/>
      <c r="AD244" s="4"/>
      <c r="AE244" s="4"/>
      <c r="AF244" s="4"/>
    </row>
    <row r="245" spans="1:32" ht="11.25">
      <c r="A245" s="112">
        <v>2000</v>
      </c>
      <c r="B245" s="10">
        <f t="shared" si="96"/>
        <v>7</v>
      </c>
      <c r="C245" s="43"/>
      <c r="D245" s="32"/>
      <c r="E245" s="32"/>
      <c r="F245" s="32"/>
      <c r="G245" s="32">
        <f t="shared" si="97"/>
        <v>-58.333333333333336</v>
      </c>
      <c r="H245" s="32">
        <f t="shared" si="97"/>
        <v>-58.333333333333336</v>
      </c>
      <c r="I245" s="32">
        <f t="shared" si="97"/>
        <v>-58.333333333333336</v>
      </c>
      <c r="J245" s="32">
        <f t="shared" si="97"/>
        <v>-58.333333333333336</v>
      </c>
      <c r="K245" s="32">
        <f t="shared" si="97"/>
        <v>-58.333333333333336</v>
      </c>
      <c r="L245" s="32">
        <f t="shared" si="97"/>
        <v>-58.333333333333336</v>
      </c>
      <c r="M245" s="32">
        <f t="shared" si="97"/>
        <v>-58.333333333333336</v>
      </c>
      <c r="N245" s="32">
        <f t="shared" si="97"/>
        <v>-58.333333333333336</v>
      </c>
      <c r="O245" s="32">
        <f t="shared" si="97"/>
        <v>-58.333333333333336</v>
      </c>
      <c r="P245" s="32">
        <f t="shared" si="97"/>
        <v>-58.333333333333336</v>
      </c>
      <c r="Q245" s="32">
        <f t="shared" si="97"/>
        <v>-58.333333333333336</v>
      </c>
      <c r="R245" s="32">
        <f t="shared" si="97"/>
        <v>-58.333333333333336</v>
      </c>
      <c r="S245" s="32">
        <f t="shared" si="97"/>
        <v>-58.333333333333336</v>
      </c>
      <c r="T245" s="32">
        <f t="shared" si="97"/>
        <v>-58.333333333333336</v>
      </c>
      <c r="U245" s="32">
        <f t="shared" si="97"/>
        <v>-58.333333333333336</v>
      </c>
      <c r="V245" s="33">
        <f t="shared" si="97"/>
        <v>-58.333333333333336</v>
      </c>
      <c r="W245" s="4"/>
      <c r="X245" s="4"/>
      <c r="Y245" s="4"/>
      <c r="Z245" s="4"/>
      <c r="AA245" s="4"/>
      <c r="AB245" s="4"/>
      <c r="AC245" s="4"/>
      <c r="AD245" s="4"/>
      <c r="AE245" s="4"/>
      <c r="AF245" s="4"/>
    </row>
    <row r="246" spans="1:32" ht="11.25">
      <c r="A246" s="112">
        <v>2001</v>
      </c>
      <c r="B246" s="10">
        <f t="shared" si="96"/>
        <v>2</v>
      </c>
      <c r="C246" s="43"/>
      <c r="D246" s="32"/>
      <c r="E246" s="32"/>
      <c r="F246" s="32"/>
      <c r="G246" s="32"/>
      <c r="H246" s="32">
        <f t="shared" si="97"/>
        <v>-16.666666666666668</v>
      </c>
      <c r="I246" s="32">
        <f t="shared" si="97"/>
        <v>-16.666666666666668</v>
      </c>
      <c r="J246" s="32">
        <f t="shared" si="97"/>
        <v>-16.666666666666668</v>
      </c>
      <c r="K246" s="32">
        <f t="shared" si="97"/>
        <v>-16.666666666666668</v>
      </c>
      <c r="L246" s="32">
        <f t="shared" si="97"/>
        <v>-16.666666666666668</v>
      </c>
      <c r="M246" s="32">
        <f t="shared" si="97"/>
        <v>-16.666666666666668</v>
      </c>
      <c r="N246" s="32">
        <f t="shared" si="97"/>
        <v>-16.666666666666668</v>
      </c>
      <c r="O246" s="32">
        <f t="shared" si="97"/>
        <v>-16.666666666666668</v>
      </c>
      <c r="P246" s="32">
        <f t="shared" si="97"/>
        <v>-16.666666666666668</v>
      </c>
      <c r="Q246" s="32">
        <f t="shared" si="97"/>
        <v>-16.666666666666668</v>
      </c>
      <c r="R246" s="32">
        <f t="shared" si="97"/>
        <v>-16.666666666666668</v>
      </c>
      <c r="S246" s="32">
        <f t="shared" si="97"/>
        <v>-16.666666666666668</v>
      </c>
      <c r="T246" s="32">
        <f t="shared" si="97"/>
        <v>-16.666666666666668</v>
      </c>
      <c r="U246" s="32">
        <f t="shared" si="97"/>
        <v>-16.666666666666668</v>
      </c>
      <c r="V246" s="33">
        <f t="shared" si="97"/>
        <v>-16.666666666666668</v>
      </c>
      <c r="W246" s="4"/>
      <c r="X246" s="4"/>
      <c r="Y246" s="4"/>
      <c r="Z246" s="4"/>
      <c r="AA246" s="4"/>
      <c r="AB246" s="4"/>
      <c r="AC246" s="4"/>
      <c r="AD246" s="4"/>
      <c r="AE246" s="4"/>
      <c r="AF246" s="4"/>
    </row>
    <row r="247" spans="1:32" ht="11.25">
      <c r="A247" s="112">
        <v>2002</v>
      </c>
      <c r="B247" s="10">
        <f t="shared" si="96"/>
        <v>1</v>
      </c>
      <c r="C247" s="43"/>
      <c r="D247" s="32"/>
      <c r="E247" s="32"/>
      <c r="F247" s="32"/>
      <c r="G247" s="32"/>
      <c r="H247" s="32"/>
      <c r="I247" s="32">
        <f t="shared" si="97"/>
        <v>-8.333333333333334</v>
      </c>
      <c r="J247" s="32">
        <f t="shared" si="97"/>
        <v>-8.333333333333334</v>
      </c>
      <c r="K247" s="32">
        <f t="shared" si="97"/>
        <v>-8.333333333333334</v>
      </c>
      <c r="L247" s="32">
        <f t="shared" si="97"/>
        <v>-8.333333333333334</v>
      </c>
      <c r="M247" s="32">
        <f t="shared" si="97"/>
        <v>-8.333333333333334</v>
      </c>
      <c r="N247" s="32">
        <f t="shared" si="97"/>
        <v>-8.333333333333334</v>
      </c>
      <c r="O247" s="32">
        <f t="shared" si="97"/>
        <v>-8.333333333333334</v>
      </c>
      <c r="P247" s="32">
        <f t="shared" si="97"/>
        <v>-8.333333333333334</v>
      </c>
      <c r="Q247" s="32">
        <f t="shared" si="97"/>
        <v>-8.333333333333334</v>
      </c>
      <c r="R247" s="32">
        <f t="shared" si="97"/>
        <v>-8.333333333333334</v>
      </c>
      <c r="S247" s="32">
        <f t="shared" si="97"/>
        <v>-8.333333333333334</v>
      </c>
      <c r="T247" s="32">
        <f t="shared" si="97"/>
        <v>-8.333333333333334</v>
      </c>
      <c r="U247" s="32">
        <f t="shared" si="97"/>
        <v>-8.333333333333334</v>
      </c>
      <c r="V247" s="33">
        <f t="shared" si="97"/>
        <v>-8.333333333333334</v>
      </c>
      <c r="W247" s="4"/>
      <c r="X247" s="4"/>
      <c r="Y247" s="4"/>
      <c r="Z247" s="4"/>
      <c r="AA247" s="4"/>
      <c r="AB247" s="4"/>
      <c r="AC247" s="4"/>
      <c r="AD247" s="4"/>
      <c r="AE247" s="4"/>
      <c r="AF247" s="4"/>
    </row>
    <row r="248" spans="1:22" ht="11.25">
      <c r="A248" s="112">
        <v>2003</v>
      </c>
      <c r="B248" s="10">
        <f t="shared" si="96"/>
        <v>0</v>
      </c>
      <c r="C248" s="43"/>
      <c r="D248" s="32"/>
      <c r="E248" s="32"/>
      <c r="F248" s="32"/>
      <c r="G248" s="32"/>
      <c r="H248" s="32"/>
      <c r="I248" s="32"/>
      <c r="J248" s="32">
        <f t="shared" si="97"/>
        <v>0</v>
      </c>
      <c r="K248" s="32">
        <f t="shared" si="97"/>
        <v>0</v>
      </c>
      <c r="L248" s="32">
        <f t="shared" si="97"/>
        <v>0</v>
      </c>
      <c r="M248" s="32">
        <f t="shared" si="97"/>
        <v>0</v>
      </c>
      <c r="N248" s="32">
        <f t="shared" si="97"/>
        <v>0</v>
      </c>
      <c r="O248" s="32">
        <f t="shared" si="97"/>
        <v>0</v>
      </c>
      <c r="P248" s="32">
        <f t="shared" si="97"/>
        <v>0</v>
      </c>
      <c r="Q248" s="32">
        <f t="shared" si="97"/>
        <v>0</v>
      </c>
      <c r="R248" s="32">
        <f t="shared" si="97"/>
        <v>0</v>
      </c>
      <c r="S248" s="32">
        <f t="shared" si="97"/>
        <v>0</v>
      </c>
      <c r="T248" s="32">
        <f t="shared" si="97"/>
        <v>0</v>
      </c>
      <c r="U248" s="32">
        <f t="shared" si="97"/>
        <v>0</v>
      </c>
      <c r="V248" s="33">
        <f t="shared" si="97"/>
        <v>0</v>
      </c>
    </row>
    <row r="249" spans="1:22" ht="11.25">
      <c r="A249" s="112">
        <v>2004</v>
      </c>
      <c r="B249" s="10">
        <f t="shared" si="96"/>
        <v>0</v>
      </c>
      <c r="C249" s="43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3"/>
    </row>
    <row r="250" spans="1:22" ht="11.25">
      <c r="A250" s="112">
        <v>2005</v>
      </c>
      <c r="B250" s="10">
        <f t="shared" si="96"/>
        <v>0</v>
      </c>
      <c r="C250" s="43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3"/>
    </row>
    <row r="251" spans="1:22" ht="11.25">
      <c r="A251" s="112">
        <v>2006</v>
      </c>
      <c r="B251" s="10">
        <f t="shared" si="96"/>
        <v>0</v>
      </c>
      <c r="C251" s="43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3"/>
    </row>
    <row r="252" spans="1:22" ht="11.25">
      <c r="A252" s="112">
        <v>2007</v>
      </c>
      <c r="B252" s="10">
        <f t="shared" si="96"/>
        <v>0</v>
      </c>
      <c r="C252" s="43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3"/>
    </row>
    <row r="253" spans="1:22" ht="11.25">
      <c r="A253" s="112">
        <v>2008</v>
      </c>
      <c r="B253" s="10">
        <f t="shared" si="96"/>
        <v>0</v>
      </c>
      <c r="C253" s="43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3"/>
    </row>
    <row r="254" spans="1:22" ht="11.25">
      <c r="A254" s="112">
        <v>2009</v>
      </c>
      <c r="B254" s="10">
        <f t="shared" si="96"/>
        <v>0</v>
      </c>
      <c r="C254" s="43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3"/>
    </row>
    <row r="255" spans="1:22" ht="11.25">
      <c r="A255" s="112">
        <v>2010</v>
      </c>
      <c r="B255" s="10">
        <f t="shared" si="96"/>
        <v>0</v>
      </c>
      <c r="C255" s="43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3"/>
    </row>
    <row r="256" spans="1:22" ht="11.25">
      <c r="A256" s="112">
        <v>2011</v>
      </c>
      <c r="B256" s="10">
        <f t="shared" si="96"/>
        <v>0</v>
      </c>
      <c r="C256" s="43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3"/>
    </row>
    <row r="257" spans="1:22" ht="11.25">
      <c r="A257" s="112">
        <v>2012</v>
      </c>
      <c r="B257" s="10">
        <f t="shared" si="96"/>
        <v>0</v>
      </c>
      <c r="C257" s="105"/>
      <c r="D257" s="13"/>
      <c r="E257" s="13"/>
      <c r="F257" s="13"/>
      <c r="G257" s="13"/>
      <c r="H257" s="13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3"/>
    </row>
    <row r="258" spans="1:22" ht="11.25">
      <c r="A258" s="112">
        <v>2013</v>
      </c>
      <c r="B258" s="10">
        <f t="shared" si="96"/>
        <v>0</v>
      </c>
      <c r="C258" s="105"/>
      <c r="D258" s="13"/>
      <c r="E258" s="13"/>
      <c r="F258" s="13"/>
      <c r="G258" s="13"/>
      <c r="H258" s="13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3"/>
    </row>
    <row r="259" spans="1:22" ht="11.25">
      <c r="A259" s="112">
        <v>2014</v>
      </c>
      <c r="B259" s="10">
        <f t="shared" si="96"/>
        <v>0</v>
      </c>
      <c r="C259" s="105"/>
      <c r="D259" s="13"/>
      <c r="E259" s="13"/>
      <c r="F259" s="13"/>
      <c r="G259" s="13"/>
      <c r="H259" s="13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3"/>
    </row>
    <row r="260" spans="1:22" ht="11.25">
      <c r="A260" s="112">
        <v>2015</v>
      </c>
      <c r="B260" s="10">
        <f t="shared" si="96"/>
        <v>0</v>
      </c>
      <c r="C260" s="105"/>
      <c r="D260" s="13"/>
      <c r="E260" s="13"/>
      <c r="F260" s="13"/>
      <c r="G260" s="13"/>
      <c r="H260" s="13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3"/>
    </row>
    <row r="261" spans="1:22" ht="12" thickBot="1">
      <c r="A261" s="1" t="s">
        <v>306</v>
      </c>
      <c r="C261" s="44">
        <f>SUM(C241:C260)</f>
        <v>0</v>
      </c>
      <c r="D261" s="117">
        <f aca="true" t="shared" si="98" ref="D261:V261">SUM(D241:D260)</f>
        <v>0</v>
      </c>
      <c r="E261" s="117">
        <f t="shared" si="98"/>
        <v>-10.666666666666668</v>
      </c>
      <c r="F261" s="117">
        <f t="shared" si="98"/>
        <v>-66.66666666666667</v>
      </c>
      <c r="G261" s="117">
        <f t="shared" si="98"/>
        <v>-125</v>
      </c>
      <c r="H261" s="117">
        <f t="shared" si="98"/>
        <v>-141.66666666666666</v>
      </c>
      <c r="I261" s="117">
        <f t="shared" si="98"/>
        <v>-150</v>
      </c>
      <c r="J261" s="117">
        <f t="shared" si="98"/>
        <v>-150</v>
      </c>
      <c r="K261" s="117">
        <f t="shared" si="98"/>
        <v>-150</v>
      </c>
      <c r="L261" s="117">
        <f t="shared" si="98"/>
        <v>-150</v>
      </c>
      <c r="M261" s="117">
        <f t="shared" si="98"/>
        <v>-150</v>
      </c>
      <c r="N261" s="117">
        <f t="shared" si="98"/>
        <v>-150</v>
      </c>
      <c r="O261" s="117">
        <f t="shared" si="98"/>
        <v>-150</v>
      </c>
      <c r="P261" s="117">
        <f t="shared" si="98"/>
        <v>-150</v>
      </c>
      <c r="Q261" s="117">
        <f t="shared" si="98"/>
        <v>-150</v>
      </c>
      <c r="R261" s="117">
        <f t="shared" si="98"/>
        <v>-150</v>
      </c>
      <c r="S261" s="117">
        <f t="shared" si="98"/>
        <v>-150</v>
      </c>
      <c r="T261" s="117">
        <f t="shared" si="98"/>
        <v>-150</v>
      </c>
      <c r="U261" s="117">
        <f t="shared" si="98"/>
        <v>-150</v>
      </c>
      <c r="V261" s="45">
        <f t="shared" si="98"/>
        <v>-150</v>
      </c>
    </row>
  </sheetData>
  <sheetProtection/>
  <mergeCells count="2">
    <mergeCell ref="D6:F6"/>
    <mergeCell ref="G6:H6"/>
  </mergeCells>
  <printOptions gridLines="1"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I43"/>
  <sheetViews>
    <sheetView zoomScalePageLayoutView="0" workbookViewId="0" topLeftCell="A1">
      <pane xSplit="1" ySplit="2" topLeftCell="B2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39" sqref="E39"/>
    </sheetView>
  </sheetViews>
  <sheetFormatPr defaultColWidth="9.28125" defaultRowHeight="12.75"/>
  <cols>
    <col min="1" max="1" width="49.421875" style="2" customWidth="1"/>
    <col min="2" max="3" width="8.28125" style="2" customWidth="1"/>
    <col min="4" max="4" width="12.00390625" style="2" customWidth="1"/>
    <col min="5" max="21" width="8.28125" style="2" customWidth="1"/>
    <col min="22" max="16384" width="9.28125" style="2" customWidth="1"/>
  </cols>
  <sheetData>
    <row r="1" spans="2:21" ht="11.25">
      <c r="B1" s="2">
        <v>1996</v>
      </c>
      <c r="C1" s="2">
        <v>1997</v>
      </c>
      <c r="D1" s="2">
        <v>1998</v>
      </c>
      <c r="E1" s="2">
        <v>1999</v>
      </c>
      <c r="F1" s="2">
        <v>2000</v>
      </c>
      <c r="G1" s="2">
        <v>2001</v>
      </c>
      <c r="H1" s="2">
        <v>2002</v>
      </c>
      <c r="I1" s="2">
        <v>2003</v>
      </c>
      <c r="J1" s="2">
        <v>2004</v>
      </c>
      <c r="K1" s="2">
        <v>2005</v>
      </c>
      <c r="L1" s="2">
        <v>2006</v>
      </c>
      <c r="M1" s="2">
        <v>2007</v>
      </c>
      <c r="N1" s="2">
        <v>2008</v>
      </c>
      <c r="O1" s="2">
        <v>2009</v>
      </c>
      <c r="P1" s="2">
        <v>2010</v>
      </c>
      <c r="Q1" s="2">
        <v>2011</v>
      </c>
      <c r="R1" s="2">
        <v>2012</v>
      </c>
      <c r="S1" s="2">
        <v>2013</v>
      </c>
      <c r="T1" s="2">
        <v>2014</v>
      </c>
      <c r="U1" s="2">
        <v>2015</v>
      </c>
    </row>
    <row r="2" spans="2:21" ht="11.25">
      <c r="B2" s="2">
        <v>-2</v>
      </c>
      <c r="C2" s="2">
        <v>-1</v>
      </c>
      <c r="D2" s="2">
        <v>0</v>
      </c>
      <c r="E2" s="2">
        <v>1</v>
      </c>
      <c r="F2" s="2">
        <v>2</v>
      </c>
      <c r="G2" s="2">
        <v>3</v>
      </c>
      <c r="H2" s="2">
        <v>4</v>
      </c>
      <c r="I2" s="2">
        <v>5</v>
      </c>
      <c r="J2" s="2">
        <v>6</v>
      </c>
      <c r="K2" s="2">
        <v>7</v>
      </c>
      <c r="L2" s="2">
        <v>8</v>
      </c>
      <c r="M2" s="2">
        <v>9</v>
      </c>
      <c r="N2" s="2">
        <v>10</v>
      </c>
      <c r="O2" s="2">
        <v>11</v>
      </c>
      <c r="P2" s="2">
        <v>12</v>
      </c>
      <c r="Q2" s="2">
        <v>13</v>
      </c>
      <c r="R2" s="2">
        <v>14</v>
      </c>
      <c r="S2" s="2">
        <v>15</v>
      </c>
      <c r="T2" s="2">
        <v>16</v>
      </c>
      <c r="U2" s="2">
        <v>17</v>
      </c>
    </row>
    <row r="3" spans="1:3" ht="12">
      <c r="A3" s="1" t="s">
        <v>214</v>
      </c>
      <c r="B3" s="1"/>
      <c r="C3" s="1"/>
    </row>
    <row r="4" spans="1:4" ht="11.25">
      <c r="A4" s="2" t="s">
        <v>41</v>
      </c>
      <c r="D4" s="21">
        <v>20</v>
      </c>
    </row>
    <row r="5" spans="1:4" ht="11.25">
      <c r="A5" s="2" t="s">
        <v>49</v>
      </c>
      <c r="D5" s="21">
        <f>'Tai chinh'!E41*(1-'Tai chinh'!B47)</f>
        <v>19999.999999999996</v>
      </c>
    </row>
    <row r="6" spans="1:4" ht="11.25">
      <c r="A6" s="23" t="s">
        <v>42</v>
      </c>
      <c r="B6" s="23"/>
      <c r="C6" s="23"/>
      <c r="D6" s="24">
        <v>5.5</v>
      </c>
    </row>
    <row r="7" spans="1:4" ht="11.25">
      <c r="A7" s="23" t="s">
        <v>43</v>
      </c>
      <c r="B7" s="23"/>
      <c r="C7" s="23"/>
      <c r="D7" s="24">
        <v>3.5</v>
      </c>
    </row>
    <row r="8" spans="1:4" ht="11.25">
      <c r="A8" s="23" t="s">
        <v>44</v>
      </c>
      <c r="B8" s="23"/>
      <c r="C8" s="23"/>
      <c r="D8" s="21">
        <v>150</v>
      </c>
    </row>
    <row r="9" spans="1:4" ht="12">
      <c r="A9" s="25" t="s">
        <v>52</v>
      </c>
      <c r="B9" s="25"/>
      <c r="C9" s="25"/>
      <c r="D9" s="21"/>
    </row>
    <row r="10" spans="1:4" ht="11.25">
      <c r="A10" s="23" t="s">
        <v>51</v>
      </c>
      <c r="B10" s="23"/>
      <c r="C10" s="23"/>
      <c r="D10" s="21">
        <v>12</v>
      </c>
    </row>
    <row r="11" spans="1:4" ht="11.25">
      <c r="A11" s="23" t="s">
        <v>45</v>
      </c>
      <c r="B11" s="23"/>
      <c r="C11" s="23"/>
      <c r="D11" s="24">
        <v>1.5</v>
      </c>
    </row>
    <row r="12" spans="1:4" ht="11.25">
      <c r="A12" s="23" t="s">
        <v>46</v>
      </c>
      <c r="B12" s="23"/>
      <c r="C12" s="23"/>
      <c r="D12" s="21">
        <v>30000</v>
      </c>
    </row>
    <row r="13" spans="1:4" ht="11.25">
      <c r="A13" s="23" t="s">
        <v>53</v>
      </c>
      <c r="B13" s="23"/>
      <c r="C13" s="23"/>
      <c r="D13" s="21">
        <f>D8</f>
        <v>150</v>
      </c>
    </row>
    <row r="14" spans="1:4" ht="11.25">
      <c r="A14" s="23" t="s">
        <v>307</v>
      </c>
      <c r="B14" s="23"/>
      <c r="C14" s="23"/>
      <c r="D14" s="21">
        <v>10000000</v>
      </c>
    </row>
    <row r="15" spans="1:4" ht="11.25">
      <c r="A15" s="23" t="s">
        <v>308</v>
      </c>
      <c r="B15" s="23"/>
      <c r="C15" s="23"/>
      <c r="D15" s="21">
        <v>100000000</v>
      </c>
    </row>
    <row r="16" spans="1:4" ht="11.25">
      <c r="A16" s="23" t="s">
        <v>47</v>
      </c>
      <c r="B16" s="23"/>
      <c r="C16" s="23"/>
      <c r="D16" s="26">
        <v>0.12</v>
      </c>
    </row>
    <row r="17" spans="1:4" ht="11.25">
      <c r="A17" s="23" t="s">
        <v>309</v>
      </c>
      <c r="B17" s="23"/>
      <c r="C17" s="23"/>
      <c r="D17" s="21">
        <v>625</v>
      </c>
    </row>
    <row r="18" ht="11.25">
      <c r="D18" s="21"/>
    </row>
    <row r="19" spans="1:4" ht="11.25">
      <c r="A19" s="2" t="s">
        <v>55</v>
      </c>
      <c r="D19" s="21">
        <f>D8*D7*D4</f>
        <v>10500</v>
      </c>
    </row>
    <row r="20" spans="1:4" ht="11.25">
      <c r="A20" s="2" t="s">
        <v>56</v>
      </c>
      <c r="D20" s="21">
        <f>D8*D7</f>
        <v>525</v>
      </c>
    </row>
    <row r="21" spans="1:4" ht="11.25">
      <c r="A21" s="2" t="s">
        <v>57</v>
      </c>
      <c r="D21" s="21">
        <f>D20*D6</f>
        <v>2887.5</v>
      </c>
    </row>
    <row r="22" ht="11.25">
      <c r="D22" s="21"/>
    </row>
    <row r="23" spans="1:4" ht="11.25">
      <c r="A23" s="2" t="s">
        <v>48</v>
      </c>
      <c r="D23" s="21">
        <f>D21*D5</f>
        <v>57749999.99999999</v>
      </c>
    </row>
    <row r="24" ht="11.25">
      <c r="D24" s="21"/>
    </row>
    <row r="25" spans="1:4" ht="11.25">
      <c r="A25" s="2" t="s">
        <v>50</v>
      </c>
      <c r="D25" s="21">
        <f>D19/D10*D11*'Tai chinh'!E7</f>
        <v>19687500</v>
      </c>
    </row>
    <row r="26" spans="1:4" ht="11.25">
      <c r="A26" s="2" t="s">
        <v>28</v>
      </c>
      <c r="D26" s="21">
        <f>D13*D12</f>
        <v>4500000</v>
      </c>
    </row>
    <row r="27" spans="1:4" ht="11.25">
      <c r="A27" s="2" t="s">
        <v>54</v>
      </c>
      <c r="D27" s="21">
        <f>D14</f>
        <v>10000000</v>
      </c>
    </row>
    <row r="28" spans="1:4" ht="11.25">
      <c r="A28" s="2" t="s">
        <v>58</v>
      </c>
      <c r="D28" s="21">
        <f>D17*D19</f>
        <v>6562500</v>
      </c>
    </row>
    <row r="29" spans="1:4" ht="11.25">
      <c r="A29" s="2" t="s">
        <v>59</v>
      </c>
      <c r="D29" s="21">
        <f>D16*D15*D13/365</f>
        <v>4931506.849315069</v>
      </c>
    </row>
    <row r="30" spans="1:4" ht="11.25">
      <c r="A30" s="2" t="s">
        <v>14</v>
      </c>
      <c r="D30" s="21">
        <f>SUM(D25:D29)</f>
        <v>45681506.84931507</v>
      </c>
    </row>
    <row r="31" ht="11.25">
      <c r="D31" s="21"/>
    </row>
    <row r="32" spans="1:4" ht="11.25">
      <c r="A32" s="2" t="s">
        <v>60</v>
      </c>
      <c r="D32" s="21">
        <f>D23-D30</f>
        <v>12068493.150684923</v>
      </c>
    </row>
    <row r="33" spans="1:6" ht="12">
      <c r="A33" s="2" t="s">
        <v>61</v>
      </c>
      <c r="D33" s="119">
        <f>D32/D23</f>
        <v>0.20897823637549653</v>
      </c>
      <c r="F33" s="20"/>
    </row>
    <row r="34" spans="1:4" ht="11.25">
      <c r="A34" s="4" t="s">
        <v>33</v>
      </c>
      <c r="B34" s="4"/>
      <c r="C34" s="4"/>
      <c r="D34" s="19">
        <f>1-'Tai chinh'!B47</f>
        <v>0.09999999999999998</v>
      </c>
    </row>
    <row r="35" spans="1:21" ht="11.25">
      <c r="A35" s="2" t="s">
        <v>62</v>
      </c>
      <c r="E35" s="4">
        <f>'Tai chinh'!F126</f>
        <v>853.3333333333334</v>
      </c>
      <c r="F35" s="4">
        <f>'Tai chinh'!G126</f>
        <v>5333.333333333333</v>
      </c>
      <c r="G35" s="4">
        <f>'Tai chinh'!H126</f>
        <v>10000.000000000002</v>
      </c>
      <c r="H35" s="4">
        <f>'Tai chinh'!I126</f>
        <v>11333.333333333332</v>
      </c>
      <c r="I35" s="4">
        <f>'Tai chinh'!J126</f>
        <v>12000</v>
      </c>
      <c r="J35" s="4">
        <f>'Tai chinh'!K126</f>
        <v>12360</v>
      </c>
      <c r="K35" s="4">
        <f>'Tai chinh'!L126</f>
        <v>12730.8</v>
      </c>
      <c r="L35" s="4">
        <f>'Tai chinh'!M126</f>
        <v>13112.724</v>
      </c>
      <c r="M35" s="4">
        <f>'Tai chinh'!N126</f>
        <v>13506.10572</v>
      </c>
      <c r="N35" s="4">
        <f>'Tai chinh'!O126</f>
        <v>13911.288891600003</v>
      </c>
      <c r="O35" s="4">
        <f>'Tai chinh'!P126</f>
        <v>14328.627558348002</v>
      </c>
      <c r="P35" s="4">
        <f>'Tai chinh'!Q126</f>
        <v>14758.486385098442</v>
      </c>
      <c r="Q35" s="4">
        <f>'Tai chinh'!R126</f>
        <v>15201.240976651388</v>
      </c>
      <c r="R35" s="4">
        <f>'Tai chinh'!S126</f>
        <v>15657.27820595094</v>
      </c>
      <c r="S35" s="4">
        <f>'Tai chinh'!T126</f>
        <v>16126.996552129469</v>
      </c>
      <c r="T35" s="4">
        <f>'Tai chinh'!U126</f>
        <v>16610.806448693347</v>
      </c>
      <c r="U35" s="4">
        <f>'Tai chinh'!V126</f>
        <v>17109.130642154145</v>
      </c>
    </row>
    <row r="36" spans="1:61" ht="11.25">
      <c r="A36" s="4" t="s">
        <v>63</v>
      </c>
      <c r="B36" s="4"/>
      <c r="C36" s="4"/>
      <c r="D36" s="4"/>
      <c r="E36" s="4">
        <f>E35*$D$34</f>
        <v>85.33333333333331</v>
      </c>
      <c r="F36" s="4">
        <f aca="true" t="shared" si="0" ref="F36:U36">F35*$D$34</f>
        <v>533.3333333333331</v>
      </c>
      <c r="G36" s="4">
        <f t="shared" si="0"/>
        <v>1000</v>
      </c>
      <c r="H36" s="4">
        <f t="shared" si="0"/>
        <v>1133.333333333333</v>
      </c>
      <c r="I36" s="4">
        <f t="shared" si="0"/>
        <v>1199.9999999999998</v>
      </c>
      <c r="J36" s="4">
        <f t="shared" si="0"/>
        <v>1235.9999999999998</v>
      </c>
      <c r="K36" s="4">
        <f t="shared" si="0"/>
        <v>1273.0799999999997</v>
      </c>
      <c r="L36" s="4">
        <f t="shared" si="0"/>
        <v>1311.2723999999998</v>
      </c>
      <c r="M36" s="4">
        <f t="shared" si="0"/>
        <v>1350.6105719999996</v>
      </c>
      <c r="N36" s="4">
        <f t="shared" si="0"/>
        <v>1391.12888916</v>
      </c>
      <c r="O36" s="4">
        <f t="shared" si="0"/>
        <v>1432.8627558347998</v>
      </c>
      <c r="P36" s="4">
        <f t="shared" si="0"/>
        <v>1475.8486385098438</v>
      </c>
      <c r="Q36" s="4">
        <f t="shared" si="0"/>
        <v>1520.1240976651386</v>
      </c>
      <c r="R36" s="4">
        <f t="shared" si="0"/>
        <v>1565.7278205950938</v>
      </c>
      <c r="S36" s="4">
        <f t="shared" si="0"/>
        <v>1612.6996552129465</v>
      </c>
      <c r="T36" s="4">
        <f t="shared" si="0"/>
        <v>1661.0806448693343</v>
      </c>
      <c r="U36" s="4">
        <f t="shared" si="0"/>
        <v>1710.9130642154141</v>
      </c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</row>
    <row r="37" spans="1:21" ht="11.25">
      <c r="A37" s="2" t="s">
        <v>61</v>
      </c>
      <c r="E37" s="20">
        <f>$D$33</f>
        <v>0.20897823637549653</v>
      </c>
      <c r="F37" s="20">
        <f aca="true" t="shared" si="1" ref="F37:U37">$D$33</f>
        <v>0.20897823637549653</v>
      </c>
      <c r="G37" s="20">
        <f t="shared" si="1"/>
        <v>0.20897823637549653</v>
      </c>
      <c r="H37" s="20">
        <f t="shared" si="1"/>
        <v>0.20897823637549653</v>
      </c>
      <c r="I37" s="20">
        <f t="shared" si="1"/>
        <v>0.20897823637549653</v>
      </c>
      <c r="J37" s="20">
        <f t="shared" si="1"/>
        <v>0.20897823637549653</v>
      </c>
      <c r="K37" s="20">
        <f t="shared" si="1"/>
        <v>0.20897823637549653</v>
      </c>
      <c r="L37" s="20">
        <f t="shared" si="1"/>
        <v>0.20897823637549653</v>
      </c>
      <c r="M37" s="20">
        <f t="shared" si="1"/>
        <v>0.20897823637549653</v>
      </c>
      <c r="N37" s="20">
        <f t="shared" si="1"/>
        <v>0.20897823637549653</v>
      </c>
      <c r="O37" s="20">
        <f t="shared" si="1"/>
        <v>0.20897823637549653</v>
      </c>
      <c r="P37" s="20">
        <f t="shared" si="1"/>
        <v>0.20897823637549653</v>
      </c>
      <c r="Q37" s="20">
        <f t="shared" si="1"/>
        <v>0.20897823637549653</v>
      </c>
      <c r="R37" s="20">
        <f t="shared" si="1"/>
        <v>0.20897823637549653</v>
      </c>
      <c r="S37" s="20">
        <f t="shared" si="1"/>
        <v>0.20897823637549653</v>
      </c>
      <c r="T37" s="20">
        <f t="shared" si="1"/>
        <v>0.20897823637549653</v>
      </c>
      <c r="U37" s="20">
        <f t="shared" si="1"/>
        <v>0.20897823637549653</v>
      </c>
    </row>
    <row r="38" spans="5:21" ht="11.25"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 ht="12">
      <c r="A39" s="1" t="s">
        <v>210</v>
      </c>
      <c r="B39" s="1"/>
      <c r="C39" s="1"/>
      <c r="E39" s="16">
        <f>E37*E36</f>
        <v>17.832809504042366</v>
      </c>
      <c r="F39" s="16">
        <f aca="true" t="shared" si="2" ref="F39:U39">F37*F36</f>
        <v>111.45505940026477</v>
      </c>
      <c r="G39" s="16">
        <f t="shared" si="2"/>
        <v>208.97823637549652</v>
      </c>
      <c r="H39" s="16">
        <f t="shared" si="2"/>
        <v>236.84200122556268</v>
      </c>
      <c r="I39" s="16">
        <f t="shared" si="2"/>
        <v>250.7738836505958</v>
      </c>
      <c r="J39" s="16">
        <f t="shared" si="2"/>
        <v>258.29710016011364</v>
      </c>
      <c r="K39" s="16">
        <f t="shared" si="2"/>
        <v>266.04601316491704</v>
      </c>
      <c r="L39" s="16">
        <f t="shared" si="2"/>
        <v>274.0273935598646</v>
      </c>
      <c r="M39" s="16">
        <f t="shared" si="2"/>
        <v>282.2482153666605</v>
      </c>
      <c r="N39" s="16">
        <f t="shared" si="2"/>
        <v>290.71566182766037</v>
      </c>
      <c r="O39" s="16">
        <f t="shared" si="2"/>
        <v>299.4371316824902</v>
      </c>
      <c r="P39" s="16">
        <f t="shared" si="2"/>
        <v>308.42024563296485</v>
      </c>
      <c r="Q39" s="16">
        <f t="shared" si="2"/>
        <v>317.67285300195374</v>
      </c>
      <c r="R39" s="16">
        <f t="shared" si="2"/>
        <v>327.20303859201255</v>
      </c>
      <c r="S39" s="16">
        <f t="shared" si="2"/>
        <v>337.0191297497729</v>
      </c>
      <c r="T39" s="16">
        <f t="shared" si="2"/>
        <v>347.12970364226595</v>
      </c>
      <c r="U39" s="16">
        <f t="shared" si="2"/>
        <v>357.5435947515339</v>
      </c>
    </row>
    <row r="43" spans="5:21" ht="11.25"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</row>
  </sheetData>
  <sheetProtection/>
  <printOptions gridLines="1" headings="1"/>
  <pageMargins left="0.75" right="0.75" top="1" bottom="1" header="0.5" footer="0.5"/>
  <pageSetup fitToHeight="10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thanhnx</dc:creator>
  <cp:keywords/>
  <dc:description/>
  <cp:lastModifiedBy>Truong Minh Hoa</cp:lastModifiedBy>
  <cp:lastPrinted>2011-08-24T00:58:25Z</cp:lastPrinted>
  <dcterms:created xsi:type="dcterms:W3CDTF">2007-04-23T10:11:25Z</dcterms:created>
  <dcterms:modified xsi:type="dcterms:W3CDTF">2016-07-21T08:41:33Z</dcterms:modified>
  <cp:category/>
  <cp:version/>
  <cp:contentType/>
  <cp:contentStatus/>
</cp:coreProperties>
</file>