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i chinh" sheetId="1" r:id="rId1"/>
    <sheet name="Kinh te" sheetId="2" r:id="rId2"/>
    <sheet name="Tong hop NL" sheetId="3" r:id="rId3"/>
    <sheet name="Phan phoi" sheetId="4" r:id="rId4"/>
    <sheet name="Cay trong" sheetId="5" r:id="rId5"/>
    <sheet name="Van chuyen" sheetId="6" r:id="rId6"/>
  </sheets>
  <definedNames/>
  <calcPr fullCalcOnLoad="1"/>
</workbook>
</file>

<file path=xl/sharedStrings.xml><?xml version="1.0" encoding="utf-8"?>
<sst xmlns="http://schemas.openxmlformats.org/spreadsheetml/2006/main" count="483" uniqueCount="306">
  <si>
    <t>Bảng thông số</t>
  </si>
  <si>
    <t>Tỷ lệ lạm phát trong nước</t>
  </si>
  <si>
    <t>Tỷ lệ lạm phát nước ngoài</t>
  </si>
  <si>
    <t>Tỷ suất đường/mía</t>
  </si>
  <si>
    <t>Thuế nhập khẩu đường</t>
  </si>
  <si>
    <t>Tỷ giá hối đoái (VND/USD)</t>
  </si>
  <si>
    <t>Công suất tối đa ('000 tấn/năm)</t>
  </si>
  <si>
    <t>Giá đường nội địa (USD)</t>
  </si>
  <si>
    <t>Bảng chỉ số giá</t>
  </si>
  <si>
    <t>Chỉ số giá nước ngoài</t>
  </si>
  <si>
    <t>Chỉ số giá nội địa</t>
  </si>
  <si>
    <t>Tỷ giá hối đoái</t>
  </si>
  <si>
    <t>Bảng doanh thu</t>
  </si>
  <si>
    <t>Doanh thu ròng</t>
  </si>
  <si>
    <t>Bảng chi phí</t>
  </si>
  <si>
    <t>Mía và chi phí vận chuyển</t>
  </si>
  <si>
    <t>Trừ: VAT đầu vào</t>
  </si>
  <si>
    <t>Trừ: VAT đầu ra</t>
  </si>
  <si>
    <t>Khấu hao</t>
  </si>
  <si>
    <t>Báo cáo thu nhập</t>
  </si>
  <si>
    <t>Tổng chi phí</t>
  </si>
  <si>
    <t>Trừ: Khấu hao</t>
  </si>
  <si>
    <t>Trừ: Lãi vay</t>
  </si>
  <si>
    <t>Bảng Ngân lưu</t>
  </si>
  <si>
    <t>Ngân lưu vào</t>
  </si>
  <si>
    <t>Ngân lưu ra</t>
  </si>
  <si>
    <t>Chi phí hoạt động</t>
  </si>
  <si>
    <t>Chi phí quản lý, vận hành và bán hàng</t>
  </si>
  <si>
    <t>Thuế thu thập</t>
  </si>
  <si>
    <t>Thay đổi vốn lưu động</t>
  </si>
  <si>
    <t>Chi phí đầu tư</t>
  </si>
  <si>
    <t>Cộng</t>
  </si>
  <si>
    <t>NPV</t>
  </si>
  <si>
    <t>Ngân lưu ròng (danh nghĩa)</t>
  </si>
  <si>
    <t>WACC danh nghĩa USD</t>
  </si>
  <si>
    <t>Thời gian miễn thuế kể từ năm đầu có lãi</t>
  </si>
  <si>
    <t>Nông dân trồng mía</t>
  </si>
  <si>
    <t>Năm 1</t>
  </si>
  <si>
    <t>Chi phí lao động</t>
  </si>
  <si>
    <t>Tổng diện tích trồng mía (ha)</t>
  </si>
  <si>
    <t>Phân hóa học</t>
  </si>
  <si>
    <t>Giống</t>
  </si>
  <si>
    <t>Làm đất</t>
  </si>
  <si>
    <t>Chi phí vận chuyển/Doanh thu</t>
  </si>
  <si>
    <t>Tính theo giá cố định</t>
  </si>
  <si>
    <t>Dứa</t>
  </si>
  <si>
    <t>Cà phê</t>
  </si>
  <si>
    <t>Cao su</t>
  </si>
  <si>
    <t>Xen canh A--lạc &amp; ngô</t>
  </si>
  <si>
    <t>Xen canh B--lạc &amp; lạc</t>
  </si>
  <si>
    <t>Xen canh C--lạc &amp; lúa</t>
  </si>
  <si>
    <t>Khoảng cách vận chuyển (đi-về) bình quân (km)</t>
  </si>
  <si>
    <t>Số tấn mỗi lần bốc hàng (trọng tải trả tiền)</t>
  </si>
  <si>
    <t>Số chuyến trung bình mỗi ngày</t>
  </si>
  <si>
    <t>Số ngày</t>
  </si>
  <si>
    <t>Nhiên liệu: US$/gallon</t>
  </si>
  <si>
    <t>Lương bình quân/ngày</t>
  </si>
  <si>
    <t>Chi phí trung bình mỗi xe</t>
  </si>
  <si>
    <t>Lãi vay hàng năm</t>
  </si>
  <si>
    <t>Bảo trì mỗi vụ</t>
  </si>
  <si>
    <t>Tổng doanh thu</t>
  </si>
  <si>
    <t>Doanh thu (VND/tấn)</t>
  </si>
  <si>
    <t>Chi phí nhiên liệu</t>
  </si>
  <si>
    <t>Xe tải: km/gallon</t>
  </si>
  <si>
    <t>Giả định chi phí</t>
  </si>
  <si>
    <t>Số ngày mỗi vụ</t>
  </si>
  <si>
    <t>Chi phí bảo trì</t>
  </si>
  <si>
    <t>Tổng số km</t>
  </si>
  <si>
    <t>Tổng số chuyến</t>
  </si>
  <si>
    <t>Tổng số tấn</t>
  </si>
  <si>
    <t>Chi phí khấu hao</t>
  </si>
  <si>
    <t>Chi phí lãi vay</t>
  </si>
  <si>
    <t>Lợi nhuận ròng</t>
  </si>
  <si>
    <t>Tỷ suất lợi nhuận ròng</t>
  </si>
  <si>
    <t>Tiền mua mía</t>
  </si>
  <si>
    <t>Tiền trả cho chủ xe tải</t>
  </si>
  <si>
    <t>Lợi nhuận trước thuế &gt; 0 (Có = 1, Không = 0)</t>
  </si>
  <si>
    <t>Lũy tích</t>
  </si>
  <si>
    <t>Số năm đầu tiên không có lợi nhuận trước thuế</t>
  </si>
  <si>
    <t>Chính phủ</t>
  </si>
  <si>
    <t>NPV dự án</t>
  </si>
  <si>
    <t>NPV tài chính</t>
  </si>
  <si>
    <t>NPV kinh tế</t>
  </si>
  <si>
    <t>Lao động DN</t>
  </si>
  <si>
    <t>Chủ xe tải</t>
  </si>
  <si>
    <t>PHÂN PHỐI</t>
  </si>
  <si>
    <t>Nông dân</t>
  </si>
  <si>
    <t>Ngoại tác</t>
  </si>
  <si>
    <t>Giá trị kết thúc</t>
  </si>
  <si>
    <r>
      <t>Khấu hao mỗi km</t>
    </r>
    <r>
      <rPr>
        <vertAlign val="superscript"/>
        <sz val="9"/>
        <color indexed="8"/>
        <rFont val="Arial"/>
        <family val="2"/>
      </rPr>
      <t>b</t>
    </r>
  </si>
  <si>
    <t>Giá mía và chi phí vận chuyển theo dự báo NHTG (VND/tấn, giá thực)</t>
  </si>
  <si>
    <t>Tỷ lệ trả cho nông dân</t>
  </si>
  <si>
    <t>Chi phí trả cho nông dân</t>
  </si>
  <si>
    <t>Chi phí trả cho vận chuyển</t>
  </si>
  <si>
    <t>Chi phí lao động sản xuất</t>
  </si>
  <si>
    <t>Chi phí lao động SX trong nước ('000 USD)</t>
  </si>
  <si>
    <t>Chi phí lao động SX nước ngoài ('000 USD)</t>
  </si>
  <si>
    <t>Chi phí lao động trong nước</t>
  </si>
  <si>
    <t>Chi phí lao động nước ngoài</t>
  </si>
  <si>
    <t>Chi phí vật liệu và sản xuất khác</t>
  </si>
  <si>
    <t>Sản lượng mía nguyên liệu ('000 tấn)</t>
  </si>
  <si>
    <t>Chi phí vật liệu và SX khác (giá thực) so với SL mía nguyên liệu ('000 USD/tấn)</t>
  </si>
  <si>
    <t>Chi phí quản lý và bán hàng</t>
  </si>
  <si>
    <t>Chi phí lao động gián tiếp trong nước</t>
  </si>
  <si>
    <t>Chi phí lao động gián tiếp nước ngoài</t>
  </si>
  <si>
    <t>Chi phí đào tạo</t>
  </si>
  <si>
    <t>Chi phí quản lý và bán hàng khác</t>
  </si>
  <si>
    <t>Bảng chi phí đầu tư</t>
  </si>
  <si>
    <t>Chi phí đầu tư ban đầu ('000 USD)</t>
  </si>
  <si>
    <t>Tỷ lệ chi đầu tư (giá thực) so với tổng đầu tư ban đầu</t>
  </si>
  <si>
    <t>Ngân lưu chi phí đầu tư ('000 USD)</t>
  </si>
  <si>
    <t>Hệ số</t>
  </si>
  <si>
    <t>Chênh lệch lãi suất so với LIBOR</t>
  </si>
  <si>
    <t>LIBOR</t>
  </si>
  <si>
    <t>Vay IFC-A ('000 USD)</t>
  </si>
  <si>
    <t>Vay IFC-B ('000 USD)</t>
  </si>
  <si>
    <t>Vay tín dụng XK và vay khác ('000 USD)</t>
  </si>
  <si>
    <t>Lịch nợ vay IFC-A</t>
  </si>
  <si>
    <t>Dư nợ đầu kỳ</t>
  </si>
  <si>
    <t>Giải ngân</t>
  </si>
  <si>
    <t>Số lần trả nợ gốc bán niên</t>
  </si>
  <si>
    <t>Trả nợ gốc</t>
  </si>
  <si>
    <t>Dư nợ cuối kỳ</t>
  </si>
  <si>
    <t>Trả lãi vay</t>
  </si>
  <si>
    <t>Lịch nợ vay IFC-B</t>
  </si>
  <si>
    <t>Lịch nợ vay tín dụng XK và vay khác</t>
  </si>
  <si>
    <t>Lịch nợ vay hợp nhất</t>
  </si>
  <si>
    <t>Ngân lưu nợ vay</t>
  </si>
  <si>
    <t>Chi phí nợ vay</t>
  </si>
  <si>
    <t>Thuế suất VAT đường thành phẩm</t>
  </si>
  <si>
    <t>Thuế suất VAT chi phí nguyên liệu khác</t>
  </si>
  <si>
    <t>Bảng khấu hao</t>
  </si>
  <si>
    <t>Số năm khấu hao đường thẳng</t>
  </si>
  <si>
    <t>Giá trị KH</t>
  </si>
  <si>
    <t>Chi phí SX trực tiếp khác</t>
  </si>
  <si>
    <t>Bảng vốn lưu động</t>
  </si>
  <si>
    <t>Vốn lưu động, 1996-99</t>
  </si>
  <si>
    <t>Tỷ lệ vốn lưu động trên doanh thu từ 2000 trở đi</t>
  </si>
  <si>
    <t>Vốn lưu động</t>
  </si>
  <si>
    <t>Thu nhập từ hoạt động, EBITDA</t>
  </si>
  <si>
    <t>Thu nhập trước lãi vay và thuế, EBIT</t>
  </si>
  <si>
    <t>Thu nhập trước thuế, EBT</t>
  </si>
  <si>
    <t>Thu nhập sau thuế, NI</t>
  </si>
  <si>
    <t>Lao động</t>
  </si>
  <si>
    <t>Tổng chi phí, triệu VND/ha</t>
  </si>
  <si>
    <t>Tổng chi phí, '000 USD/ha</t>
  </si>
  <si>
    <t>Năm 2</t>
  </si>
  <si>
    <t>Năm 3</t>
  </si>
  <si>
    <t>Năm 4</t>
  </si>
  <si>
    <t>Năm 5</t>
  </si>
  <si>
    <t>Năm 6</t>
  </si>
  <si>
    <t>Năm 7</t>
  </si>
  <si>
    <t>Năm 8</t>
  </si>
  <si>
    <t>Năm 9</t>
  </si>
  <si>
    <t>Năm 10</t>
  </si>
  <si>
    <t>Năm 11</t>
  </si>
  <si>
    <t>Năm 12</t>
  </si>
  <si>
    <t>Năm 13</t>
  </si>
  <si>
    <t>Năm 14</t>
  </si>
  <si>
    <t>Năm 15</t>
  </si>
  <si>
    <t>Năm 16</t>
  </si>
  <si>
    <t>Năm 17</t>
  </si>
  <si>
    <t>Năm 18</t>
  </si>
  <si>
    <t>Năm 19</t>
  </si>
  <si>
    <t>Năm 20</t>
  </si>
  <si>
    <t>Diện tích trồng mía, '000 ha</t>
  </si>
  <si>
    <t>Tổng chi phí trồng mía</t>
  </si>
  <si>
    <t>Tổng thu nhập từ mía</t>
  </si>
  <si>
    <t>Thu nhập ròng từ mía</t>
  </si>
  <si>
    <t>Vòng đời cây trồng (năm)</t>
  </si>
  <si>
    <t>Ngày công lao động/hec ta</t>
  </si>
  <si>
    <t>Số năm đến khi có doanh thu</t>
  </si>
  <si>
    <t>Doanh thu năm thông thường</t>
  </si>
  <si>
    <t>Chi phí cơ hội 1 ngày công LĐ, USD</t>
  </si>
  <si>
    <t>Chi phí cơ hội 1 ngày công LĐ, VND</t>
  </si>
  <si>
    <t>Ngày công lao động/hec ta, năm trồng mới</t>
  </si>
  <si>
    <t>Ngày công lao động/hec ta, năm thông thường</t>
  </si>
  <si>
    <t>Phân hóa học, VND/ha</t>
  </si>
  <si>
    <t>Giống, VND/ha</t>
  </si>
  <si>
    <t>Làm đất, VND/ha</t>
  </si>
  <si>
    <t>Chi phí năm trồng mới</t>
  </si>
  <si>
    <t>Chi phí năm thông thường</t>
  </si>
  <si>
    <t>MÍA</t>
  </si>
  <si>
    <t>DỨA</t>
  </si>
  <si>
    <t>Sản lượng, tấn/ha</t>
  </si>
  <si>
    <t>Doanh thu</t>
  </si>
  <si>
    <t>Giá, '000 VND/ha</t>
  </si>
  <si>
    <t>Bán cây giống, '000 VND</t>
  </si>
  <si>
    <t>Thu nhập ròng, '000 VND/ha</t>
  </si>
  <si>
    <t>Tổng chi phí, '000 VND/ha</t>
  </si>
  <si>
    <t>Tổng chi phí, USD/ha</t>
  </si>
  <si>
    <t>Thu nhập ròng, USD/ha</t>
  </si>
  <si>
    <t>CÀ PHÊ</t>
  </si>
  <si>
    <t>CAO SU</t>
  </si>
  <si>
    <t>Năm 21</t>
  </si>
  <si>
    <t>Năm 22</t>
  </si>
  <si>
    <t>Năm 23</t>
  </si>
  <si>
    <t>Năm 24</t>
  </si>
  <si>
    <t>Năm 25</t>
  </si>
  <si>
    <t>Năm 26</t>
  </si>
  <si>
    <t>Năm 27</t>
  </si>
  <si>
    <t>Năm 28</t>
  </si>
  <si>
    <t>Năm 29</t>
  </si>
  <si>
    <t>Năm 30</t>
  </si>
  <si>
    <t>LÚA</t>
  </si>
  <si>
    <t>LẠC</t>
  </si>
  <si>
    <t>NGÔ</t>
  </si>
  <si>
    <t>Chi phí</t>
  </si>
  <si>
    <t>BẢNG THÔNG SỐ</t>
  </si>
  <si>
    <t>Năm 2-8</t>
  </si>
  <si>
    <t>MÍA, chi phí '000 VND/ha</t>
  </si>
  <si>
    <t>DỨA, chi phí '000 VND/ha</t>
  </si>
  <si>
    <t>CÀ PHÊ, chi phí '000 VND/ha</t>
  </si>
  <si>
    <t>CAO SU, chi phí '000 VND/ha</t>
  </si>
  <si>
    <t>LÚA, chi phí '000 VND/ha</t>
  </si>
  <si>
    <r>
      <rPr>
        <b/>
        <i/>
        <sz val="9"/>
        <rFont val="Arial"/>
        <family val="2"/>
      </rPr>
      <t>MÍA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</si>
  <si>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DỨA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</si>
  <si>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CÀ PHÊ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</si>
  <si>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CAO SU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</si>
  <si>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LẠC &amp; NGÔ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</si>
  <si>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LẠC &amp; LẠC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</si>
  <si>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r>
      <rPr>
        <b/>
        <i/>
        <sz val="9"/>
        <rFont val="Arial"/>
        <family val="2"/>
      </rPr>
      <t>LẠC &amp; LÚA</t>
    </r>
    <r>
      <rPr>
        <i/>
        <sz val="9"/>
        <rFont val="Arial"/>
        <family val="2"/>
      </rPr>
      <t xml:space="preserve">               </t>
    </r>
    <r>
      <rPr>
        <i/>
        <u val="single"/>
        <sz val="9"/>
        <rFont val="Arial"/>
        <family val="2"/>
      </rPr>
      <t>Diện tích trồng mía tăng thêm</t>
    </r>
  </si>
  <si>
    <t>Tỷ giá</t>
  </si>
  <si>
    <t>Chọn loại cây thay thế</t>
  </si>
  <si>
    <t>Cây thu hoa lợi (trung bình)</t>
  </si>
  <si>
    <t>Thu nhập ròng của câu trồng thay thế</t>
  </si>
  <si>
    <t>Thu nhập ròng trồng mía</t>
  </si>
  <si>
    <t>Thu nhập ròng trồng cây thay thế</t>
  </si>
  <si>
    <t>Chi phí lao động trong nước trong tổng chi đầu tư</t>
  </si>
  <si>
    <t>Chi phí lao động trong nước trong tổng đầu tư</t>
  </si>
  <si>
    <t>Chi phí lương tài chính của LĐ trong nước (danh nghĩa)</t>
  </si>
  <si>
    <t>Chi phí lương kinh tế</t>
  </si>
  <si>
    <t>Hệ số lương kinh tế (SWRF)</t>
  </si>
  <si>
    <t>Giá trị đào tạo nghề</t>
  </si>
  <si>
    <t>Lợi ích kinh tế ròng đối với chủ xe tải</t>
  </si>
  <si>
    <t>Lợi ích kinh tế ròng đối với nông dân trồng mía</t>
  </si>
  <si>
    <t>Lợi ích kinh tế ròng đối với lao động trong nước</t>
  </si>
  <si>
    <t>LAO ĐỘNG TRONG NƯỚC LÀM VIỆC CHO DỰ ÁN</t>
  </si>
  <si>
    <t>NÔNG DÂN TRỒNG MÍA</t>
  </si>
  <si>
    <t>VẬN CHUYỂN MÍA</t>
  </si>
  <si>
    <t>Thuế thu thập (tính cho trường hợp không vay nợ)</t>
  </si>
  <si>
    <t>TÀI CHÍNH</t>
  </si>
  <si>
    <t>KINH TẾ</t>
  </si>
  <si>
    <t>Lợi ích ròng của lao động dự án</t>
  </si>
  <si>
    <t>Lợi ích ròng của nông dân trồng mía</t>
  </si>
  <si>
    <t>Lợi ích ròng của chủ xe tải</t>
  </si>
  <si>
    <t>Vĩ mô</t>
  </si>
  <si>
    <t>Vay nợ</t>
  </si>
  <si>
    <t>Sản xuất</t>
  </si>
  <si>
    <t>Chi phí vốn</t>
  </si>
  <si>
    <t>MÔ HÌNH TÀI CHÍNH CƠ SỞ</t>
  </si>
  <si>
    <t>Hệ số an toàn trả nợ (DSCR)</t>
  </si>
  <si>
    <t>Năng suất (tấn/ha)</t>
  </si>
  <si>
    <t>Diện tích đất trồng mía</t>
  </si>
  <si>
    <t>Sản lượng đường sản xuất ('000 tấn)</t>
  </si>
  <si>
    <t>Doanh thu không kể VAT</t>
  </si>
  <si>
    <t>Doanh thu có VAT ('000 USD)</t>
  </si>
  <si>
    <t>Chi phí sản xuất (kể cả VAT)</t>
  </si>
  <si>
    <t>Doanh thu có VAT</t>
  </si>
  <si>
    <t>Thuế VAT đầu vào (được hoàn lại)</t>
  </si>
  <si>
    <t>VAT vật liệu SX khác</t>
  </si>
  <si>
    <t>VAT chi phí quản lý và bán hàng</t>
  </si>
  <si>
    <t>Lãi vay Rabobank</t>
  </si>
  <si>
    <t>Thuế TNDN</t>
  </si>
  <si>
    <t>Trừ: Thuế TNDN</t>
  </si>
  <si>
    <t>IRR danh nghĩa</t>
  </si>
  <si>
    <t>IRR thực</t>
  </si>
  <si>
    <t>NGÂN LƯU KINH TẾ</t>
  </si>
  <si>
    <t>Giá đường thế giới</t>
  </si>
  <si>
    <t>Giá đường thế giới ('000/USD, danh nghĩa)</t>
  </si>
  <si>
    <t>Dự báo NHTG</t>
  </si>
  <si>
    <t>Tốc độ tăng giá</t>
  </si>
  <si>
    <t>Giá không hồi phục</t>
  </si>
  <si>
    <t>Giá hồi phục</t>
  </si>
  <si>
    <t>Chọn kịch bản giá</t>
  </si>
  <si>
    <t>Diện tích trồng mía ('000 ha)</t>
  </si>
  <si>
    <t>Kịch bản cơ sở</t>
  </si>
  <si>
    <t>Chọn kịch bản diện tích trồng mía</t>
  </si>
  <si>
    <t>Chậm triển khai</t>
  </si>
  <si>
    <t>Nửa công suất</t>
  </si>
  <si>
    <t>Thuế suất hiện hữu</t>
  </si>
  <si>
    <t>Thuế giá trị gia tăng (VAT) và TNDN</t>
  </si>
  <si>
    <t>Thuế suất thuế thu nhập doanh nghiệp</t>
  </si>
  <si>
    <t>Thuế suất ở mức hiện hữu</t>
  </si>
  <si>
    <t>Lộ trình AFTA</t>
  </si>
  <si>
    <t>Chọn kịch bản thuế suất nhập khẩu đường</t>
  </si>
  <si>
    <t>Lộ trình giảm thuế</t>
  </si>
  <si>
    <t>WACC và chi phí vốn kinh tế thực USD</t>
  </si>
  <si>
    <t>PHÂN TÍCH ĐỘ NHẠY</t>
  </si>
  <si>
    <t>DSCR tối thiểu</t>
  </si>
  <si>
    <t>Tỷ lệ lạm phát USD</t>
  </si>
  <si>
    <t>Tỷ lệ đội giá</t>
  </si>
  <si>
    <t>Tỷ lệ đội giá chi phí đầu tư</t>
  </si>
  <si>
    <t>Giá trị hoán chuyển</t>
  </si>
  <si>
    <t>Lãi suất LIBOR</t>
  </si>
  <si>
    <t>Giá mía và chi phí vận chuyển</t>
  </si>
  <si>
    <t>Thuế suất 0%</t>
  </si>
  <si>
    <t>AFTA</t>
  </si>
  <si>
    <t>Giá mía và chi phí vận chuyển (USD/tấn, giá danh nghĩa)</t>
  </si>
  <si>
    <t>NGÂN LƯU TÀI CHÍNH - TỔNG ĐẦU TƯ</t>
  </si>
  <si>
    <t>Ngân lưu chiết khấu (DCF)</t>
  </si>
  <si>
    <t>Thời gian hoàn vốn</t>
  </si>
  <si>
    <t>Thời gian hoàn vốn với ngân lưu chiết khấu</t>
  </si>
  <si>
    <t>NGÂN LƯU TÀI CHÍNH - CHỦ ĐẦU TƯ</t>
  </si>
  <si>
    <t>Ngân lưu tổng đầu tư</t>
  </si>
  <si>
    <t>Ngân lưu ròng chủ đầu tư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</si>
</sst>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"/>
    <numFmt numFmtId="174" formatCode="0.000"/>
    <numFmt numFmtId="175" formatCode="0.0000"/>
    <numFmt numFmtId="176" formatCode="#,##0.0"/>
    <numFmt numFmtId="177" formatCode="#,##0.000"/>
    <numFmt numFmtId="178" formatCode="#,##0.0000"/>
    <numFmt numFmtId="179" formatCode="#,##0.00000"/>
    <numFmt numFmtId="180" formatCode="#,##0.000000000000"/>
    <numFmt numFmtId="181" formatCode="[$-409]dddd\,\ mmmm\ dd\,\ yyyy"/>
    <numFmt numFmtId="182" formatCode="mm//yy"/>
    <numFmt numFmtId="183" formatCode="mm/yyyy"/>
    <numFmt numFmtId="184" formatCode="0.000000"/>
    <numFmt numFmtId="185" formatCode="0.00000"/>
    <numFmt numFmtId="186" formatCode="#,##0.0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name val="Arial"/>
      <family val="2"/>
    </font>
    <font>
      <u val="single"/>
      <sz val="9"/>
      <color indexed="8"/>
      <name val="Arial"/>
      <family val="2"/>
    </font>
    <font>
      <i/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0" fontId="3" fillId="0" borderId="0" xfId="57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0" xfId="57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left" inden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10" fontId="2" fillId="0" borderId="0" xfId="57" applyNumberFormat="1" applyFont="1" applyAlignment="1">
      <alignment/>
    </xf>
    <xf numFmtId="9" fontId="3" fillId="0" borderId="0" xfId="57" applyFont="1" applyAlignment="1">
      <alignment/>
    </xf>
    <xf numFmtId="17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9" fontId="3" fillId="0" borderId="0" xfId="57" applyFont="1" applyAlignment="1">
      <alignment horizontal="right"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 indent="2"/>
    </xf>
    <xf numFmtId="9" fontId="3" fillId="0" borderId="0" xfId="57" applyNumberFormat="1" applyFont="1" applyAlignment="1">
      <alignment/>
    </xf>
    <xf numFmtId="165" fontId="3" fillId="0" borderId="0" xfId="57" applyNumberFormat="1" applyFont="1" applyAlignment="1">
      <alignment/>
    </xf>
    <xf numFmtId="3" fontId="48" fillId="0" borderId="0" xfId="0" applyNumberFormat="1" applyFont="1" applyAlignment="1">
      <alignment/>
    </xf>
    <xf numFmtId="0" fontId="6" fillId="0" borderId="30" xfId="0" applyFont="1" applyBorder="1" applyAlignment="1">
      <alignment horizontal="right" vertical="top" wrapText="1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vertical="top" wrapText="1"/>
    </xf>
    <xf numFmtId="3" fontId="3" fillId="0" borderId="31" xfId="0" applyNumberFormat="1" applyFont="1" applyBorder="1" applyAlignment="1">
      <alignment/>
    </xf>
    <xf numFmtId="0" fontId="6" fillId="0" borderId="3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right" vertical="top" wrapText="1"/>
    </xf>
    <xf numFmtId="3" fontId="3" fillId="0" borderId="34" xfId="0" applyNumberFormat="1" applyFont="1" applyBorder="1" applyAlignment="1">
      <alignment/>
    </xf>
    <xf numFmtId="0" fontId="6" fillId="0" borderId="35" xfId="0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 vertical="top" wrapText="1"/>
    </xf>
    <xf numFmtId="0" fontId="10" fillId="0" borderId="35" xfId="0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2" fontId="3" fillId="33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40" xfId="0" applyFont="1" applyBorder="1" applyAlignment="1">
      <alignment/>
    </xf>
    <xf numFmtId="3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 horizontal="left" indent="9"/>
    </xf>
    <xf numFmtId="0" fontId="11" fillId="0" borderId="0" xfId="0" applyFont="1" applyAlignment="1">
      <alignment horizontal="right"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0" fontId="2" fillId="0" borderId="0" xfId="57" applyNumberFormat="1" applyFont="1" applyAlignment="1">
      <alignment horizontal="right"/>
    </xf>
    <xf numFmtId="4" fontId="2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10" fontId="2" fillId="0" borderId="0" xfId="57" applyNumberFormat="1" applyFont="1" applyFill="1" applyAlignment="1">
      <alignment/>
    </xf>
    <xf numFmtId="3" fontId="2" fillId="0" borderId="4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3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 indent="1"/>
    </xf>
    <xf numFmtId="3" fontId="2" fillId="0" borderId="31" xfId="0" applyNumberFormat="1" applyFont="1" applyFill="1" applyBorder="1" applyAlignment="1">
      <alignment/>
    </xf>
    <xf numFmtId="9" fontId="5" fillId="0" borderId="0" xfId="57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9" fillId="0" borderId="0" xfId="57" applyNumberFormat="1" applyFont="1" applyAlignment="1">
      <alignment/>
    </xf>
    <xf numFmtId="3" fontId="9" fillId="0" borderId="36" xfId="0" applyNumberFormat="1" applyFont="1" applyBorder="1" applyAlignment="1">
      <alignment/>
    </xf>
    <xf numFmtId="164" fontId="3" fillId="0" borderId="35" xfId="57" applyNumberFormat="1" applyFont="1" applyBorder="1" applyAlignment="1">
      <alignment/>
    </xf>
    <xf numFmtId="164" fontId="3" fillId="0" borderId="0" xfId="57" applyNumberFormat="1" applyFont="1" applyBorder="1" applyAlignment="1">
      <alignment/>
    </xf>
    <xf numFmtId="164" fontId="9" fillId="0" borderId="36" xfId="57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left"/>
    </xf>
    <xf numFmtId="0" fontId="3" fillId="0" borderId="35" xfId="0" applyFont="1" applyBorder="1" applyAlignment="1">
      <alignment horizontal="left" indent="1"/>
    </xf>
    <xf numFmtId="0" fontId="3" fillId="0" borderId="36" xfId="0" applyFont="1" applyBorder="1" applyAlignment="1">
      <alignment horizontal="left" indent="1"/>
    </xf>
    <xf numFmtId="164" fontId="3" fillId="0" borderId="36" xfId="57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64" fontId="3" fillId="0" borderId="45" xfId="57" applyNumberFormat="1" applyFont="1" applyBorder="1" applyAlignment="1">
      <alignment/>
    </xf>
    <xf numFmtId="164" fontId="3" fillId="0" borderId="46" xfId="57" applyNumberFormat="1" applyFont="1" applyBorder="1" applyAlignment="1">
      <alignment/>
    </xf>
    <xf numFmtId="164" fontId="9" fillId="0" borderId="47" xfId="57" applyNumberFormat="1" applyFont="1" applyBorder="1" applyAlignment="1">
      <alignment/>
    </xf>
    <xf numFmtId="9" fontId="3" fillId="0" borderId="45" xfId="57" applyNumberFormat="1" applyFont="1" applyBorder="1" applyAlignment="1">
      <alignment/>
    </xf>
    <xf numFmtId="9" fontId="3" fillId="0" borderId="46" xfId="57" applyNumberFormat="1" applyFont="1" applyBorder="1" applyAlignment="1">
      <alignment/>
    </xf>
    <xf numFmtId="10" fontId="9" fillId="0" borderId="47" xfId="57" applyNumberFormat="1" applyFont="1" applyBorder="1" applyAlignment="1">
      <alignment/>
    </xf>
    <xf numFmtId="10" fontId="3" fillId="0" borderId="45" xfId="57" applyNumberFormat="1" applyFont="1" applyBorder="1" applyAlignment="1">
      <alignment/>
    </xf>
    <xf numFmtId="10" fontId="3" fillId="0" borderId="46" xfId="57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9" fontId="3" fillId="0" borderId="45" xfId="0" applyNumberFormat="1" applyFont="1" applyBorder="1" applyAlignment="1">
      <alignment/>
    </xf>
    <xf numFmtId="9" fontId="3" fillId="0" borderId="46" xfId="0" applyNumberFormat="1" applyFont="1" applyBorder="1" applyAlignment="1">
      <alignment/>
    </xf>
    <xf numFmtId="10" fontId="9" fillId="0" borderId="47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2" fontId="9" fillId="0" borderId="47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2" fontId="3" fillId="0" borderId="47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0" xfId="0" applyFont="1" applyBorder="1" applyAlignment="1">
      <alignment/>
    </xf>
    <xf numFmtId="3" fontId="2" fillId="0" borderId="51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8"/>
  <sheetViews>
    <sheetView tabSelected="1" zoomScalePageLayoutView="0" workbookViewId="0" topLeftCell="A1">
      <pane xSplit="1" ySplit="2" topLeftCell="B1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4" sqref="I194"/>
    </sheetView>
  </sheetViews>
  <sheetFormatPr defaultColWidth="9.140625" defaultRowHeight="12.75"/>
  <cols>
    <col min="1" max="1" width="46.57421875" style="2" customWidth="1"/>
    <col min="2" max="2" width="7.57421875" style="2" customWidth="1"/>
    <col min="3" max="22" width="8.00390625" style="2" customWidth="1"/>
    <col min="23" max="24" width="9.140625" style="2" customWidth="1"/>
    <col min="25" max="25" width="13.57421875" style="2" bestFit="1" customWidth="1"/>
    <col min="26" max="16384" width="9.140625" style="2" customWidth="1"/>
  </cols>
  <sheetData>
    <row r="1" spans="1:22" ht="12">
      <c r="A1" s="1"/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2">
        <v>2005</v>
      </c>
      <c r="M1" s="2">
        <v>2006</v>
      </c>
      <c r="N1" s="2">
        <v>2007</v>
      </c>
      <c r="O1" s="2">
        <v>2008</v>
      </c>
      <c r="P1" s="2">
        <v>2009</v>
      </c>
      <c r="Q1" s="2">
        <v>2010</v>
      </c>
      <c r="R1" s="2">
        <v>2011</v>
      </c>
      <c r="S1" s="2">
        <v>2012</v>
      </c>
      <c r="T1" s="2">
        <v>2013</v>
      </c>
      <c r="U1" s="2">
        <v>2014</v>
      </c>
      <c r="V1" s="2">
        <v>2015</v>
      </c>
    </row>
    <row r="2" spans="1:22" ht="12">
      <c r="A2" s="1" t="s">
        <v>0</v>
      </c>
      <c r="B2" s="2" t="s">
        <v>111</v>
      </c>
      <c r="C2" s="2">
        <v>-2</v>
      </c>
      <c r="D2" s="2">
        <v>-1</v>
      </c>
      <c r="E2" s="2">
        <v>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</row>
    <row r="3" ht="12">
      <c r="A3" s="1" t="s">
        <v>246</v>
      </c>
    </row>
    <row r="4" spans="1:4" ht="12">
      <c r="A4" s="12" t="s">
        <v>1</v>
      </c>
      <c r="B4" s="3">
        <v>0.05</v>
      </c>
      <c r="C4" s="3"/>
      <c r="D4" s="3"/>
    </row>
    <row r="5" spans="1:4" ht="12">
      <c r="A5" s="12" t="s">
        <v>2</v>
      </c>
      <c r="B5" s="3">
        <v>0.03</v>
      </c>
      <c r="C5" s="3"/>
      <c r="D5" s="3"/>
    </row>
    <row r="6" spans="1:5" ht="12">
      <c r="A6" s="12" t="s">
        <v>5</v>
      </c>
      <c r="C6" s="4"/>
      <c r="D6" s="4"/>
      <c r="E6" s="4">
        <v>15000</v>
      </c>
    </row>
    <row r="7" spans="1:5" ht="12">
      <c r="A7" s="12" t="s">
        <v>113</v>
      </c>
      <c r="B7" s="8">
        <f>(1+5.5%)/(1+3%)*(1+B5)-1</f>
        <v>0.05499999999999994</v>
      </c>
      <c r="C7" s="4"/>
      <c r="D7" s="4"/>
      <c r="E7" s="4"/>
    </row>
    <row r="8" spans="1:22" ht="12">
      <c r="A8" s="36" t="s">
        <v>269</v>
      </c>
      <c r="B8" s="8"/>
      <c r="C8" s="4"/>
      <c r="D8" s="4"/>
      <c r="E8" s="4"/>
      <c r="F8" s="9">
        <f>INDEX($F$10:$V$12,$B$13,F2)</f>
        <v>300.0180412371134</v>
      </c>
      <c r="G8" s="9">
        <f aca="true" t="shared" si="0" ref="G8:V8">INDEX($F$10:$V$12,$B$13,G2)</f>
        <v>314.235824742268</v>
      </c>
      <c r="H8" s="9">
        <f t="shared" si="0"/>
        <v>330.87163125</v>
      </c>
      <c r="I8" s="9">
        <f t="shared" si="0"/>
        <v>348.1265868196875</v>
      </c>
      <c r="J8" s="9">
        <f t="shared" si="0"/>
        <v>366.2813883223341</v>
      </c>
      <c r="K8" s="9">
        <f t="shared" si="0"/>
        <v>385.38296272334384</v>
      </c>
      <c r="L8" s="9">
        <f t="shared" si="0"/>
        <v>405.47982574778143</v>
      </c>
      <c r="M8" s="9">
        <f t="shared" si="0"/>
        <v>417.1258182989691</v>
      </c>
      <c r="N8" s="9">
        <f t="shared" si="0"/>
        <v>426.0105982287372</v>
      </c>
      <c r="O8" s="9">
        <f t="shared" si="0"/>
        <v>435.08462397100925</v>
      </c>
      <c r="P8" s="9">
        <f t="shared" si="0"/>
        <v>444.3519264615918</v>
      </c>
      <c r="Q8" s="9">
        <f t="shared" si="0"/>
        <v>453.8093990563549</v>
      </c>
      <c r="R8" s="9">
        <f t="shared" si="0"/>
        <v>459.2648195876289</v>
      </c>
      <c r="S8" s="9">
        <f t="shared" si="0"/>
        <v>463.39820296391747</v>
      </c>
      <c r="T8" s="9">
        <f t="shared" si="0"/>
        <v>467.5687867905927</v>
      </c>
      <c r="U8" s="9">
        <f t="shared" si="0"/>
        <v>471.776905871708</v>
      </c>
      <c r="V8" s="9">
        <f t="shared" si="0"/>
        <v>476.0228980245533</v>
      </c>
    </row>
    <row r="9" spans="1:5" ht="12">
      <c r="A9" s="12" t="s">
        <v>271</v>
      </c>
      <c r="B9" s="8">
        <f>B5</f>
        <v>0.03</v>
      </c>
      <c r="C9" s="4"/>
      <c r="D9" s="4"/>
      <c r="E9" s="4"/>
    </row>
    <row r="10" spans="1:22" ht="12">
      <c r="A10" s="12" t="s">
        <v>270</v>
      </c>
      <c r="F10" s="9">
        <v>300.0180412371134</v>
      </c>
      <c r="G10" s="9">
        <v>314.235824742268</v>
      </c>
      <c r="H10" s="9">
        <v>330.87163125</v>
      </c>
      <c r="I10" s="9">
        <v>348.1265868196875</v>
      </c>
      <c r="J10" s="9">
        <v>366.2813883223341</v>
      </c>
      <c r="K10" s="9">
        <v>385.38296272334384</v>
      </c>
      <c r="L10" s="9">
        <v>405.47982574778143</v>
      </c>
      <c r="M10" s="9">
        <v>417.1258182989691</v>
      </c>
      <c r="N10" s="9">
        <v>426.0105982287372</v>
      </c>
      <c r="O10" s="9">
        <v>435.08462397100925</v>
      </c>
      <c r="P10" s="9">
        <v>444.3519264615918</v>
      </c>
      <c r="Q10" s="9">
        <v>453.8093990563549</v>
      </c>
      <c r="R10" s="9">
        <v>459.2648195876289</v>
      </c>
      <c r="S10" s="9">
        <v>463.39820296391747</v>
      </c>
      <c r="T10" s="9">
        <v>467.5687867905927</v>
      </c>
      <c r="U10" s="9">
        <v>471.776905871708</v>
      </c>
      <c r="V10" s="9">
        <v>476.0228980245533</v>
      </c>
    </row>
    <row r="11" spans="1:22" ht="12">
      <c r="A11" s="12" t="s">
        <v>273</v>
      </c>
      <c r="B11" s="8"/>
      <c r="C11" s="4"/>
      <c r="D11" s="4"/>
      <c r="E11" s="4"/>
      <c r="F11" s="9">
        <v>300</v>
      </c>
      <c r="G11" s="9">
        <f>F11*(1+$B$9)</f>
        <v>309</v>
      </c>
      <c r="H11" s="9">
        <f aca="true" t="shared" si="1" ref="H11:V11">G11*(1+$B$9)</f>
        <v>318.27</v>
      </c>
      <c r="I11" s="9">
        <f t="shared" si="1"/>
        <v>327.8181</v>
      </c>
      <c r="J11" s="9">
        <f t="shared" si="1"/>
        <v>337.652643</v>
      </c>
      <c r="K11" s="9">
        <f t="shared" si="1"/>
        <v>347.78222229</v>
      </c>
      <c r="L11" s="9">
        <f t="shared" si="1"/>
        <v>358.2156889587</v>
      </c>
      <c r="M11" s="9">
        <f t="shared" si="1"/>
        <v>368.962159627461</v>
      </c>
      <c r="N11" s="9">
        <f t="shared" si="1"/>
        <v>380.0310244162848</v>
      </c>
      <c r="O11" s="9">
        <f t="shared" si="1"/>
        <v>391.4319551487734</v>
      </c>
      <c r="P11" s="9">
        <f t="shared" si="1"/>
        <v>403.1749138032366</v>
      </c>
      <c r="Q11" s="9">
        <f t="shared" si="1"/>
        <v>415.27016121733374</v>
      </c>
      <c r="R11" s="9">
        <f t="shared" si="1"/>
        <v>427.72826605385376</v>
      </c>
      <c r="S11" s="9">
        <f t="shared" si="1"/>
        <v>440.5601140354694</v>
      </c>
      <c r="T11" s="9">
        <f t="shared" si="1"/>
        <v>453.77691745653345</v>
      </c>
      <c r="U11" s="9">
        <f t="shared" si="1"/>
        <v>467.39022498022945</v>
      </c>
      <c r="V11" s="9">
        <f t="shared" si="1"/>
        <v>481.41193172963636</v>
      </c>
    </row>
    <row r="12" spans="1:22" ht="12">
      <c r="A12" s="12" t="s">
        <v>272</v>
      </c>
      <c r="B12" s="8"/>
      <c r="C12" s="4"/>
      <c r="D12" s="4"/>
      <c r="E12" s="4"/>
      <c r="F12" s="9">
        <v>261</v>
      </c>
      <c r="G12" s="9">
        <f>F12*(1+$B$9)</f>
        <v>268.83</v>
      </c>
      <c r="H12" s="9">
        <f aca="true" t="shared" si="2" ref="H12:V12">G12*(1+$B$9)</f>
        <v>276.8949</v>
      </c>
      <c r="I12" s="9">
        <f t="shared" si="2"/>
        <v>285.201747</v>
      </c>
      <c r="J12" s="9">
        <f t="shared" si="2"/>
        <v>293.75779941</v>
      </c>
      <c r="K12" s="9">
        <f t="shared" si="2"/>
        <v>302.57053339230004</v>
      </c>
      <c r="L12" s="9">
        <f t="shared" si="2"/>
        <v>311.64764939406905</v>
      </c>
      <c r="M12" s="9">
        <f t="shared" si="2"/>
        <v>320.99707887589113</v>
      </c>
      <c r="N12" s="9">
        <f t="shared" si="2"/>
        <v>330.6269912421679</v>
      </c>
      <c r="O12" s="9">
        <f t="shared" si="2"/>
        <v>340.54580097943295</v>
      </c>
      <c r="P12" s="9">
        <f t="shared" si="2"/>
        <v>350.762175008816</v>
      </c>
      <c r="Q12" s="9">
        <f t="shared" si="2"/>
        <v>361.28504025908046</v>
      </c>
      <c r="R12" s="9">
        <f t="shared" si="2"/>
        <v>372.1235914668529</v>
      </c>
      <c r="S12" s="9">
        <f t="shared" si="2"/>
        <v>383.28729921085846</v>
      </c>
      <c r="T12" s="9">
        <f t="shared" si="2"/>
        <v>394.7859181871842</v>
      </c>
      <c r="U12" s="9">
        <f t="shared" si="2"/>
        <v>406.62949573279974</v>
      </c>
      <c r="V12" s="9">
        <f t="shared" si="2"/>
        <v>418.8283806047837</v>
      </c>
    </row>
    <row r="13" spans="1:5" ht="12">
      <c r="A13" s="12" t="s">
        <v>274</v>
      </c>
      <c r="B13" s="9">
        <v>1</v>
      </c>
      <c r="C13" s="4"/>
      <c r="D13" s="4"/>
      <c r="E13" s="4"/>
    </row>
    <row r="14" spans="1:7" ht="12">
      <c r="A14" s="36" t="s">
        <v>30</v>
      </c>
      <c r="B14" s="8"/>
      <c r="C14" s="4">
        <f>C15*(1+$B$18)</f>
        <v>1548.3</v>
      </c>
      <c r="D14" s="4">
        <f>D15*(1+$B$18)</f>
        <v>14041.6</v>
      </c>
      <c r="E14" s="4">
        <f>E15*(1+$B$18)</f>
        <v>38585</v>
      </c>
      <c r="F14" s="4">
        <f>F15*(1+$B$18)</f>
        <v>10376</v>
      </c>
      <c r="G14" s="4">
        <f>G15*(1+$B$18)</f>
        <v>1585</v>
      </c>
    </row>
    <row r="15" spans="1:22" ht="12">
      <c r="A15" s="12" t="s">
        <v>108</v>
      </c>
      <c r="B15" s="74"/>
      <c r="C15" s="4">
        <v>1548.3</v>
      </c>
      <c r="D15" s="4">
        <v>14041.6</v>
      </c>
      <c r="E15" s="4">
        <v>38585</v>
      </c>
      <c r="F15" s="4">
        <v>10376</v>
      </c>
      <c r="G15" s="4">
        <v>1585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">
      <c r="A16" s="12" t="s">
        <v>109</v>
      </c>
      <c r="B16" s="72">
        <v>0.05</v>
      </c>
      <c r="C16" s="4"/>
      <c r="D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">
      <c r="A17" s="12" t="s">
        <v>228</v>
      </c>
      <c r="B17" s="72"/>
      <c r="C17" s="4">
        <v>37.15</v>
      </c>
      <c r="D17" s="4">
        <v>1594.5</v>
      </c>
      <c r="E17" s="4">
        <v>3291.05</v>
      </c>
      <c r="F17" s="4">
        <v>2117</v>
      </c>
      <c r="G17" s="4">
        <v>178</v>
      </c>
      <c r="H17" s="4">
        <v>0</v>
      </c>
      <c r="I17" s="4">
        <v>0</v>
      </c>
      <c r="J17" s="4">
        <v>90.22125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">
      <c r="A18" s="12" t="s">
        <v>291</v>
      </c>
      <c r="B18" s="72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">
      <c r="A19" s="1" t="s">
        <v>247</v>
      </c>
      <c r="B19" s="7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">
      <c r="A20" s="12" t="s">
        <v>114</v>
      </c>
      <c r="B20" s="4">
        <v>20000</v>
      </c>
      <c r="C20" s="4"/>
      <c r="D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">
      <c r="A21" s="71" t="s">
        <v>112</v>
      </c>
      <c r="B21" s="8">
        <v>0.0325</v>
      </c>
      <c r="C21" s="4"/>
      <c r="D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">
      <c r="A22" s="71" t="s">
        <v>120</v>
      </c>
      <c r="B22" s="4">
        <v>9</v>
      </c>
      <c r="C22" s="4"/>
      <c r="D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">
      <c r="A23" s="12" t="s">
        <v>115</v>
      </c>
      <c r="B23" s="4">
        <v>25000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">
      <c r="A24" s="71" t="s">
        <v>112</v>
      </c>
      <c r="B24" s="73">
        <v>0.02875</v>
      </c>
      <c r="C24" s="4"/>
      <c r="D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">
      <c r="A25" s="71" t="s">
        <v>120</v>
      </c>
      <c r="B25" s="4">
        <v>11</v>
      </c>
      <c r="C25" s="4"/>
      <c r="D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">
      <c r="A26" s="12" t="s">
        <v>116</v>
      </c>
      <c r="B26" s="4">
        <v>20000</v>
      </c>
      <c r="C26" s="4"/>
      <c r="D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">
      <c r="A27" s="71" t="s">
        <v>112</v>
      </c>
      <c r="B27" s="8">
        <v>0.0325</v>
      </c>
      <c r="C27" s="4"/>
      <c r="D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">
      <c r="A28" s="71" t="s">
        <v>120</v>
      </c>
      <c r="B28" s="4">
        <v>11</v>
      </c>
      <c r="C28" s="4"/>
      <c r="D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">
      <c r="A29" s="12" t="s">
        <v>262</v>
      </c>
      <c r="B29" s="72"/>
      <c r="C29" s="4"/>
      <c r="D29" s="4"/>
      <c r="F29" s="4">
        <v>4500</v>
      </c>
      <c r="G29" s="4">
        <v>5600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">
      <c r="A30" s="36" t="s">
        <v>275</v>
      </c>
      <c r="B30" s="72"/>
      <c r="F30" s="67">
        <f>INDEX($F$31:$V$33,$B$34,F2)</f>
        <v>1.28</v>
      </c>
      <c r="G30" s="67">
        <f aca="true" t="shared" si="3" ref="G30:V30">INDEX($F$31:$V$33,$B$34,G2)</f>
        <v>8</v>
      </c>
      <c r="H30" s="67">
        <f t="shared" si="3"/>
        <v>15</v>
      </c>
      <c r="I30" s="67">
        <f t="shared" si="3"/>
        <v>17</v>
      </c>
      <c r="J30" s="67">
        <f t="shared" si="3"/>
        <v>18</v>
      </c>
      <c r="K30" s="67">
        <f t="shared" si="3"/>
        <v>18</v>
      </c>
      <c r="L30" s="67">
        <f t="shared" si="3"/>
        <v>18</v>
      </c>
      <c r="M30" s="67">
        <f t="shared" si="3"/>
        <v>18</v>
      </c>
      <c r="N30" s="67">
        <f t="shared" si="3"/>
        <v>18</v>
      </c>
      <c r="O30" s="67">
        <f t="shared" si="3"/>
        <v>18</v>
      </c>
      <c r="P30" s="67">
        <f t="shared" si="3"/>
        <v>18</v>
      </c>
      <c r="Q30" s="67">
        <f t="shared" si="3"/>
        <v>18</v>
      </c>
      <c r="R30" s="67">
        <f t="shared" si="3"/>
        <v>18</v>
      </c>
      <c r="S30" s="67">
        <f t="shared" si="3"/>
        <v>18</v>
      </c>
      <c r="T30" s="67">
        <f t="shared" si="3"/>
        <v>18</v>
      </c>
      <c r="U30" s="67">
        <f t="shared" si="3"/>
        <v>18</v>
      </c>
      <c r="V30" s="67">
        <f t="shared" si="3"/>
        <v>18</v>
      </c>
    </row>
    <row r="31" spans="1:22" ht="12">
      <c r="A31" s="12" t="s">
        <v>276</v>
      </c>
      <c r="F31" s="67">
        <v>1.28</v>
      </c>
      <c r="G31" s="67">
        <v>8</v>
      </c>
      <c r="H31" s="67">
        <v>15</v>
      </c>
      <c r="I31" s="67">
        <v>17</v>
      </c>
      <c r="J31" s="67">
        <v>18</v>
      </c>
      <c r="K31" s="67">
        <v>18</v>
      </c>
      <c r="L31" s="67">
        <v>18</v>
      </c>
      <c r="M31" s="67">
        <v>18</v>
      </c>
      <c r="N31" s="67">
        <v>18</v>
      </c>
      <c r="O31" s="67">
        <v>18</v>
      </c>
      <c r="P31" s="67">
        <v>18</v>
      </c>
      <c r="Q31" s="67">
        <v>18</v>
      </c>
      <c r="R31" s="67">
        <v>18</v>
      </c>
      <c r="S31" s="67">
        <v>18</v>
      </c>
      <c r="T31" s="67">
        <v>18</v>
      </c>
      <c r="U31" s="67">
        <v>18</v>
      </c>
      <c r="V31" s="67">
        <v>18</v>
      </c>
    </row>
    <row r="32" spans="1:22" ht="12">
      <c r="A32" s="12" t="s">
        <v>278</v>
      </c>
      <c r="B32" s="72"/>
      <c r="F32" s="67">
        <v>1.28</v>
      </c>
      <c r="G32" s="67">
        <v>4</v>
      </c>
      <c r="H32" s="67">
        <v>6</v>
      </c>
      <c r="I32" s="67">
        <v>8</v>
      </c>
      <c r="J32" s="67">
        <v>10</v>
      </c>
      <c r="K32" s="67">
        <v>12</v>
      </c>
      <c r="L32" s="67">
        <v>14</v>
      </c>
      <c r="M32" s="67">
        <v>16</v>
      </c>
      <c r="N32" s="67">
        <v>18</v>
      </c>
      <c r="O32" s="67">
        <v>18</v>
      </c>
      <c r="P32" s="67">
        <v>18</v>
      </c>
      <c r="Q32" s="67">
        <v>18</v>
      </c>
      <c r="R32" s="67">
        <v>18</v>
      </c>
      <c r="S32" s="67">
        <v>18</v>
      </c>
      <c r="T32" s="67">
        <v>18</v>
      </c>
      <c r="U32" s="67">
        <v>18</v>
      </c>
      <c r="V32" s="67">
        <v>18</v>
      </c>
    </row>
    <row r="33" spans="1:22" ht="12">
      <c r="A33" s="12" t="s">
        <v>279</v>
      </c>
      <c r="B33" s="72"/>
      <c r="C33" s="4"/>
      <c r="D33" s="4"/>
      <c r="F33" s="67">
        <v>1.28</v>
      </c>
      <c r="G33" s="67">
        <v>4</v>
      </c>
      <c r="H33" s="67">
        <v>6</v>
      </c>
      <c r="I33" s="67">
        <v>9</v>
      </c>
      <c r="J33" s="67">
        <v>9</v>
      </c>
      <c r="K33" s="67">
        <v>9</v>
      </c>
      <c r="L33" s="67">
        <v>9</v>
      </c>
      <c r="M33" s="67">
        <v>9</v>
      </c>
      <c r="N33" s="67">
        <v>9</v>
      </c>
      <c r="O33" s="67">
        <v>9</v>
      </c>
      <c r="P33" s="67">
        <v>9</v>
      </c>
      <c r="Q33" s="67">
        <v>9</v>
      </c>
      <c r="R33" s="67">
        <v>9</v>
      </c>
      <c r="S33" s="67">
        <v>9</v>
      </c>
      <c r="T33" s="67">
        <v>9</v>
      </c>
      <c r="U33" s="67">
        <v>9</v>
      </c>
      <c r="V33" s="67">
        <v>9</v>
      </c>
    </row>
    <row r="34" spans="1:22" ht="12">
      <c r="A34" s="12" t="s">
        <v>277</v>
      </c>
      <c r="B34" s="72">
        <v>1</v>
      </c>
      <c r="C34" s="4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">
      <c r="A35" s="36" t="s">
        <v>248</v>
      </c>
      <c r="B35" s="72"/>
      <c r="C35" s="4"/>
      <c r="D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6" ht="12">
      <c r="A36" s="12" t="s">
        <v>6</v>
      </c>
      <c r="B36" s="2">
        <v>900</v>
      </c>
      <c r="F36" s="5"/>
    </row>
    <row r="37" spans="1:6" ht="12">
      <c r="A37" s="12" t="s">
        <v>252</v>
      </c>
      <c r="B37" s="2">
        <v>50</v>
      </c>
      <c r="F37" s="5"/>
    </row>
    <row r="38" spans="1:22" ht="12">
      <c r="A38" s="12" t="s">
        <v>3</v>
      </c>
      <c r="B38" s="6">
        <v>0.103</v>
      </c>
      <c r="C38" s="6"/>
      <c r="D38" s="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>
      <c r="A39" s="12" t="s">
        <v>90</v>
      </c>
      <c r="C39" s="3"/>
      <c r="D39" s="3"/>
      <c r="E39" s="4">
        <v>200000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">
      <c r="A40" s="12" t="s">
        <v>91</v>
      </c>
      <c r="B40" s="3">
        <v>0.9</v>
      </c>
      <c r="C40" s="3"/>
      <c r="D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">
      <c r="A41" s="12" t="s">
        <v>95</v>
      </c>
      <c r="F41" s="4">
        <v>503</v>
      </c>
      <c r="G41" s="4">
        <v>489</v>
      </c>
      <c r="H41" s="4">
        <v>475</v>
      </c>
      <c r="I41" s="4">
        <v>545</v>
      </c>
      <c r="J41" s="4">
        <v>580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">
      <c r="A42" s="12" t="s">
        <v>96</v>
      </c>
      <c r="F42" s="4">
        <v>463.9</v>
      </c>
      <c r="G42" s="4">
        <v>450</v>
      </c>
      <c r="H42" s="4">
        <v>436.1</v>
      </c>
      <c r="I42" s="4">
        <v>400</v>
      </c>
      <c r="J42" s="4">
        <v>350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">
      <c r="A43" s="12" t="s">
        <v>101</v>
      </c>
      <c r="B43" s="22">
        <v>0.002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">
      <c r="A44" s="12" t="s">
        <v>103</v>
      </c>
      <c r="F44" s="4">
        <v>466</v>
      </c>
      <c r="G44" s="4">
        <v>565</v>
      </c>
      <c r="H44" s="4">
        <v>680</v>
      </c>
      <c r="I44" s="4">
        <v>785</v>
      </c>
      <c r="J44" s="4">
        <v>890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">
      <c r="A45" s="12" t="s">
        <v>104</v>
      </c>
      <c r="F45" s="4">
        <v>586</v>
      </c>
      <c r="G45" s="4">
        <v>600</v>
      </c>
      <c r="H45" s="4">
        <v>450</v>
      </c>
      <c r="I45" s="4">
        <v>400</v>
      </c>
      <c r="J45" s="4">
        <v>350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">
      <c r="A46" s="12" t="s">
        <v>105</v>
      </c>
      <c r="F46" s="4">
        <v>16.6</v>
      </c>
      <c r="G46" s="4">
        <v>44</v>
      </c>
      <c r="H46" s="4">
        <v>57</v>
      </c>
      <c r="I46" s="4">
        <v>58.71</v>
      </c>
      <c r="J46" s="4">
        <v>60.4713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">
      <c r="A47" s="12" t="s">
        <v>106</v>
      </c>
      <c r="F47" s="4">
        <v>4643</v>
      </c>
      <c r="G47" s="4">
        <v>1900</v>
      </c>
      <c r="H47" s="4">
        <v>1400</v>
      </c>
      <c r="I47" s="4">
        <v>2000</v>
      </c>
      <c r="J47" s="4">
        <v>2200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">
      <c r="A48" s="12" t="s">
        <v>132</v>
      </c>
      <c r="B48" s="2">
        <v>20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">
      <c r="A49" s="12" t="s">
        <v>136</v>
      </c>
      <c r="C49" s="2">
        <v>150</v>
      </c>
      <c r="D49" s="2">
        <v>710</v>
      </c>
      <c r="E49" s="2">
        <v>1340</v>
      </c>
      <c r="F49" s="4">
        <v>1650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">
      <c r="A50" s="12" t="s">
        <v>137</v>
      </c>
      <c r="B50" s="3">
        <v>0.1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">
      <c r="A51" s="36" t="s">
        <v>4</v>
      </c>
      <c r="B51" s="3"/>
      <c r="F51" s="20">
        <f>INDEX($F$53:$V$56,$B$57,F2)</f>
        <v>0.3</v>
      </c>
      <c r="G51" s="20">
        <f aca="true" t="shared" si="4" ref="G51:V51">INDEX($F$53:$V$56,$B$57,G2)</f>
        <v>0.3</v>
      </c>
      <c r="H51" s="20">
        <f t="shared" si="4"/>
        <v>0.3</v>
      </c>
      <c r="I51" s="20">
        <f t="shared" si="4"/>
        <v>0.3</v>
      </c>
      <c r="J51" s="20">
        <f t="shared" si="4"/>
        <v>0.3</v>
      </c>
      <c r="K51" s="20">
        <f t="shared" si="4"/>
        <v>0.3</v>
      </c>
      <c r="L51" s="20">
        <f t="shared" si="4"/>
        <v>0.3</v>
      </c>
      <c r="M51" s="20">
        <f t="shared" si="4"/>
        <v>0.3</v>
      </c>
      <c r="N51" s="20">
        <f t="shared" si="4"/>
        <v>0.3</v>
      </c>
      <c r="O51" s="20">
        <f t="shared" si="4"/>
        <v>0.3</v>
      </c>
      <c r="P51" s="20">
        <f t="shared" si="4"/>
        <v>0.3</v>
      </c>
      <c r="Q51" s="20">
        <f t="shared" si="4"/>
        <v>0.3</v>
      </c>
      <c r="R51" s="20">
        <f t="shared" si="4"/>
        <v>0.3</v>
      </c>
      <c r="S51" s="20">
        <f t="shared" si="4"/>
        <v>0.3</v>
      </c>
      <c r="T51" s="20">
        <f t="shared" si="4"/>
        <v>0.3</v>
      </c>
      <c r="U51" s="20">
        <f t="shared" si="4"/>
        <v>0.3</v>
      </c>
      <c r="V51" s="20">
        <f t="shared" si="4"/>
        <v>0.3</v>
      </c>
    </row>
    <row r="52" spans="1:22" ht="12">
      <c r="A52" s="12" t="s">
        <v>280</v>
      </c>
      <c r="B52" s="3">
        <v>0.3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">
      <c r="A53" s="12" t="s">
        <v>283</v>
      </c>
      <c r="F53" s="20">
        <f>$B$52</f>
        <v>0.3</v>
      </c>
      <c r="G53" s="20">
        <f aca="true" t="shared" si="5" ref="G53:V54">$B$52</f>
        <v>0.3</v>
      </c>
      <c r="H53" s="20">
        <f t="shared" si="5"/>
        <v>0.3</v>
      </c>
      <c r="I53" s="20">
        <f t="shared" si="5"/>
        <v>0.3</v>
      </c>
      <c r="J53" s="20">
        <f t="shared" si="5"/>
        <v>0.3</v>
      </c>
      <c r="K53" s="20">
        <f t="shared" si="5"/>
        <v>0.3</v>
      </c>
      <c r="L53" s="20">
        <f t="shared" si="5"/>
        <v>0.3</v>
      </c>
      <c r="M53" s="20">
        <f t="shared" si="5"/>
        <v>0.3</v>
      </c>
      <c r="N53" s="20">
        <f t="shared" si="5"/>
        <v>0.3</v>
      </c>
      <c r="O53" s="20">
        <f t="shared" si="5"/>
        <v>0.3</v>
      </c>
      <c r="P53" s="20">
        <f t="shared" si="5"/>
        <v>0.3</v>
      </c>
      <c r="Q53" s="20">
        <f t="shared" si="5"/>
        <v>0.3</v>
      </c>
      <c r="R53" s="20">
        <f t="shared" si="5"/>
        <v>0.3</v>
      </c>
      <c r="S53" s="20">
        <f t="shared" si="5"/>
        <v>0.3</v>
      </c>
      <c r="T53" s="20">
        <f t="shared" si="5"/>
        <v>0.3</v>
      </c>
      <c r="U53" s="20">
        <f t="shared" si="5"/>
        <v>0.3</v>
      </c>
      <c r="V53" s="20">
        <f t="shared" si="5"/>
        <v>0.3</v>
      </c>
    </row>
    <row r="54" spans="1:22" ht="12">
      <c r="A54" s="12" t="s">
        <v>286</v>
      </c>
      <c r="F54" s="20">
        <f>$B$52</f>
        <v>0.3</v>
      </c>
      <c r="G54" s="20">
        <f t="shared" si="5"/>
        <v>0.3</v>
      </c>
      <c r="H54" s="20">
        <f t="shared" si="5"/>
        <v>0.3</v>
      </c>
      <c r="I54" s="20">
        <f t="shared" si="5"/>
        <v>0.3</v>
      </c>
      <c r="J54" s="20">
        <f t="shared" si="5"/>
        <v>0.3</v>
      </c>
      <c r="K54" s="20">
        <f t="shared" si="5"/>
        <v>0.3</v>
      </c>
      <c r="L54" s="20">
        <f t="shared" si="5"/>
        <v>0.3</v>
      </c>
      <c r="M54" s="20">
        <f t="shared" si="5"/>
        <v>0.3</v>
      </c>
      <c r="N54" s="20">
        <f t="shared" si="5"/>
        <v>0.3</v>
      </c>
      <c r="O54" s="20">
        <f t="shared" si="5"/>
        <v>0.3</v>
      </c>
      <c r="P54" s="20">
        <f t="shared" si="5"/>
        <v>0.3</v>
      </c>
      <c r="Q54" s="20">
        <v>0.25</v>
      </c>
      <c r="R54" s="20">
        <v>0.15</v>
      </c>
      <c r="S54" s="20">
        <v>0.15</v>
      </c>
      <c r="T54" s="20">
        <v>0.15</v>
      </c>
      <c r="U54" s="20">
        <v>0.15</v>
      </c>
      <c r="V54" s="20">
        <v>0.15</v>
      </c>
    </row>
    <row r="55" spans="1:22" ht="12">
      <c r="A55" s="12" t="s">
        <v>284</v>
      </c>
      <c r="F55" s="20">
        <f>$B$52</f>
        <v>0.3</v>
      </c>
      <c r="G55" s="20">
        <f aca="true" t="shared" si="6" ref="G55:N55">$B$52</f>
        <v>0.3</v>
      </c>
      <c r="H55" s="20">
        <f t="shared" si="6"/>
        <v>0.3</v>
      </c>
      <c r="I55" s="20">
        <f t="shared" si="6"/>
        <v>0.3</v>
      </c>
      <c r="J55" s="20">
        <f t="shared" si="6"/>
        <v>0.3</v>
      </c>
      <c r="K55" s="20">
        <f t="shared" si="6"/>
        <v>0.3</v>
      </c>
      <c r="L55" s="20">
        <f t="shared" si="6"/>
        <v>0.3</v>
      </c>
      <c r="M55" s="20">
        <f t="shared" si="6"/>
        <v>0.3</v>
      </c>
      <c r="N55" s="20">
        <f t="shared" si="6"/>
        <v>0.3</v>
      </c>
      <c r="O55" s="20">
        <v>0.2</v>
      </c>
      <c r="P55" s="20">
        <v>0.1</v>
      </c>
      <c r="Q55" s="20">
        <v>0.05</v>
      </c>
      <c r="R55" s="20">
        <v>0.05</v>
      </c>
      <c r="S55" s="20">
        <v>0.05</v>
      </c>
      <c r="T55" s="20">
        <v>0.05</v>
      </c>
      <c r="U55" s="20">
        <v>0.05</v>
      </c>
      <c r="V55" s="20">
        <v>0.05</v>
      </c>
    </row>
    <row r="56" spans="1:22" ht="12">
      <c r="A56" s="12" t="s">
        <v>296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</row>
    <row r="57" spans="1:22" ht="12">
      <c r="A57" s="12" t="s">
        <v>285</v>
      </c>
      <c r="B57" s="2">
        <v>1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2">
      <c r="A58" s="36" t="s">
        <v>281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">
      <c r="A59" s="12" t="s">
        <v>129</v>
      </c>
      <c r="B59" s="3">
        <v>0.1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">
      <c r="A60" s="12" t="s">
        <v>130</v>
      </c>
      <c r="B60" s="3">
        <v>0.1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">
      <c r="A61" s="12" t="s">
        <v>282</v>
      </c>
      <c r="B61" s="3">
        <v>0.25</v>
      </c>
      <c r="C61" s="3"/>
      <c r="D61" s="3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1:22" ht="12">
      <c r="A62" s="12" t="s">
        <v>35</v>
      </c>
      <c r="B62" s="2">
        <v>5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22" ht="12">
      <c r="A63" s="1" t="s">
        <v>249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:4" ht="12">
      <c r="A64" s="12" t="s">
        <v>287</v>
      </c>
      <c r="B64" s="6">
        <v>0.1</v>
      </c>
      <c r="C64" s="3"/>
      <c r="D64" s="3"/>
    </row>
    <row r="65" spans="1:4" ht="12">
      <c r="A65" s="12" t="s">
        <v>34</v>
      </c>
      <c r="B65" s="11">
        <f>(1+B64)*(1+B5)-1</f>
        <v>0.13300000000000023</v>
      </c>
      <c r="C65" s="11"/>
      <c r="D65" s="11"/>
    </row>
    <row r="66" spans="1:4" ht="12">
      <c r="A66" s="12"/>
      <c r="B66" s="11"/>
      <c r="C66" s="11"/>
      <c r="D66" s="11"/>
    </row>
    <row r="67" ht="12">
      <c r="A67" s="1" t="s">
        <v>250</v>
      </c>
    </row>
    <row r="68" ht="12">
      <c r="A68" s="1" t="s">
        <v>8</v>
      </c>
    </row>
    <row r="69" spans="1:22" ht="12">
      <c r="A69" s="2" t="s">
        <v>10</v>
      </c>
      <c r="C69" s="10">
        <f>D69/(1+$B4)</f>
        <v>0.9070294784580498</v>
      </c>
      <c r="D69" s="10">
        <f>E69/(1+$B4)</f>
        <v>0.9523809523809523</v>
      </c>
      <c r="E69" s="2">
        <v>1</v>
      </c>
      <c r="F69" s="2">
        <f aca="true" t="shared" si="7" ref="F69:V69">E69*(1+$B$4)</f>
        <v>1.05</v>
      </c>
      <c r="G69" s="10">
        <f t="shared" si="7"/>
        <v>1.1025</v>
      </c>
      <c r="H69" s="10">
        <f t="shared" si="7"/>
        <v>1.1576250000000001</v>
      </c>
      <c r="I69" s="10">
        <f t="shared" si="7"/>
        <v>1.2155062500000002</v>
      </c>
      <c r="J69" s="10">
        <f t="shared" si="7"/>
        <v>1.2762815625000004</v>
      </c>
      <c r="K69" s="10">
        <f t="shared" si="7"/>
        <v>1.3400956406250004</v>
      </c>
      <c r="L69" s="10">
        <f t="shared" si="7"/>
        <v>1.4071004226562505</v>
      </c>
      <c r="M69" s="10">
        <f t="shared" si="7"/>
        <v>1.477455443789063</v>
      </c>
      <c r="N69" s="10">
        <f t="shared" si="7"/>
        <v>1.5513282159785162</v>
      </c>
      <c r="O69" s="10">
        <f t="shared" si="7"/>
        <v>1.628894626777442</v>
      </c>
      <c r="P69" s="10">
        <f t="shared" si="7"/>
        <v>1.7103393581163142</v>
      </c>
      <c r="Q69" s="10">
        <f t="shared" si="7"/>
        <v>1.79585632602213</v>
      </c>
      <c r="R69" s="10">
        <f t="shared" si="7"/>
        <v>1.8856491423232367</v>
      </c>
      <c r="S69" s="10">
        <f t="shared" si="7"/>
        <v>1.9799315994393987</v>
      </c>
      <c r="T69" s="10">
        <f t="shared" si="7"/>
        <v>2.0789281794113688</v>
      </c>
      <c r="U69" s="10">
        <f t="shared" si="7"/>
        <v>2.1828745883819374</v>
      </c>
      <c r="V69" s="10">
        <f t="shared" si="7"/>
        <v>2.2920183178010345</v>
      </c>
    </row>
    <row r="70" spans="1:22" ht="12">
      <c r="A70" s="2" t="s">
        <v>9</v>
      </c>
      <c r="C70" s="10">
        <f>D70/(1+$B5)</f>
        <v>0.9425959091337544</v>
      </c>
      <c r="D70" s="10">
        <f>E70/(1+$B5)</f>
        <v>0.970873786407767</v>
      </c>
      <c r="E70" s="2">
        <v>1</v>
      </c>
      <c r="F70" s="2">
        <f aca="true" t="shared" si="8" ref="F70:V70">E70*(1+$B$5)</f>
        <v>1.03</v>
      </c>
      <c r="G70" s="10">
        <f t="shared" si="8"/>
        <v>1.0609</v>
      </c>
      <c r="H70" s="10">
        <f t="shared" si="8"/>
        <v>1.092727</v>
      </c>
      <c r="I70" s="10">
        <f t="shared" si="8"/>
        <v>1.1255088100000001</v>
      </c>
      <c r="J70" s="10">
        <f t="shared" si="8"/>
        <v>1.1592740743</v>
      </c>
      <c r="K70" s="10">
        <f t="shared" si="8"/>
        <v>1.1940522965290001</v>
      </c>
      <c r="L70" s="10">
        <f t="shared" si="8"/>
        <v>1.2298738654248702</v>
      </c>
      <c r="M70" s="10">
        <f t="shared" si="8"/>
        <v>1.2667700813876164</v>
      </c>
      <c r="N70" s="10">
        <f t="shared" si="8"/>
        <v>1.304773183829245</v>
      </c>
      <c r="O70" s="10">
        <f t="shared" si="8"/>
        <v>1.3439163793441222</v>
      </c>
      <c r="P70" s="10">
        <f t="shared" si="8"/>
        <v>1.384233870724446</v>
      </c>
      <c r="Q70" s="10">
        <f t="shared" si="8"/>
        <v>1.4257608868461793</v>
      </c>
      <c r="R70" s="10">
        <f t="shared" si="8"/>
        <v>1.4685337134515648</v>
      </c>
      <c r="S70" s="10">
        <f t="shared" si="8"/>
        <v>1.512589724855112</v>
      </c>
      <c r="T70" s="10">
        <f t="shared" si="8"/>
        <v>1.5579674166007653</v>
      </c>
      <c r="U70" s="10">
        <f t="shared" si="8"/>
        <v>1.6047064390987884</v>
      </c>
      <c r="V70" s="10">
        <f t="shared" si="8"/>
        <v>1.652847632271752</v>
      </c>
    </row>
    <row r="71" spans="1:22" ht="12">
      <c r="A71" s="2" t="s">
        <v>11</v>
      </c>
      <c r="C71" s="4"/>
      <c r="D71" s="4"/>
      <c r="E71" s="4">
        <f>E6</f>
        <v>15000</v>
      </c>
      <c r="F71" s="4">
        <f aca="true" t="shared" si="9" ref="F71:V71">$E$71*F69/F70</f>
        <v>15291.26213592233</v>
      </c>
      <c r="G71" s="4">
        <f t="shared" si="9"/>
        <v>15588.179847299463</v>
      </c>
      <c r="H71" s="4">
        <f t="shared" si="9"/>
        <v>15890.862951130524</v>
      </c>
      <c r="I71" s="4">
        <f t="shared" si="9"/>
        <v>16199.42339678354</v>
      </c>
      <c r="J71" s="4">
        <f t="shared" si="9"/>
        <v>16513.9753074007</v>
      </c>
      <c r="K71" s="4">
        <f t="shared" si="9"/>
        <v>16834.635022107508</v>
      </c>
      <c r="L71" s="4">
        <f t="shared" si="9"/>
        <v>17161.521139041633</v>
      </c>
      <c r="M71" s="4">
        <f t="shared" si="9"/>
        <v>17494.7545592172</v>
      </c>
      <c r="N71" s="4">
        <f t="shared" si="9"/>
        <v>17834.458531240834</v>
      </c>
      <c r="O71" s="4">
        <f t="shared" si="9"/>
        <v>18180.758696896</v>
      </c>
      <c r="P71" s="4">
        <f t="shared" si="9"/>
        <v>18533.783137612427</v>
      </c>
      <c r="Q71" s="4">
        <f t="shared" si="9"/>
        <v>18893.66242183791</v>
      </c>
      <c r="R71" s="4">
        <f t="shared" si="9"/>
        <v>19260.529653329908</v>
      </c>
      <c r="S71" s="4">
        <f t="shared" si="9"/>
        <v>19634.52052038486</v>
      </c>
      <c r="T71" s="4">
        <f t="shared" si="9"/>
        <v>20015.773346023398</v>
      </c>
      <c r="U71" s="4">
        <f t="shared" si="9"/>
        <v>20404.429139150066</v>
      </c>
      <c r="V71" s="4">
        <f t="shared" si="9"/>
        <v>20800.63164670638</v>
      </c>
    </row>
    <row r="72" spans="3:22" ht="1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">
      <c r="A73" s="1" t="s">
        <v>107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">
      <c r="A74" s="2" t="s">
        <v>110</v>
      </c>
      <c r="C74" s="4">
        <f>C14</f>
        <v>1548.3</v>
      </c>
      <c r="D74" s="4">
        <f>D14</f>
        <v>14041.6</v>
      </c>
      <c r="E74" s="4">
        <f>E14</f>
        <v>38585</v>
      </c>
      <c r="F74" s="4">
        <f>F14</f>
        <v>10376</v>
      </c>
      <c r="G74" s="4">
        <f>G14</f>
        <v>1585</v>
      </c>
      <c r="H74" s="4">
        <f>SUM(C14:G14)*B16</f>
        <v>3306.795</v>
      </c>
      <c r="I74" s="4">
        <f aca="true" t="shared" si="10" ref="I74:V75">H74*(1+$B$5)</f>
        <v>3405.99885</v>
      </c>
      <c r="J74" s="4">
        <f t="shared" si="10"/>
        <v>3508.1788155</v>
      </c>
      <c r="K74" s="4">
        <f t="shared" si="10"/>
        <v>3613.424179965</v>
      </c>
      <c r="L74" s="4">
        <f t="shared" si="10"/>
        <v>3721.82690536395</v>
      </c>
      <c r="M74" s="4">
        <f t="shared" si="10"/>
        <v>3833.4817125248687</v>
      </c>
      <c r="N74" s="4">
        <f t="shared" si="10"/>
        <v>3948.486163900615</v>
      </c>
      <c r="O74" s="4">
        <f t="shared" si="10"/>
        <v>4066.9407488176334</v>
      </c>
      <c r="P74" s="4">
        <f t="shared" si="10"/>
        <v>4188.948971282162</v>
      </c>
      <c r="Q74" s="4">
        <f t="shared" si="10"/>
        <v>4314.617440420628</v>
      </c>
      <c r="R74" s="4">
        <f t="shared" si="10"/>
        <v>4444.055963633246</v>
      </c>
      <c r="S74" s="4">
        <f t="shared" si="10"/>
        <v>4577.377642542244</v>
      </c>
      <c r="T74" s="4">
        <f t="shared" si="10"/>
        <v>4714.698971818511</v>
      </c>
      <c r="U74" s="4">
        <f t="shared" si="10"/>
        <v>4856.139940973067</v>
      </c>
      <c r="V74" s="4">
        <f t="shared" si="10"/>
        <v>5001.824139202258</v>
      </c>
    </row>
    <row r="75" spans="1:22" ht="12">
      <c r="A75" s="12" t="s">
        <v>229</v>
      </c>
      <c r="C75" s="4">
        <f aca="true" t="shared" si="11" ref="C75:J75">C17</f>
        <v>37.15</v>
      </c>
      <c r="D75" s="4">
        <f t="shared" si="11"/>
        <v>1594.5</v>
      </c>
      <c r="E75" s="4">
        <f t="shared" si="11"/>
        <v>3291.05</v>
      </c>
      <c r="F75" s="4">
        <f t="shared" si="11"/>
        <v>2117</v>
      </c>
      <c r="G75" s="4">
        <f t="shared" si="11"/>
        <v>178</v>
      </c>
      <c r="H75" s="4">
        <f t="shared" si="11"/>
        <v>0</v>
      </c>
      <c r="I75" s="4">
        <f t="shared" si="11"/>
        <v>0</v>
      </c>
      <c r="J75" s="4">
        <f t="shared" si="11"/>
        <v>90.22125</v>
      </c>
      <c r="K75" s="4">
        <f>J75*(1+$B$5)</f>
        <v>92.9278875</v>
      </c>
      <c r="L75" s="4">
        <f t="shared" si="10"/>
        <v>95.715724125</v>
      </c>
      <c r="M75" s="4">
        <f t="shared" si="10"/>
        <v>98.58719584875</v>
      </c>
      <c r="N75" s="4">
        <f t="shared" si="10"/>
        <v>101.54481172421251</v>
      </c>
      <c r="O75" s="4">
        <f t="shared" si="10"/>
        <v>104.59115607593888</v>
      </c>
      <c r="P75" s="4">
        <f t="shared" si="10"/>
        <v>107.72889075821705</v>
      </c>
      <c r="Q75" s="4">
        <f t="shared" si="10"/>
        <v>110.96075748096357</v>
      </c>
      <c r="R75" s="4">
        <f t="shared" si="10"/>
        <v>114.28958020539247</v>
      </c>
      <c r="S75" s="4">
        <f t="shared" si="10"/>
        <v>117.71826761155424</v>
      </c>
      <c r="T75" s="4">
        <f t="shared" si="10"/>
        <v>121.24981563990087</v>
      </c>
      <c r="U75" s="4">
        <f t="shared" si="10"/>
        <v>124.8873101090979</v>
      </c>
      <c r="V75" s="4">
        <f t="shared" si="10"/>
        <v>128.63392941237083</v>
      </c>
    </row>
    <row r="76" spans="3:22" ht="1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">
      <c r="A77" s="1" t="s">
        <v>117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">
      <c r="A78" s="2" t="s">
        <v>118</v>
      </c>
      <c r="C78" s="4"/>
      <c r="D78" s="4"/>
      <c r="E78" s="4"/>
      <c r="F78" s="4"/>
      <c r="G78" s="4">
        <v>0</v>
      </c>
      <c r="H78" s="4">
        <f aca="true" t="shared" si="12" ref="H78:N78">G82</f>
        <v>20000</v>
      </c>
      <c r="I78" s="4">
        <f t="shared" si="12"/>
        <v>20000</v>
      </c>
      <c r="J78" s="4">
        <f t="shared" si="12"/>
        <v>20000</v>
      </c>
      <c r="K78" s="4">
        <f t="shared" si="12"/>
        <v>17777.777777777777</v>
      </c>
      <c r="L78" s="4">
        <f t="shared" si="12"/>
        <v>13333.333333333332</v>
      </c>
      <c r="M78" s="4">
        <f t="shared" si="12"/>
        <v>8888.888888888887</v>
      </c>
      <c r="N78" s="4">
        <f t="shared" si="12"/>
        <v>4444.4444444444425</v>
      </c>
      <c r="O78" s="4"/>
      <c r="P78" s="4"/>
      <c r="Q78" s="4"/>
      <c r="R78" s="4"/>
      <c r="S78" s="4"/>
      <c r="T78" s="4"/>
      <c r="U78" s="4"/>
      <c r="V78" s="4"/>
    </row>
    <row r="79" spans="1:22" ht="12">
      <c r="A79" s="2" t="s">
        <v>119</v>
      </c>
      <c r="C79" s="4"/>
      <c r="D79" s="4"/>
      <c r="E79" s="4"/>
      <c r="F79" s="4"/>
      <c r="G79" s="4">
        <f>B20</f>
        <v>20000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/>
      <c r="P79" s="4"/>
      <c r="Q79" s="4"/>
      <c r="R79" s="4"/>
      <c r="S79" s="4"/>
      <c r="T79" s="4"/>
      <c r="U79" s="4"/>
      <c r="V79" s="4"/>
    </row>
    <row r="80" spans="1:22" ht="12">
      <c r="A80" s="2" t="s">
        <v>123</v>
      </c>
      <c r="C80" s="4"/>
      <c r="D80" s="4"/>
      <c r="E80" s="4"/>
      <c r="F80" s="4"/>
      <c r="G80" s="4">
        <f aca="true" t="shared" si="13" ref="G80:N80">G78*($B$7+$B$21)</f>
        <v>0</v>
      </c>
      <c r="H80" s="4">
        <f t="shared" si="13"/>
        <v>1749.9999999999989</v>
      </c>
      <c r="I80" s="4">
        <f t="shared" si="13"/>
        <v>1749.9999999999989</v>
      </c>
      <c r="J80" s="4">
        <f t="shared" si="13"/>
        <v>1749.9999999999989</v>
      </c>
      <c r="K80" s="4">
        <f t="shared" si="13"/>
        <v>1555.5555555555545</v>
      </c>
      <c r="L80" s="4">
        <f t="shared" si="13"/>
        <v>1166.6666666666658</v>
      </c>
      <c r="M80" s="4">
        <f t="shared" si="13"/>
        <v>777.777777777777</v>
      </c>
      <c r="N80" s="4">
        <f t="shared" si="13"/>
        <v>388.88888888888846</v>
      </c>
      <c r="O80" s="4"/>
      <c r="P80" s="4"/>
      <c r="Q80" s="4"/>
      <c r="R80" s="4"/>
      <c r="S80" s="4"/>
      <c r="T80" s="4"/>
      <c r="U80" s="4"/>
      <c r="V80" s="4"/>
    </row>
    <row r="81" spans="1:22" ht="12">
      <c r="A81" s="2" t="s">
        <v>121</v>
      </c>
      <c r="C81" s="4"/>
      <c r="D81" s="4"/>
      <c r="E81" s="4"/>
      <c r="F81" s="4"/>
      <c r="G81" s="4">
        <v>0</v>
      </c>
      <c r="H81" s="4">
        <v>0</v>
      </c>
      <c r="I81" s="4">
        <v>0</v>
      </c>
      <c r="J81" s="4">
        <f>$B$20/$B$22</f>
        <v>2222.222222222222</v>
      </c>
      <c r="K81" s="4">
        <f>$B$20/$B$22*2</f>
        <v>4444.444444444444</v>
      </c>
      <c r="L81" s="4">
        <f>$B$20/$B$22*2</f>
        <v>4444.444444444444</v>
      </c>
      <c r="M81" s="4">
        <f>$B$20/$B$22*2</f>
        <v>4444.444444444444</v>
      </c>
      <c r="N81" s="4">
        <f>$B$20/$B$22*2</f>
        <v>4444.444444444444</v>
      </c>
      <c r="O81" s="4"/>
      <c r="P81" s="4"/>
      <c r="Q81" s="4"/>
      <c r="R81" s="4"/>
      <c r="S81" s="4"/>
      <c r="T81" s="4"/>
      <c r="U81" s="4"/>
      <c r="V81" s="4"/>
    </row>
    <row r="82" spans="1:22" ht="12">
      <c r="A82" s="2" t="s">
        <v>122</v>
      </c>
      <c r="C82" s="4"/>
      <c r="D82" s="4"/>
      <c r="E82" s="4"/>
      <c r="F82" s="4"/>
      <c r="G82" s="4">
        <f aca="true" t="shared" si="14" ref="G82:N82">G78+G79-G81</f>
        <v>20000</v>
      </c>
      <c r="H82" s="4">
        <f t="shared" si="14"/>
        <v>20000</v>
      </c>
      <c r="I82" s="4">
        <f t="shared" si="14"/>
        <v>20000</v>
      </c>
      <c r="J82" s="4">
        <f t="shared" si="14"/>
        <v>17777.777777777777</v>
      </c>
      <c r="K82" s="4">
        <f t="shared" si="14"/>
        <v>13333.333333333332</v>
      </c>
      <c r="L82" s="4">
        <f t="shared" si="14"/>
        <v>8888.888888888887</v>
      </c>
      <c r="M82" s="4">
        <f t="shared" si="14"/>
        <v>4444.4444444444425</v>
      </c>
      <c r="N82" s="4">
        <f t="shared" si="14"/>
        <v>0</v>
      </c>
      <c r="O82" s="4"/>
      <c r="P82" s="4"/>
      <c r="Q82" s="4"/>
      <c r="R82" s="4"/>
      <c r="S82" s="4"/>
      <c r="T82" s="4"/>
      <c r="U82" s="4"/>
      <c r="V82" s="4"/>
    </row>
    <row r="83" spans="1:22" ht="12">
      <c r="A83" s="1" t="s">
        <v>124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">
      <c r="A84" s="2" t="s">
        <v>118</v>
      </c>
      <c r="C84" s="4"/>
      <c r="D84" s="4"/>
      <c r="E84" s="4"/>
      <c r="F84" s="4"/>
      <c r="G84" s="4">
        <v>0</v>
      </c>
      <c r="H84" s="4">
        <f aca="true" t="shared" si="15" ref="H84:N84">G88</f>
        <v>25000</v>
      </c>
      <c r="I84" s="4">
        <f t="shared" si="15"/>
        <v>25000</v>
      </c>
      <c r="J84" s="4">
        <f t="shared" si="15"/>
        <v>22727.272727272728</v>
      </c>
      <c r="K84" s="4">
        <f t="shared" si="15"/>
        <v>18181.818181818184</v>
      </c>
      <c r="L84" s="4">
        <f t="shared" si="15"/>
        <v>13636.36363636364</v>
      </c>
      <c r="M84" s="4">
        <f t="shared" si="15"/>
        <v>9090.909090909096</v>
      </c>
      <c r="N84" s="4">
        <f t="shared" si="15"/>
        <v>4545.4545454545505</v>
      </c>
      <c r="O84" s="4"/>
      <c r="P84" s="4"/>
      <c r="Q84" s="4"/>
      <c r="R84" s="4"/>
      <c r="S84" s="4"/>
      <c r="T84" s="4"/>
      <c r="U84" s="4"/>
      <c r="V84" s="4"/>
    </row>
    <row r="85" spans="1:22" ht="12">
      <c r="A85" s="2" t="s">
        <v>119</v>
      </c>
      <c r="C85" s="4"/>
      <c r="D85" s="4"/>
      <c r="E85" s="4"/>
      <c r="F85" s="4"/>
      <c r="G85" s="4">
        <f>B23</f>
        <v>25000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/>
      <c r="P85" s="4"/>
      <c r="Q85" s="4"/>
      <c r="R85" s="4"/>
      <c r="S85" s="4"/>
      <c r="T85" s="4"/>
      <c r="U85" s="4"/>
      <c r="V85" s="4"/>
    </row>
    <row r="86" spans="1:22" ht="12">
      <c r="A86" s="2" t="s">
        <v>123</v>
      </c>
      <c r="C86" s="4"/>
      <c r="D86" s="4"/>
      <c r="E86" s="4"/>
      <c r="F86" s="4"/>
      <c r="G86" s="4">
        <f aca="true" t="shared" si="16" ref="G86:N86">G84*($B$7+$B$24)</f>
        <v>0</v>
      </c>
      <c r="H86" s="4">
        <f t="shared" si="16"/>
        <v>2093.749999999998</v>
      </c>
      <c r="I86" s="4">
        <f t="shared" si="16"/>
        <v>2093.749999999998</v>
      </c>
      <c r="J86" s="4">
        <f t="shared" si="16"/>
        <v>1903.4090909090894</v>
      </c>
      <c r="K86" s="4">
        <f t="shared" si="16"/>
        <v>1522.7272727272716</v>
      </c>
      <c r="L86" s="4">
        <f t="shared" si="16"/>
        <v>1142.045454545454</v>
      </c>
      <c r="M86" s="4">
        <f t="shared" si="16"/>
        <v>761.3636363636361</v>
      </c>
      <c r="N86" s="4">
        <f t="shared" si="16"/>
        <v>380.6818181818183</v>
      </c>
      <c r="O86" s="4"/>
      <c r="P86" s="4"/>
      <c r="Q86" s="4"/>
      <c r="R86" s="4"/>
      <c r="S86" s="4"/>
      <c r="T86" s="4"/>
      <c r="U86" s="4"/>
      <c r="V86" s="4"/>
    </row>
    <row r="87" spans="1:22" ht="12">
      <c r="A87" s="2" t="s">
        <v>121</v>
      </c>
      <c r="C87" s="4"/>
      <c r="D87" s="4"/>
      <c r="E87" s="4"/>
      <c r="F87" s="4"/>
      <c r="G87" s="4">
        <v>0</v>
      </c>
      <c r="H87" s="4">
        <v>0</v>
      </c>
      <c r="I87" s="4">
        <f>$B$23/$B$25</f>
        <v>2272.7272727272725</v>
      </c>
      <c r="J87" s="4">
        <f>$B$23/$B$25*2</f>
        <v>4545.454545454545</v>
      </c>
      <c r="K87" s="4">
        <f>$B$23/$B$25*2</f>
        <v>4545.454545454545</v>
      </c>
      <c r="L87" s="4">
        <f>$B$23/$B$25*2</f>
        <v>4545.454545454545</v>
      </c>
      <c r="M87" s="4">
        <f>$B$23/$B$25*2</f>
        <v>4545.454545454545</v>
      </c>
      <c r="N87" s="4">
        <f>$B$23/$B$25*2</f>
        <v>4545.454545454545</v>
      </c>
      <c r="O87" s="4"/>
      <c r="P87" s="4"/>
      <c r="Q87" s="4"/>
      <c r="R87" s="4"/>
      <c r="S87" s="4"/>
      <c r="T87" s="4"/>
      <c r="U87" s="4"/>
      <c r="V87" s="4"/>
    </row>
    <row r="88" spans="1:14" ht="12">
      <c r="A88" s="2" t="s">
        <v>122</v>
      </c>
      <c r="C88" s="4"/>
      <c r="D88" s="4"/>
      <c r="E88" s="4"/>
      <c r="F88" s="4"/>
      <c r="G88" s="4">
        <f aca="true" t="shared" si="17" ref="G88:N88">G84+G85-G87</f>
        <v>25000</v>
      </c>
      <c r="H88" s="4">
        <f t="shared" si="17"/>
        <v>25000</v>
      </c>
      <c r="I88" s="4">
        <f t="shared" si="17"/>
        <v>22727.272727272728</v>
      </c>
      <c r="J88" s="4">
        <f t="shared" si="17"/>
        <v>18181.818181818184</v>
      </c>
      <c r="K88" s="4">
        <f t="shared" si="17"/>
        <v>13636.36363636364</v>
      </c>
      <c r="L88" s="4">
        <f t="shared" si="17"/>
        <v>9090.909090909096</v>
      </c>
      <c r="M88" s="4">
        <f t="shared" si="17"/>
        <v>4545.4545454545505</v>
      </c>
      <c r="N88" s="4">
        <f t="shared" si="17"/>
        <v>0</v>
      </c>
    </row>
    <row r="89" spans="1:14" ht="12">
      <c r="A89" s="1" t="s">
        <v>125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">
      <c r="A90" s="2" t="s">
        <v>118</v>
      </c>
      <c r="C90" s="4"/>
      <c r="D90" s="4"/>
      <c r="E90" s="4"/>
      <c r="F90" s="4"/>
      <c r="G90" s="4">
        <v>0</v>
      </c>
      <c r="H90" s="4">
        <f aca="true" t="shared" si="18" ref="H90:N90">G94</f>
        <v>20000</v>
      </c>
      <c r="I90" s="4">
        <f t="shared" si="18"/>
        <v>20000</v>
      </c>
      <c r="J90" s="4">
        <f t="shared" si="18"/>
        <v>18181.81818181818</v>
      </c>
      <c r="K90" s="4">
        <f t="shared" si="18"/>
        <v>14545.454545454544</v>
      </c>
      <c r="L90" s="4">
        <f t="shared" si="18"/>
        <v>10909.090909090908</v>
      </c>
      <c r="M90" s="4">
        <f t="shared" si="18"/>
        <v>7272.727272727272</v>
      </c>
      <c r="N90" s="4">
        <f t="shared" si="18"/>
        <v>3636.3636363636356</v>
      </c>
    </row>
    <row r="91" spans="1:14" ht="12">
      <c r="A91" s="2" t="s">
        <v>119</v>
      </c>
      <c r="C91" s="4"/>
      <c r="D91" s="4"/>
      <c r="E91" s="4"/>
      <c r="F91" s="4"/>
      <c r="G91" s="4">
        <f>B26</f>
        <v>20000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2">
      <c r="A92" s="2" t="s">
        <v>123</v>
      </c>
      <c r="C92" s="4"/>
      <c r="D92" s="4"/>
      <c r="E92" s="4"/>
      <c r="F92" s="4"/>
      <c r="G92" s="4">
        <f aca="true" t="shared" si="19" ref="G92:N92">G90*($B$7+$B$27)</f>
        <v>0</v>
      </c>
      <c r="H92" s="4">
        <f t="shared" si="19"/>
        <v>1749.9999999999989</v>
      </c>
      <c r="I92" s="4">
        <f t="shared" si="19"/>
        <v>1749.9999999999989</v>
      </c>
      <c r="J92" s="4">
        <f t="shared" si="19"/>
        <v>1590.9090909090896</v>
      </c>
      <c r="K92" s="4">
        <f t="shared" si="19"/>
        <v>1272.7272727272716</v>
      </c>
      <c r="L92" s="4">
        <f t="shared" si="19"/>
        <v>954.5454545454538</v>
      </c>
      <c r="M92" s="4">
        <f t="shared" si="19"/>
        <v>636.3636363636358</v>
      </c>
      <c r="N92" s="4">
        <f t="shared" si="19"/>
        <v>318.1818181818179</v>
      </c>
    </row>
    <row r="93" spans="1:14" ht="12">
      <c r="A93" s="2" t="s">
        <v>121</v>
      </c>
      <c r="C93" s="4"/>
      <c r="D93" s="4"/>
      <c r="E93" s="4"/>
      <c r="F93" s="4"/>
      <c r="G93" s="4">
        <v>0</v>
      </c>
      <c r="H93" s="4">
        <v>0</v>
      </c>
      <c r="I93" s="4">
        <f>$B$26/$B$28</f>
        <v>1818.1818181818182</v>
      </c>
      <c r="J93" s="4">
        <f>$B$26/$B$28*2</f>
        <v>3636.3636363636365</v>
      </c>
      <c r="K93" s="4">
        <f>$B$26/$B$28*2</f>
        <v>3636.3636363636365</v>
      </c>
      <c r="L93" s="4">
        <f>$B$26/$B$28*2</f>
        <v>3636.3636363636365</v>
      </c>
      <c r="M93" s="4">
        <f>$B$26/$B$28*2</f>
        <v>3636.3636363636365</v>
      </c>
      <c r="N93" s="4">
        <f>$B$26/$B$28*2</f>
        <v>3636.3636363636365</v>
      </c>
    </row>
    <row r="94" spans="1:14" ht="12">
      <c r="A94" s="2" t="s">
        <v>122</v>
      </c>
      <c r="C94" s="4"/>
      <c r="D94" s="4"/>
      <c r="E94" s="4"/>
      <c r="F94" s="4"/>
      <c r="G94" s="4">
        <f aca="true" t="shared" si="20" ref="G94:N94">G90+G91-G93</f>
        <v>20000</v>
      </c>
      <c r="H94" s="4">
        <f t="shared" si="20"/>
        <v>20000</v>
      </c>
      <c r="I94" s="4">
        <f t="shared" si="20"/>
        <v>18181.81818181818</v>
      </c>
      <c r="J94" s="4">
        <f t="shared" si="20"/>
        <v>14545.454545454544</v>
      </c>
      <c r="K94" s="4">
        <f t="shared" si="20"/>
        <v>10909.090909090908</v>
      </c>
      <c r="L94" s="4">
        <f t="shared" si="20"/>
        <v>7272.727272727272</v>
      </c>
      <c r="M94" s="4">
        <f t="shared" si="20"/>
        <v>3636.3636363636356</v>
      </c>
      <c r="N94" s="4">
        <f t="shared" si="20"/>
        <v>0</v>
      </c>
    </row>
    <row r="95" spans="1:14" ht="12">
      <c r="A95" s="1" t="s">
        <v>126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">
      <c r="A96" s="2" t="s">
        <v>118</v>
      </c>
      <c r="C96" s="4"/>
      <c r="D96" s="4"/>
      <c r="E96" s="4"/>
      <c r="F96" s="4"/>
      <c r="G96" s="4">
        <f>G90+G84+G78</f>
        <v>0</v>
      </c>
      <c r="H96" s="4">
        <f aca="true" t="shared" si="21" ref="H96:N96">H90+H84+H78</f>
        <v>65000</v>
      </c>
      <c r="I96" s="4">
        <f t="shared" si="21"/>
        <v>65000</v>
      </c>
      <c r="J96" s="4">
        <f t="shared" si="21"/>
        <v>60909.09090909091</v>
      </c>
      <c r="K96" s="4">
        <f t="shared" si="21"/>
        <v>50505.0505050505</v>
      </c>
      <c r="L96" s="4">
        <f t="shared" si="21"/>
        <v>37878.78787878788</v>
      </c>
      <c r="M96" s="4">
        <f t="shared" si="21"/>
        <v>25252.525252525254</v>
      </c>
      <c r="N96" s="4">
        <f t="shared" si="21"/>
        <v>12626.262626262629</v>
      </c>
    </row>
    <row r="97" spans="1:14" ht="12">
      <c r="A97" s="2" t="s">
        <v>119</v>
      </c>
      <c r="C97" s="4"/>
      <c r="D97" s="4"/>
      <c r="E97" s="4"/>
      <c r="F97" s="4"/>
      <c r="G97" s="4">
        <f aca="true" t="shared" si="22" ref="G97:N100">G91+G85+G79</f>
        <v>65000</v>
      </c>
      <c r="H97" s="4">
        <f t="shared" si="22"/>
        <v>0</v>
      </c>
      <c r="I97" s="4">
        <f t="shared" si="22"/>
        <v>0</v>
      </c>
      <c r="J97" s="4">
        <f t="shared" si="22"/>
        <v>0</v>
      </c>
      <c r="K97" s="4">
        <f t="shared" si="22"/>
        <v>0</v>
      </c>
      <c r="L97" s="4">
        <f t="shared" si="22"/>
        <v>0</v>
      </c>
      <c r="M97" s="4">
        <f t="shared" si="22"/>
        <v>0</v>
      </c>
      <c r="N97" s="4">
        <f t="shared" si="22"/>
        <v>0</v>
      </c>
    </row>
    <row r="98" spans="1:14" ht="12">
      <c r="A98" s="2" t="s">
        <v>123</v>
      </c>
      <c r="C98" s="4"/>
      <c r="D98" s="4"/>
      <c r="E98" s="4"/>
      <c r="F98" s="4"/>
      <c r="G98" s="4">
        <f t="shared" si="22"/>
        <v>0</v>
      </c>
      <c r="H98" s="4">
        <f t="shared" si="22"/>
        <v>5593.749999999996</v>
      </c>
      <c r="I98" s="4">
        <f t="shared" si="22"/>
        <v>5593.749999999996</v>
      </c>
      <c r="J98" s="4">
        <f t="shared" si="22"/>
        <v>5244.318181818178</v>
      </c>
      <c r="K98" s="4">
        <f t="shared" si="22"/>
        <v>4351.010101010098</v>
      </c>
      <c r="L98" s="4">
        <f t="shared" si="22"/>
        <v>3263.257575757574</v>
      </c>
      <c r="M98" s="4">
        <f t="shared" si="22"/>
        <v>2175.505050505049</v>
      </c>
      <c r="N98" s="4">
        <f t="shared" si="22"/>
        <v>1087.7525252525247</v>
      </c>
    </row>
    <row r="99" spans="1:14" ht="12">
      <c r="A99" s="2" t="s">
        <v>121</v>
      </c>
      <c r="C99" s="4"/>
      <c r="D99" s="4"/>
      <c r="E99" s="4"/>
      <c r="F99" s="4"/>
      <c r="G99" s="4">
        <f t="shared" si="22"/>
        <v>0</v>
      </c>
      <c r="H99" s="4">
        <f t="shared" si="22"/>
        <v>0</v>
      </c>
      <c r="I99" s="4">
        <f t="shared" si="22"/>
        <v>4090.909090909091</v>
      </c>
      <c r="J99" s="4">
        <f t="shared" si="22"/>
        <v>10404.040404040405</v>
      </c>
      <c r="K99" s="4">
        <f t="shared" si="22"/>
        <v>12626.262626262625</v>
      </c>
      <c r="L99" s="4">
        <f t="shared" si="22"/>
        <v>12626.262626262625</v>
      </c>
      <c r="M99" s="4">
        <f t="shared" si="22"/>
        <v>12626.262626262625</v>
      </c>
      <c r="N99" s="4">
        <f t="shared" si="22"/>
        <v>12626.262626262625</v>
      </c>
    </row>
    <row r="100" spans="1:14" ht="12">
      <c r="A100" s="2" t="s">
        <v>122</v>
      </c>
      <c r="B100" s="7" t="s">
        <v>128</v>
      </c>
      <c r="C100" s="4"/>
      <c r="D100" s="4"/>
      <c r="E100" s="4"/>
      <c r="F100" s="4"/>
      <c r="G100" s="4">
        <f t="shared" si="22"/>
        <v>65000</v>
      </c>
      <c r="H100" s="4">
        <f t="shared" si="22"/>
        <v>65000</v>
      </c>
      <c r="I100" s="4">
        <f t="shared" si="22"/>
        <v>60909.09090909091</v>
      </c>
      <c r="J100" s="4">
        <f t="shared" si="22"/>
        <v>50505.0505050505</v>
      </c>
      <c r="K100" s="4">
        <f t="shared" si="22"/>
        <v>37878.78787878788</v>
      </c>
      <c r="L100" s="4">
        <f t="shared" si="22"/>
        <v>25252.525252525254</v>
      </c>
      <c r="M100" s="4">
        <f t="shared" si="22"/>
        <v>12626.262626262629</v>
      </c>
      <c r="N100" s="4">
        <f t="shared" si="22"/>
        <v>0</v>
      </c>
    </row>
    <row r="101" spans="1:14" ht="12">
      <c r="A101" s="1" t="s">
        <v>127</v>
      </c>
      <c r="B101" s="22">
        <f>IRR(G101:N101)</f>
        <v>0.08609741626128253</v>
      </c>
      <c r="C101" s="4"/>
      <c r="D101" s="4"/>
      <c r="E101" s="4"/>
      <c r="F101" s="4"/>
      <c r="G101" s="4">
        <f>G97-G98-G99</f>
        <v>65000</v>
      </c>
      <c r="H101" s="4">
        <f aca="true" t="shared" si="23" ref="H101:N101">H97-H98-H99</f>
        <v>-5593.749999999996</v>
      </c>
      <c r="I101" s="4">
        <f t="shared" si="23"/>
        <v>-9684.659090909088</v>
      </c>
      <c r="J101" s="4">
        <f t="shared" si="23"/>
        <v>-15648.358585858583</v>
      </c>
      <c r="K101" s="4">
        <f t="shared" si="23"/>
        <v>-16977.272727272724</v>
      </c>
      <c r="L101" s="4">
        <f t="shared" si="23"/>
        <v>-15889.5202020202</v>
      </c>
      <c r="M101" s="4">
        <f t="shared" si="23"/>
        <v>-14801.767676767675</v>
      </c>
      <c r="N101" s="4">
        <f t="shared" si="23"/>
        <v>-13714.01515151515</v>
      </c>
    </row>
    <row r="102" spans="3:14" ht="1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22" ht="12">
      <c r="A103" s="1" t="s">
        <v>12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">
      <c r="A104" s="7" t="s">
        <v>100</v>
      </c>
      <c r="F104" s="2">
        <f aca="true" t="shared" si="24" ref="F104:V104">F30*$B$37</f>
        <v>64</v>
      </c>
      <c r="G104" s="2">
        <f t="shared" si="24"/>
        <v>400</v>
      </c>
      <c r="H104" s="2">
        <f t="shared" si="24"/>
        <v>750</v>
      </c>
      <c r="I104" s="2">
        <f t="shared" si="24"/>
        <v>850</v>
      </c>
      <c r="J104" s="2">
        <f t="shared" si="24"/>
        <v>900</v>
      </c>
      <c r="K104" s="2">
        <f t="shared" si="24"/>
        <v>900</v>
      </c>
      <c r="L104" s="2">
        <f t="shared" si="24"/>
        <v>900</v>
      </c>
      <c r="M104" s="2">
        <f t="shared" si="24"/>
        <v>900</v>
      </c>
      <c r="N104" s="2">
        <f t="shared" si="24"/>
        <v>900</v>
      </c>
      <c r="O104" s="2">
        <f t="shared" si="24"/>
        <v>900</v>
      </c>
      <c r="P104" s="2">
        <f t="shared" si="24"/>
        <v>900</v>
      </c>
      <c r="Q104" s="2">
        <f t="shared" si="24"/>
        <v>900</v>
      </c>
      <c r="R104" s="2">
        <f t="shared" si="24"/>
        <v>900</v>
      </c>
      <c r="S104" s="2">
        <f t="shared" si="24"/>
        <v>900</v>
      </c>
      <c r="T104" s="2">
        <f t="shared" si="24"/>
        <v>900</v>
      </c>
      <c r="U104" s="2">
        <f t="shared" si="24"/>
        <v>900</v>
      </c>
      <c r="V104" s="2">
        <f t="shared" si="24"/>
        <v>900</v>
      </c>
    </row>
    <row r="105" spans="1:22" ht="12">
      <c r="A105" s="7" t="s">
        <v>254</v>
      </c>
      <c r="F105" s="9">
        <f>F104*$B$38</f>
        <v>6.592</v>
      </c>
      <c r="G105" s="9">
        <f aca="true" t="shared" si="25" ref="G105:V105">G104*$B$38</f>
        <v>41.199999999999996</v>
      </c>
      <c r="H105" s="9">
        <f t="shared" si="25"/>
        <v>77.25</v>
      </c>
      <c r="I105" s="9">
        <f t="shared" si="25"/>
        <v>87.55</v>
      </c>
      <c r="J105" s="9">
        <f t="shared" si="25"/>
        <v>92.69999999999999</v>
      </c>
      <c r="K105" s="9">
        <f t="shared" si="25"/>
        <v>92.69999999999999</v>
      </c>
      <c r="L105" s="9">
        <f t="shared" si="25"/>
        <v>92.69999999999999</v>
      </c>
      <c r="M105" s="9">
        <f t="shared" si="25"/>
        <v>92.69999999999999</v>
      </c>
      <c r="N105" s="9">
        <f t="shared" si="25"/>
        <v>92.69999999999999</v>
      </c>
      <c r="O105" s="9">
        <f t="shared" si="25"/>
        <v>92.69999999999999</v>
      </c>
      <c r="P105" s="9">
        <f t="shared" si="25"/>
        <v>92.69999999999999</v>
      </c>
      <c r="Q105" s="9">
        <f t="shared" si="25"/>
        <v>92.69999999999999</v>
      </c>
      <c r="R105" s="9">
        <f t="shared" si="25"/>
        <v>92.69999999999999</v>
      </c>
      <c r="S105" s="9">
        <f t="shared" si="25"/>
        <v>92.69999999999999</v>
      </c>
      <c r="T105" s="9">
        <f t="shared" si="25"/>
        <v>92.69999999999999</v>
      </c>
      <c r="U105" s="9">
        <f t="shared" si="25"/>
        <v>92.69999999999999</v>
      </c>
      <c r="V105" s="9">
        <f t="shared" si="25"/>
        <v>92.69999999999999</v>
      </c>
    </row>
    <row r="106" spans="1:22" ht="12">
      <c r="A106" s="7" t="s">
        <v>7</v>
      </c>
      <c r="F106" s="9">
        <f aca="true" t="shared" si="26" ref="F106:V106">F8*(1+F51)</f>
        <v>390.0234536082474</v>
      </c>
      <c r="G106" s="9">
        <f t="shared" si="26"/>
        <v>408.5065721649484</v>
      </c>
      <c r="H106" s="9">
        <f t="shared" si="26"/>
        <v>430.133120625</v>
      </c>
      <c r="I106" s="9">
        <f t="shared" si="26"/>
        <v>452.56456286559376</v>
      </c>
      <c r="J106" s="9">
        <f t="shared" si="26"/>
        <v>476.16580481903435</v>
      </c>
      <c r="K106" s="9">
        <f t="shared" si="26"/>
        <v>500.997851540347</v>
      </c>
      <c r="L106" s="9">
        <f t="shared" si="26"/>
        <v>527.1237734721159</v>
      </c>
      <c r="M106" s="9">
        <f t="shared" si="26"/>
        <v>542.2635637886598</v>
      </c>
      <c r="N106" s="9">
        <f t="shared" si="26"/>
        <v>553.8137776973583</v>
      </c>
      <c r="O106" s="9">
        <f t="shared" si="26"/>
        <v>565.610011162312</v>
      </c>
      <c r="P106" s="9">
        <f t="shared" si="26"/>
        <v>577.6575044000693</v>
      </c>
      <c r="Q106" s="9">
        <f t="shared" si="26"/>
        <v>589.9522187732614</v>
      </c>
      <c r="R106" s="9">
        <f t="shared" si="26"/>
        <v>597.0442654639176</v>
      </c>
      <c r="S106" s="9">
        <f t="shared" si="26"/>
        <v>602.4176638530927</v>
      </c>
      <c r="T106" s="9">
        <f t="shared" si="26"/>
        <v>607.8394228277705</v>
      </c>
      <c r="U106" s="9">
        <f t="shared" si="26"/>
        <v>613.3099776332203</v>
      </c>
      <c r="V106" s="9">
        <f t="shared" si="26"/>
        <v>618.8297674319193</v>
      </c>
    </row>
    <row r="107" spans="1:22" ht="12">
      <c r="A107" s="2" t="s">
        <v>256</v>
      </c>
      <c r="F107" s="126">
        <f>F105*F106*(1+$B$59)</f>
        <v>2828.1380668041234</v>
      </c>
      <c r="G107" s="126">
        <f aca="true" t="shared" si="27" ref="G107:V107">G104*G106*(1+$B$59)*$B$38</f>
        <v>18513.51785051546</v>
      </c>
      <c r="H107" s="126">
        <f t="shared" si="27"/>
        <v>36550.561925109374</v>
      </c>
      <c r="I107" s="126">
        <f t="shared" si="27"/>
        <v>43584.230226771004</v>
      </c>
      <c r="J107" s="126">
        <f t="shared" si="27"/>
        <v>48554.62711739693</v>
      </c>
      <c r="K107" s="126">
        <f t="shared" si="27"/>
        <v>51086.75092156918</v>
      </c>
      <c r="L107" s="126">
        <f t="shared" si="27"/>
        <v>53750.811180951656</v>
      </c>
      <c r="M107" s="126">
        <f t="shared" si="27"/>
        <v>55294.61559952964</v>
      </c>
      <c r="N107" s="126">
        <f t="shared" si="27"/>
        <v>56472.39091179962</v>
      </c>
      <c r="O107" s="126">
        <f t="shared" si="27"/>
        <v>57675.25283822096</v>
      </c>
      <c r="P107" s="126">
        <f t="shared" si="27"/>
        <v>58903.735723675076</v>
      </c>
      <c r="Q107" s="126">
        <f t="shared" si="27"/>
        <v>60157.42774830947</v>
      </c>
      <c r="R107" s="126">
        <f t="shared" si="27"/>
        <v>60880.60374935568</v>
      </c>
      <c r="S107" s="126">
        <f t="shared" si="27"/>
        <v>61428.52918309986</v>
      </c>
      <c r="T107" s="126">
        <f t="shared" si="27"/>
        <v>61981.38594574776</v>
      </c>
      <c r="U107" s="126">
        <f t="shared" si="27"/>
        <v>62539.21841925949</v>
      </c>
      <c r="V107" s="126">
        <f t="shared" si="27"/>
        <v>63102.07138503282</v>
      </c>
    </row>
    <row r="108" spans="1:22" ht="12">
      <c r="A108" s="12" t="s">
        <v>17</v>
      </c>
      <c r="F108" s="126">
        <f>-F107*$B$59/(1+$B$59)</f>
        <v>-257.10346061855665</v>
      </c>
      <c r="G108" s="126">
        <f aca="true" t="shared" si="28" ref="G108:V108">-G107*$B$59/(1+$B$59)</f>
        <v>-1683.0470773195875</v>
      </c>
      <c r="H108" s="126">
        <f t="shared" si="28"/>
        <v>-3322.778356828125</v>
      </c>
      <c r="I108" s="126">
        <f t="shared" si="28"/>
        <v>-3962.202747888273</v>
      </c>
      <c r="J108" s="126">
        <f t="shared" si="28"/>
        <v>-4414.057010672448</v>
      </c>
      <c r="K108" s="126">
        <f t="shared" si="28"/>
        <v>-4644.250083779016</v>
      </c>
      <c r="L108" s="126">
        <f t="shared" si="28"/>
        <v>-4886.437380086514</v>
      </c>
      <c r="M108" s="126">
        <f t="shared" si="28"/>
        <v>-5026.783236320876</v>
      </c>
      <c r="N108" s="126">
        <f t="shared" si="28"/>
        <v>-5133.853719254512</v>
      </c>
      <c r="O108" s="126">
        <f t="shared" si="28"/>
        <v>-5243.204803474632</v>
      </c>
      <c r="P108" s="126">
        <f t="shared" si="28"/>
        <v>-5354.885065788643</v>
      </c>
      <c r="Q108" s="126">
        <f t="shared" si="28"/>
        <v>-5468.857068028134</v>
      </c>
      <c r="R108" s="126">
        <f t="shared" si="28"/>
        <v>-5534.600340850517</v>
      </c>
      <c r="S108" s="126">
        <f t="shared" si="28"/>
        <v>-5584.411743918169</v>
      </c>
      <c r="T108" s="126">
        <f t="shared" si="28"/>
        <v>-5634.671449613433</v>
      </c>
      <c r="U108" s="126">
        <f t="shared" si="28"/>
        <v>-5685.383492659953</v>
      </c>
      <c r="V108" s="126">
        <f t="shared" si="28"/>
        <v>-5736.551944093892</v>
      </c>
    </row>
    <row r="109" spans="1:22" ht="12">
      <c r="A109" s="2" t="s">
        <v>255</v>
      </c>
      <c r="F109" s="4">
        <f>F108+F107</f>
        <v>2571.0346061855666</v>
      </c>
      <c r="G109" s="4">
        <f>G108+G107</f>
        <v>16830.470773195873</v>
      </c>
      <c r="H109" s="4">
        <f aca="true" t="shared" si="29" ref="H109:V109">H108+H107</f>
        <v>33227.78356828125</v>
      </c>
      <c r="I109" s="4">
        <f t="shared" si="29"/>
        <v>39622.02747888273</v>
      </c>
      <c r="J109" s="4">
        <f t="shared" si="29"/>
        <v>44140.57010672448</v>
      </c>
      <c r="K109" s="4">
        <f t="shared" si="29"/>
        <v>46442.50083779017</v>
      </c>
      <c r="L109" s="4">
        <f t="shared" si="29"/>
        <v>48864.37380086514</v>
      </c>
      <c r="M109" s="4">
        <f t="shared" si="29"/>
        <v>50267.83236320877</v>
      </c>
      <c r="N109" s="4">
        <f t="shared" si="29"/>
        <v>51338.53719254511</v>
      </c>
      <c r="O109" s="4">
        <f t="shared" si="29"/>
        <v>52432.04803474632</v>
      </c>
      <c r="P109" s="4">
        <f t="shared" si="29"/>
        <v>53548.85065788643</v>
      </c>
      <c r="Q109" s="4">
        <f t="shared" si="29"/>
        <v>54688.57068028134</v>
      </c>
      <c r="R109" s="4">
        <f t="shared" si="29"/>
        <v>55346.00340850516</v>
      </c>
      <c r="S109" s="4">
        <f t="shared" si="29"/>
        <v>55844.11743918169</v>
      </c>
      <c r="T109" s="4">
        <f t="shared" si="29"/>
        <v>56346.71449613433</v>
      </c>
      <c r="U109" s="4">
        <f t="shared" si="29"/>
        <v>56853.834926599535</v>
      </c>
      <c r="V109" s="4">
        <f t="shared" si="29"/>
        <v>57365.51944093892</v>
      </c>
    </row>
    <row r="111" ht="12">
      <c r="A111" s="1" t="s">
        <v>14</v>
      </c>
    </row>
    <row r="112" spans="1:22" ht="12">
      <c r="A112" s="2" t="s">
        <v>298</v>
      </c>
      <c r="C112" s="10"/>
      <c r="D112" s="10"/>
      <c r="E112" s="10"/>
      <c r="F112" s="10">
        <f aca="true" t="shared" si="30" ref="F112:V112">$E$39/$E$6*F70</f>
        <v>13.733333333333334</v>
      </c>
      <c r="G112" s="10">
        <f t="shared" si="30"/>
        <v>14.145333333333333</v>
      </c>
      <c r="H112" s="10">
        <f t="shared" si="30"/>
        <v>14.569693333333333</v>
      </c>
      <c r="I112" s="10">
        <f t="shared" si="30"/>
        <v>15.006784133333335</v>
      </c>
      <c r="J112" s="10">
        <f t="shared" si="30"/>
        <v>15.456987657333334</v>
      </c>
      <c r="K112" s="10">
        <f t="shared" si="30"/>
        <v>15.920697287053336</v>
      </c>
      <c r="L112" s="10">
        <f t="shared" si="30"/>
        <v>16.398318205664935</v>
      </c>
      <c r="M112" s="10">
        <f t="shared" si="30"/>
        <v>16.890267751834887</v>
      </c>
      <c r="N112" s="10">
        <f t="shared" si="30"/>
        <v>17.396975784389934</v>
      </c>
      <c r="O112" s="10">
        <f t="shared" si="30"/>
        <v>17.91888505792163</v>
      </c>
      <c r="P112" s="10">
        <f t="shared" si="30"/>
        <v>18.45645160965928</v>
      </c>
      <c r="Q112" s="10">
        <f t="shared" si="30"/>
        <v>19.010145157949058</v>
      </c>
      <c r="R112" s="10">
        <f t="shared" si="30"/>
        <v>19.580449512687533</v>
      </c>
      <c r="S112" s="10">
        <f t="shared" si="30"/>
        <v>20.16786299806816</v>
      </c>
      <c r="T112" s="10">
        <f t="shared" si="30"/>
        <v>20.772898888010204</v>
      </c>
      <c r="U112" s="10">
        <f t="shared" si="30"/>
        <v>21.39608585465051</v>
      </c>
      <c r="V112" s="10">
        <f t="shared" si="30"/>
        <v>22.03796843029003</v>
      </c>
    </row>
    <row r="113" spans="1:22" ht="12">
      <c r="A113" s="2" t="s">
        <v>257</v>
      </c>
      <c r="C113" s="10"/>
      <c r="D113" s="10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">
      <c r="A114" s="12" t="s">
        <v>15</v>
      </c>
      <c r="F114" s="126">
        <f>F112*F104</f>
        <v>878.9333333333334</v>
      </c>
      <c r="G114" s="126">
        <f aca="true" t="shared" si="31" ref="G114:V114">G112*G104</f>
        <v>5658.133333333333</v>
      </c>
      <c r="H114" s="126">
        <f t="shared" si="31"/>
        <v>10927.27</v>
      </c>
      <c r="I114" s="126">
        <f t="shared" si="31"/>
        <v>12755.766513333336</v>
      </c>
      <c r="J114" s="126">
        <f t="shared" si="31"/>
        <v>13911.288891600001</v>
      </c>
      <c r="K114" s="126">
        <f t="shared" si="31"/>
        <v>14328.627558348002</v>
      </c>
      <c r="L114" s="126">
        <f t="shared" si="31"/>
        <v>14758.486385098442</v>
      </c>
      <c r="M114" s="126">
        <f t="shared" si="31"/>
        <v>15201.2409766514</v>
      </c>
      <c r="N114" s="126">
        <f t="shared" si="31"/>
        <v>15657.27820595094</v>
      </c>
      <c r="O114" s="126">
        <f t="shared" si="31"/>
        <v>16126.996552129469</v>
      </c>
      <c r="P114" s="126">
        <f t="shared" si="31"/>
        <v>16610.80644869335</v>
      </c>
      <c r="Q114" s="126">
        <f t="shared" si="31"/>
        <v>17109.130642154152</v>
      </c>
      <c r="R114" s="126">
        <f t="shared" si="31"/>
        <v>17622.404561418778</v>
      </c>
      <c r="S114" s="126">
        <f t="shared" si="31"/>
        <v>18151.076698261342</v>
      </c>
      <c r="T114" s="126">
        <f t="shared" si="31"/>
        <v>18695.608999209184</v>
      </c>
      <c r="U114" s="126">
        <f t="shared" si="31"/>
        <v>19256.47726918546</v>
      </c>
      <c r="V114" s="126">
        <f t="shared" si="31"/>
        <v>19834.171587261026</v>
      </c>
    </row>
    <row r="115" spans="1:22" ht="12">
      <c r="A115" s="71" t="s">
        <v>92</v>
      </c>
      <c r="F115" s="126">
        <f aca="true" t="shared" si="32" ref="F115:V115">F$114*$B$40</f>
        <v>791.0400000000001</v>
      </c>
      <c r="G115" s="126">
        <f t="shared" si="32"/>
        <v>5092.32</v>
      </c>
      <c r="H115" s="126">
        <f t="shared" si="32"/>
        <v>9834.543000000001</v>
      </c>
      <c r="I115" s="126">
        <f t="shared" si="32"/>
        <v>11480.189862000003</v>
      </c>
      <c r="J115" s="126">
        <f t="shared" si="32"/>
        <v>12520.160002440001</v>
      </c>
      <c r="K115" s="126">
        <f t="shared" si="32"/>
        <v>12895.764802513202</v>
      </c>
      <c r="L115" s="126">
        <f t="shared" si="32"/>
        <v>13282.637746588598</v>
      </c>
      <c r="M115" s="126">
        <f t="shared" si="32"/>
        <v>13681.11687898626</v>
      </c>
      <c r="N115" s="126">
        <f t="shared" si="32"/>
        <v>14091.550385355848</v>
      </c>
      <c r="O115" s="126">
        <f t="shared" si="32"/>
        <v>14514.296896916523</v>
      </c>
      <c r="P115" s="126">
        <f t="shared" si="32"/>
        <v>14949.725803824016</v>
      </c>
      <c r="Q115" s="126">
        <f t="shared" si="32"/>
        <v>15398.217577938738</v>
      </c>
      <c r="R115" s="126">
        <f t="shared" si="32"/>
        <v>15860.164105276901</v>
      </c>
      <c r="S115" s="126">
        <f t="shared" si="32"/>
        <v>16335.96902843521</v>
      </c>
      <c r="T115" s="126">
        <f t="shared" si="32"/>
        <v>16826.048099288266</v>
      </c>
      <c r="U115" s="126">
        <f t="shared" si="32"/>
        <v>17330.829542266914</v>
      </c>
      <c r="V115" s="126">
        <f t="shared" si="32"/>
        <v>17850.754428534925</v>
      </c>
    </row>
    <row r="116" spans="1:22" ht="12">
      <c r="A116" s="71" t="s">
        <v>93</v>
      </c>
      <c r="F116" s="126">
        <f aca="true" t="shared" si="33" ref="F116:V116">F$114*(1-$B$40)</f>
        <v>87.89333333333332</v>
      </c>
      <c r="G116" s="126">
        <f t="shared" si="33"/>
        <v>565.8133333333332</v>
      </c>
      <c r="H116" s="126">
        <f t="shared" si="33"/>
        <v>1092.7269999999999</v>
      </c>
      <c r="I116" s="126">
        <f t="shared" si="33"/>
        <v>1275.5766513333333</v>
      </c>
      <c r="J116" s="126">
        <f t="shared" si="33"/>
        <v>1391.1288891599997</v>
      </c>
      <c r="K116" s="126">
        <f t="shared" si="33"/>
        <v>1432.8627558347998</v>
      </c>
      <c r="L116" s="126">
        <f t="shared" si="33"/>
        <v>1475.8486385098438</v>
      </c>
      <c r="M116" s="126">
        <f t="shared" si="33"/>
        <v>1520.1240976651395</v>
      </c>
      <c r="N116" s="126">
        <f t="shared" si="33"/>
        <v>1565.7278205950938</v>
      </c>
      <c r="O116" s="126">
        <f t="shared" si="33"/>
        <v>1612.6996552129465</v>
      </c>
      <c r="P116" s="126">
        <f t="shared" si="33"/>
        <v>1661.0806448693347</v>
      </c>
      <c r="Q116" s="126">
        <f t="shared" si="33"/>
        <v>1710.9130642154148</v>
      </c>
      <c r="R116" s="126">
        <f t="shared" si="33"/>
        <v>1762.2404561418773</v>
      </c>
      <c r="S116" s="126">
        <f t="shared" si="33"/>
        <v>1815.1076698261338</v>
      </c>
      <c r="T116" s="126">
        <f t="shared" si="33"/>
        <v>1869.560899920918</v>
      </c>
      <c r="U116" s="126">
        <f t="shared" si="33"/>
        <v>1925.6477269185455</v>
      </c>
      <c r="V116" s="126">
        <f t="shared" si="33"/>
        <v>1983.4171587261021</v>
      </c>
    </row>
    <row r="117" spans="1:22" ht="12">
      <c r="A117" s="12" t="s">
        <v>94</v>
      </c>
      <c r="F117" s="4">
        <f>F118+F119</f>
        <v>966.9</v>
      </c>
      <c r="G117" s="4">
        <f aca="true" t="shared" si="34" ref="G117:V117">G118+G119</f>
        <v>939</v>
      </c>
      <c r="H117" s="4">
        <f t="shared" si="34"/>
        <v>911.1</v>
      </c>
      <c r="I117" s="4">
        <f t="shared" si="34"/>
        <v>945</v>
      </c>
      <c r="J117" s="4">
        <f t="shared" si="34"/>
        <v>930</v>
      </c>
      <c r="K117" s="4">
        <f t="shared" si="34"/>
        <v>957.9</v>
      </c>
      <c r="L117" s="4">
        <f t="shared" si="34"/>
        <v>986.637</v>
      </c>
      <c r="M117" s="4">
        <f t="shared" si="34"/>
        <v>1016.23611</v>
      </c>
      <c r="N117" s="4">
        <f t="shared" si="34"/>
        <v>1046.7231933</v>
      </c>
      <c r="O117" s="4">
        <f t="shared" si="34"/>
        <v>1078.124889099</v>
      </c>
      <c r="P117" s="4">
        <f t="shared" si="34"/>
        <v>1110.4686357719702</v>
      </c>
      <c r="Q117" s="4">
        <f t="shared" si="34"/>
        <v>1143.7826948451293</v>
      </c>
      <c r="R117" s="4">
        <f t="shared" si="34"/>
        <v>1178.096175690483</v>
      </c>
      <c r="S117" s="4">
        <f t="shared" si="34"/>
        <v>1213.4390609611976</v>
      </c>
      <c r="T117" s="4">
        <f t="shared" si="34"/>
        <v>1249.8422327900334</v>
      </c>
      <c r="U117" s="4">
        <f t="shared" si="34"/>
        <v>1287.3374997737346</v>
      </c>
      <c r="V117" s="4">
        <f t="shared" si="34"/>
        <v>1325.9576247669468</v>
      </c>
    </row>
    <row r="118" spans="1:22" ht="12">
      <c r="A118" s="71" t="s">
        <v>97</v>
      </c>
      <c r="F118" s="4">
        <f aca="true" t="shared" si="35" ref="F118:J119">F41</f>
        <v>503</v>
      </c>
      <c r="G118" s="4">
        <f t="shared" si="35"/>
        <v>489</v>
      </c>
      <c r="H118" s="4">
        <f t="shared" si="35"/>
        <v>475</v>
      </c>
      <c r="I118" s="4">
        <f t="shared" si="35"/>
        <v>545</v>
      </c>
      <c r="J118" s="4">
        <f t="shared" si="35"/>
        <v>580</v>
      </c>
      <c r="K118" s="4">
        <f aca="true" t="shared" si="36" ref="K118:V118">J118*(1+$B$5)*K$104/J$104</f>
        <v>597.4</v>
      </c>
      <c r="L118" s="4">
        <f t="shared" si="36"/>
        <v>615.322</v>
      </c>
      <c r="M118" s="4">
        <f t="shared" si="36"/>
        <v>633.78166</v>
      </c>
      <c r="N118" s="4">
        <f t="shared" si="36"/>
        <v>652.7951098</v>
      </c>
      <c r="O118" s="4">
        <f t="shared" si="36"/>
        <v>672.378963094</v>
      </c>
      <c r="P118" s="4">
        <f t="shared" si="36"/>
        <v>692.5503319868201</v>
      </c>
      <c r="Q118" s="4">
        <f t="shared" si="36"/>
        <v>713.3268419464247</v>
      </c>
      <c r="R118" s="4">
        <f t="shared" si="36"/>
        <v>734.7266472048175</v>
      </c>
      <c r="S118" s="4">
        <f t="shared" si="36"/>
        <v>756.768446620962</v>
      </c>
      <c r="T118" s="4">
        <f t="shared" si="36"/>
        <v>779.4715000195908</v>
      </c>
      <c r="U118" s="4">
        <f t="shared" si="36"/>
        <v>802.8556450201786</v>
      </c>
      <c r="V118" s="4">
        <f t="shared" si="36"/>
        <v>826.9413143707841</v>
      </c>
    </row>
    <row r="119" spans="1:22" ht="12">
      <c r="A119" s="71" t="s">
        <v>98</v>
      </c>
      <c r="F119" s="4">
        <f t="shared" si="35"/>
        <v>463.9</v>
      </c>
      <c r="G119" s="4">
        <f t="shared" si="35"/>
        <v>450</v>
      </c>
      <c r="H119" s="4">
        <f t="shared" si="35"/>
        <v>436.1</v>
      </c>
      <c r="I119" s="4">
        <f t="shared" si="35"/>
        <v>400</v>
      </c>
      <c r="J119" s="4">
        <f t="shared" si="35"/>
        <v>350</v>
      </c>
      <c r="K119" s="4">
        <f aca="true" t="shared" si="37" ref="K119:V119">J119*(1+$B$5)*K$104/J$104</f>
        <v>360.5</v>
      </c>
      <c r="L119" s="4">
        <f t="shared" si="37"/>
        <v>371.315</v>
      </c>
      <c r="M119" s="4">
        <f t="shared" si="37"/>
        <v>382.45445</v>
      </c>
      <c r="N119" s="4">
        <f t="shared" si="37"/>
        <v>393.9280835</v>
      </c>
      <c r="O119" s="4">
        <f t="shared" si="37"/>
        <v>405.745926005</v>
      </c>
      <c r="P119" s="4">
        <f t="shared" si="37"/>
        <v>417.91830378515</v>
      </c>
      <c r="Q119" s="4">
        <f t="shared" si="37"/>
        <v>430.4558528987045</v>
      </c>
      <c r="R119" s="4">
        <f t="shared" si="37"/>
        <v>443.3695284856656</v>
      </c>
      <c r="S119" s="4">
        <f t="shared" si="37"/>
        <v>456.6706143402356</v>
      </c>
      <c r="T119" s="4">
        <f t="shared" si="37"/>
        <v>470.37073277044266</v>
      </c>
      <c r="U119" s="4">
        <f t="shared" si="37"/>
        <v>484.4818547535559</v>
      </c>
      <c r="V119" s="4">
        <f t="shared" si="37"/>
        <v>499.0163103961626</v>
      </c>
    </row>
    <row r="120" spans="1:22" ht="12">
      <c r="A120" s="12" t="s">
        <v>99</v>
      </c>
      <c r="F120" s="4">
        <f aca="true" t="shared" si="38" ref="F120:V120">$B$43*F104*F70*1000</f>
        <v>131.84</v>
      </c>
      <c r="G120" s="4">
        <f t="shared" si="38"/>
        <v>848.72</v>
      </c>
      <c r="H120" s="4">
        <f t="shared" si="38"/>
        <v>1639.0905</v>
      </c>
      <c r="I120" s="4">
        <f t="shared" si="38"/>
        <v>1913.3649770000002</v>
      </c>
      <c r="J120" s="4">
        <f t="shared" si="38"/>
        <v>2086.69333374</v>
      </c>
      <c r="K120" s="4">
        <f t="shared" si="38"/>
        <v>2149.2941337522</v>
      </c>
      <c r="L120" s="4">
        <f t="shared" si="38"/>
        <v>2213.772957764766</v>
      </c>
      <c r="M120" s="4">
        <f t="shared" si="38"/>
        <v>2280.1861464977096</v>
      </c>
      <c r="N120" s="4">
        <f t="shared" si="38"/>
        <v>2348.591730892641</v>
      </c>
      <c r="O120" s="4">
        <f t="shared" si="38"/>
        <v>2419.04948281942</v>
      </c>
      <c r="P120" s="4">
        <f t="shared" si="38"/>
        <v>2491.620967304003</v>
      </c>
      <c r="Q120" s="4">
        <f t="shared" si="38"/>
        <v>2566.369596323123</v>
      </c>
      <c r="R120" s="4">
        <f t="shared" si="38"/>
        <v>2643.3606842128165</v>
      </c>
      <c r="S120" s="4">
        <f t="shared" si="38"/>
        <v>2722.6615047392015</v>
      </c>
      <c r="T120" s="4">
        <f t="shared" si="38"/>
        <v>2804.3413498813775</v>
      </c>
      <c r="U120" s="4">
        <f t="shared" si="38"/>
        <v>2888.471590377819</v>
      </c>
      <c r="V120" s="4">
        <f t="shared" si="38"/>
        <v>2975.1257380891534</v>
      </c>
    </row>
    <row r="121" spans="1:22" ht="12">
      <c r="A121" s="7" t="s">
        <v>102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">
      <c r="A122" s="12" t="s">
        <v>103</v>
      </c>
      <c r="F122" s="4">
        <f aca="true" t="shared" si="39" ref="F122:J125">F44</f>
        <v>466</v>
      </c>
      <c r="G122" s="4">
        <f t="shared" si="39"/>
        <v>565</v>
      </c>
      <c r="H122" s="4">
        <f t="shared" si="39"/>
        <v>680</v>
      </c>
      <c r="I122" s="4">
        <f t="shared" si="39"/>
        <v>785</v>
      </c>
      <c r="J122" s="4">
        <f t="shared" si="39"/>
        <v>890</v>
      </c>
      <c r="K122" s="4">
        <f>J122*(1+$B$5)</f>
        <v>916.7</v>
      </c>
      <c r="L122" s="4">
        <f aca="true" t="shared" si="40" ref="L122:V125">K122*(1+$B$5)</f>
        <v>944.201</v>
      </c>
      <c r="M122" s="4">
        <f t="shared" si="40"/>
        <v>972.5270300000001</v>
      </c>
      <c r="N122" s="4">
        <f t="shared" si="40"/>
        <v>1001.7028409000001</v>
      </c>
      <c r="O122" s="4">
        <f t="shared" si="40"/>
        <v>1031.753926127</v>
      </c>
      <c r="P122" s="4">
        <f t="shared" si="40"/>
        <v>1062.70654391081</v>
      </c>
      <c r="Q122" s="4">
        <f t="shared" si="40"/>
        <v>1094.5877402281344</v>
      </c>
      <c r="R122" s="4">
        <f t="shared" si="40"/>
        <v>1127.4253724349785</v>
      </c>
      <c r="S122" s="4">
        <f t="shared" si="40"/>
        <v>1161.248133608028</v>
      </c>
      <c r="T122" s="4">
        <f t="shared" si="40"/>
        <v>1196.085577616269</v>
      </c>
      <c r="U122" s="4">
        <f t="shared" si="40"/>
        <v>1231.968144944757</v>
      </c>
      <c r="V122" s="4">
        <f t="shared" si="40"/>
        <v>1268.9271892930997</v>
      </c>
    </row>
    <row r="123" spans="1:22" ht="12">
      <c r="A123" s="12" t="s">
        <v>104</v>
      </c>
      <c r="F123" s="4">
        <f t="shared" si="39"/>
        <v>586</v>
      </c>
      <c r="G123" s="4">
        <f t="shared" si="39"/>
        <v>600</v>
      </c>
      <c r="H123" s="4">
        <f t="shared" si="39"/>
        <v>450</v>
      </c>
      <c r="I123" s="4">
        <f t="shared" si="39"/>
        <v>400</v>
      </c>
      <c r="J123" s="4">
        <f t="shared" si="39"/>
        <v>350</v>
      </c>
      <c r="K123" s="4">
        <f>J123*(1+$B$5)</f>
        <v>360.5</v>
      </c>
      <c r="L123" s="4">
        <f t="shared" si="40"/>
        <v>371.315</v>
      </c>
      <c r="M123" s="4">
        <f t="shared" si="40"/>
        <v>382.45445</v>
      </c>
      <c r="N123" s="4">
        <f t="shared" si="40"/>
        <v>393.9280835</v>
      </c>
      <c r="O123" s="4">
        <f t="shared" si="40"/>
        <v>405.745926005</v>
      </c>
      <c r="P123" s="4">
        <f t="shared" si="40"/>
        <v>417.91830378515</v>
      </c>
      <c r="Q123" s="4">
        <f t="shared" si="40"/>
        <v>430.4558528987045</v>
      </c>
      <c r="R123" s="4">
        <f t="shared" si="40"/>
        <v>443.3695284856656</v>
      </c>
      <c r="S123" s="4">
        <f t="shared" si="40"/>
        <v>456.6706143402356</v>
      </c>
      <c r="T123" s="4">
        <f t="shared" si="40"/>
        <v>470.37073277044266</v>
      </c>
      <c r="U123" s="4">
        <f t="shared" si="40"/>
        <v>484.4818547535559</v>
      </c>
      <c r="V123" s="4">
        <f t="shared" si="40"/>
        <v>499.0163103961626</v>
      </c>
    </row>
    <row r="124" spans="1:22" ht="12">
      <c r="A124" s="12" t="s">
        <v>105</v>
      </c>
      <c r="F124" s="4">
        <f t="shared" si="39"/>
        <v>16.6</v>
      </c>
      <c r="G124" s="4">
        <f t="shared" si="39"/>
        <v>44</v>
      </c>
      <c r="H124" s="4">
        <f t="shared" si="39"/>
        <v>57</v>
      </c>
      <c r="I124" s="4">
        <f t="shared" si="39"/>
        <v>58.71</v>
      </c>
      <c r="J124" s="4">
        <f t="shared" si="39"/>
        <v>60.4713</v>
      </c>
      <c r="K124" s="4">
        <f>J124*(1+$B$5)</f>
        <v>62.285439000000004</v>
      </c>
      <c r="L124" s="4">
        <f t="shared" si="40"/>
        <v>64.15400217000001</v>
      </c>
      <c r="M124" s="4">
        <f t="shared" si="40"/>
        <v>66.07862223510001</v>
      </c>
      <c r="N124" s="4">
        <f t="shared" si="40"/>
        <v>68.06098090215302</v>
      </c>
      <c r="O124" s="4">
        <f t="shared" si="40"/>
        <v>70.10281032921762</v>
      </c>
      <c r="P124" s="4">
        <f t="shared" si="40"/>
        <v>72.20589463909415</v>
      </c>
      <c r="Q124" s="4">
        <f t="shared" si="40"/>
        <v>74.37207147826697</v>
      </c>
      <c r="R124" s="4">
        <f t="shared" si="40"/>
        <v>76.60323362261498</v>
      </c>
      <c r="S124" s="4">
        <f t="shared" si="40"/>
        <v>78.90133063129343</v>
      </c>
      <c r="T124" s="4">
        <f t="shared" si="40"/>
        <v>81.26837055023223</v>
      </c>
      <c r="U124" s="4">
        <f t="shared" si="40"/>
        <v>83.7064216667392</v>
      </c>
      <c r="V124" s="4">
        <f t="shared" si="40"/>
        <v>86.21761431674138</v>
      </c>
    </row>
    <row r="125" spans="1:22" ht="12">
      <c r="A125" s="12" t="s">
        <v>106</v>
      </c>
      <c r="F125" s="4">
        <f t="shared" si="39"/>
        <v>4643</v>
      </c>
      <c r="G125" s="4">
        <f t="shared" si="39"/>
        <v>1900</v>
      </c>
      <c r="H125" s="4">
        <f t="shared" si="39"/>
        <v>1400</v>
      </c>
      <c r="I125" s="4">
        <f t="shared" si="39"/>
        <v>2000</v>
      </c>
      <c r="J125" s="4">
        <f t="shared" si="39"/>
        <v>2200</v>
      </c>
      <c r="K125" s="4">
        <f>J125*(1+$B$5)</f>
        <v>2266</v>
      </c>
      <c r="L125" s="4">
        <f t="shared" si="40"/>
        <v>2333.98</v>
      </c>
      <c r="M125" s="4">
        <f t="shared" si="40"/>
        <v>2403.9994</v>
      </c>
      <c r="N125" s="4">
        <f t="shared" si="40"/>
        <v>2476.1193820000003</v>
      </c>
      <c r="O125" s="4">
        <f t="shared" si="40"/>
        <v>2550.4029634600006</v>
      </c>
      <c r="P125" s="4">
        <f t="shared" si="40"/>
        <v>2626.915052363801</v>
      </c>
      <c r="Q125" s="4">
        <f t="shared" si="40"/>
        <v>2705.722503934715</v>
      </c>
      <c r="R125" s="4">
        <f t="shared" si="40"/>
        <v>2786.8941790527565</v>
      </c>
      <c r="S125" s="4">
        <f t="shared" si="40"/>
        <v>2870.501004424339</v>
      </c>
      <c r="T125" s="4">
        <f t="shared" si="40"/>
        <v>2956.6160345570693</v>
      </c>
      <c r="U125" s="4">
        <f t="shared" si="40"/>
        <v>3045.3145155937814</v>
      </c>
      <c r="V125" s="4">
        <f t="shared" si="40"/>
        <v>3136.673951061595</v>
      </c>
    </row>
    <row r="126" spans="1:22" ht="12">
      <c r="A126" s="7" t="s">
        <v>259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">
      <c r="A127" s="12" t="s">
        <v>260</v>
      </c>
      <c r="F127" s="126">
        <f aca="true" t="shared" si="41" ref="F127:V127">F120*$B60/(1+$B60)</f>
        <v>11.985454545454546</v>
      </c>
      <c r="G127" s="126">
        <f t="shared" si="41"/>
        <v>77.15636363636364</v>
      </c>
      <c r="H127" s="126">
        <f t="shared" si="41"/>
        <v>149.00822727272725</v>
      </c>
      <c r="I127" s="126">
        <f t="shared" si="41"/>
        <v>173.94227063636365</v>
      </c>
      <c r="J127" s="126">
        <f t="shared" si="41"/>
        <v>189.69939397636364</v>
      </c>
      <c r="K127" s="126">
        <f t="shared" si="41"/>
        <v>195.39037579565456</v>
      </c>
      <c r="L127" s="126">
        <f t="shared" si="41"/>
        <v>201.25208706952418</v>
      </c>
      <c r="M127" s="126">
        <f t="shared" si="41"/>
        <v>207.28964968160994</v>
      </c>
      <c r="N127" s="126">
        <f t="shared" si="41"/>
        <v>213.50833917205827</v>
      </c>
      <c r="O127" s="126">
        <f t="shared" si="41"/>
        <v>219.91358934721998</v>
      </c>
      <c r="P127" s="126">
        <f t="shared" si="41"/>
        <v>226.51099702763665</v>
      </c>
      <c r="Q127" s="126">
        <f t="shared" si="41"/>
        <v>233.30632693846573</v>
      </c>
      <c r="R127" s="126">
        <f t="shared" si="41"/>
        <v>240.30551674661967</v>
      </c>
      <c r="S127" s="126">
        <f t="shared" si="41"/>
        <v>247.5146822490183</v>
      </c>
      <c r="T127" s="126">
        <f t="shared" si="41"/>
        <v>254.94012271648887</v>
      </c>
      <c r="U127" s="126">
        <f t="shared" si="41"/>
        <v>262.58832639798356</v>
      </c>
      <c r="V127" s="126">
        <f t="shared" si="41"/>
        <v>270.465976189923</v>
      </c>
    </row>
    <row r="128" spans="1:22" ht="12">
      <c r="A128" s="12" t="s">
        <v>261</v>
      </c>
      <c r="F128" s="126">
        <f aca="true" t="shared" si="42" ref="F128:V128">F125*$B60/(1+$B60)</f>
        <v>422.09090909090907</v>
      </c>
      <c r="G128" s="126">
        <f t="shared" si="42"/>
        <v>172.72727272727272</v>
      </c>
      <c r="H128" s="126">
        <f t="shared" si="42"/>
        <v>127.27272727272727</v>
      </c>
      <c r="I128" s="126">
        <f t="shared" si="42"/>
        <v>181.8181818181818</v>
      </c>
      <c r="J128" s="126">
        <f t="shared" si="42"/>
        <v>199.99999999999997</v>
      </c>
      <c r="K128" s="126">
        <f t="shared" si="42"/>
        <v>206</v>
      </c>
      <c r="L128" s="126">
        <f t="shared" si="42"/>
        <v>212.18</v>
      </c>
      <c r="M128" s="126">
        <f t="shared" si="42"/>
        <v>218.5454</v>
      </c>
      <c r="N128" s="126">
        <f t="shared" si="42"/>
        <v>225.10176200000004</v>
      </c>
      <c r="O128" s="126">
        <f t="shared" si="42"/>
        <v>231.85481486000006</v>
      </c>
      <c r="P128" s="126">
        <f t="shared" si="42"/>
        <v>238.8104593058001</v>
      </c>
      <c r="Q128" s="126">
        <f t="shared" si="42"/>
        <v>245.9747730849741</v>
      </c>
      <c r="R128" s="126">
        <f t="shared" si="42"/>
        <v>253.3540162775233</v>
      </c>
      <c r="S128" s="126">
        <f t="shared" si="42"/>
        <v>260.954636765849</v>
      </c>
      <c r="T128" s="126">
        <f t="shared" si="42"/>
        <v>268.7832758688245</v>
      </c>
      <c r="U128" s="126">
        <f t="shared" si="42"/>
        <v>276.8467741448892</v>
      </c>
      <c r="V128" s="126">
        <f t="shared" si="42"/>
        <v>285.1521773692359</v>
      </c>
    </row>
    <row r="129" spans="1:22" ht="12">
      <c r="A129" s="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">
      <c r="A130" s="36" t="s">
        <v>131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">
      <c r="A131" s="36"/>
      <c r="B131" s="2" t="s">
        <v>133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">
      <c r="A132" s="42">
        <v>2000</v>
      </c>
      <c r="B132" s="4">
        <f>SUM(C74:F74)</f>
        <v>64550.9</v>
      </c>
      <c r="F132" s="4"/>
      <c r="G132" s="4">
        <f>$B132/$B$48</f>
        <v>3227.545</v>
      </c>
      <c r="H132" s="4">
        <f aca="true" t="shared" si="43" ref="H132:V132">$B132/$B$48</f>
        <v>3227.545</v>
      </c>
      <c r="I132" s="4">
        <f t="shared" si="43"/>
        <v>3227.545</v>
      </c>
      <c r="J132" s="4">
        <f t="shared" si="43"/>
        <v>3227.545</v>
      </c>
      <c r="K132" s="4">
        <f t="shared" si="43"/>
        <v>3227.545</v>
      </c>
      <c r="L132" s="4">
        <f t="shared" si="43"/>
        <v>3227.545</v>
      </c>
      <c r="M132" s="4">
        <f t="shared" si="43"/>
        <v>3227.545</v>
      </c>
      <c r="N132" s="4">
        <f t="shared" si="43"/>
        <v>3227.545</v>
      </c>
      <c r="O132" s="4">
        <f t="shared" si="43"/>
        <v>3227.545</v>
      </c>
      <c r="P132" s="4">
        <f t="shared" si="43"/>
        <v>3227.545</v>
      </c>
      <c r="Q132" s="4">
        <f t="shared" si="43"/>
        <v>3227.545</v>
      </c>
      <c r="R132" s="4">
        <f t="shared" si="43"/>
        <v>3227.545</v>
      </c>
      <c r="S132" s="4">
        <f t="shared" si="43"/>
        <v>3227.545</v>
      </c>
      <c r="T132" s="4">
        <f t="shared" si="43"/>
        <v>3227.545</v>
      </c>
      <c r="U132" s="4">
        <f t="shared" si="43"/>
        <v>3227.545</v>
      </c>
      <c r="V132" s="126">
        <f t="shared" si="43"/>
        <v>3227.545</v>
      </c>
    </row>
    <row r="133" spans="1:22" ht="12">
      <c r="A133" s="42">
        <v>2001</v>
      </c>
      <c r="B133" s="4">
        <f>G74</f>
        <v>1585</v>
      </c>
      <c r="F133" s="4"/>
      <c r="G133" s="4"/>
      <c r="H133" s="4">
        <f aca="true" t="shared" si="44" ref="H133:V133">$B133/$B$48</f>
        <v>79.25</v>
      </c>
      <c r="I133" s="4">
        <f t="shared" si="44"/>
        <v>79.25</v>
      </c>
      <c r="J133" s="4">
        <f t="shared" si="44"/>
        <v>79.25</v>
      </c>
      <c r="K133" s="4">
        <f t="shared" si="44"/>
        <v>79.25</v>
      </c>
      <c r="L133" s="4">
        <f t="shared" si="44"/>
        <v>79.25</v>
      </c>
      <c r="M133" s="4">
        <f t="shared" si="44"/>
        <v>79.25</v>
      </c>
      <c r="N133" s="4">
        <f t="shared" si="44"/>
        <v>79.25</v>
      </c>
      <c r="O133" s="4">
        <f t="shared" si="44"/>
        <v>79.25</v>
      </c>
      <c r="P133" s="4">
        <f t="shared" si="44"/>
        <v>79.25</v>
      </c>
      <c r="Q133" s="4">
        <f t="shared" si="44"/>
        <v>79.25</v>
      </c>
      <c r="R133" s="4">
        <f t="shared" si="44"/>
        <v>79.25</v>
      </c>
      <c r="S133" s="4">
        <f t="shared" si="44"/>
        <v>79.25</v>
      </c>
      <c r="T133" s="4">
        <f t="shared" si="44"/>
        <v>79.25</v>
      </c>
      <c r="U133" s="4">
        <f t="shared" si="44"/>
        <v>79.25</v>
      </c>
      <c r="V133" s="4">
        <f t="shared" si="44"/>
        <v>79.25</v>
      </c>
    </row>
    <row r="134" spans="1:22" ht="12">
      <c r="A134" s="42">
        <v>2002</v>
      </c>
      <c r="B134" s="4">
        <f>H74</f>
        <v>3306.795</v>
      </c>
      <c r="F134" s="4"/>
      <c r="G134" s="4"/>
      <c r="H134" s="4"/>
      <c r="I134" s="4">
        <f aca="true" t="shared" si="45" ref="I134:V134">$B134/$B$48</f>
        <v>165.33975</v>
      </c>
      <c r="J134" s="4">
        <f t="shared" si="45"/>
        <v>165.33975</v>
      </c>
      <c r="K134" s="4">
        <f t="shared" si="45"/>
        <v>165.33975</v>
      </c>
      <c r="L134" s="4">
        <f t="shared" si="45"/>
        <v>165.33975</v>
      </c>
      <c r="M134" s="4">
        <f t="shared" si="45"/>
        <v>165.33975</v>
      </c>
      <c r="N134" s="4">
        <f t="shared" si="45"/>
        <v>165.33975</v>
      </c>
      <c r="O134" s="4">
        <f t="shared" si="45"/>
        <v>165.33975</v>
      </c>
      <c r="P134" s="4">
        <f t="shared" si="45"/>
        <v>165.33975</v>
      </c>
      <c r="Q134" s="4">
        <f t="shared" si="45"/>
        <v>165.33975</v>
      </c>
      <c r="R134" s="4">
        <f t="shared" si="45"/>
        <v>165.33975</v>
      </c>
      <c r="S134" s="4">
        <f t="shared" si="45"/>
        <v>165.33975</v>
      </c>
      <c r="T134" s="4">
        <f t="shared" si="45"/>
        <v>165.33975</v>
      </c>
      <c r="U134" s="4">
        <f t="shared" si="45"/>
        <v>165.33975</v>
      </c>
      <c r="V134" s="4">
        <f t="shared" si="45"/>
        <v>165.33975</v>
      </c>
    </row>
    <row r="135" spans="1:23" ht="12">
      <c r="A135" s="42">
        <v>2003</v>
      </c>
      <c r="B135" s="4">
        <f aca="true" t="shared" si="46" ref="B135:B147">B134*(1+$B$5)</f>
        <v>3405.99885</v>
      </c>
      <c r="F135" s="4"/>
      <c r="G135" s="4"/>
      <c r="H135" s="4"/>
      <c r="I135" s="4"/>
      <c r="J135" s="4">
        <f aca="true" t="shared" si="47" ref="J135:V135">$B135/$B$48</f>
        <v>170.2999425</v>
      </c>
      <c r="K135" s="4">
        <f t="shared" si="47"/>
        <v>170.2999425</v>
      </c>
      <c r="L135" s="4">
        <f t="shared" si="47"/>
        <v>170.2999425</v>
      </c>
      <c r="M135" s="4">
        <f t="shared" si="47"/>
        <v>170.2999425</v>
      </c>
      <c r="N135" s="4">
        <f t="shared" si="47"/>
        <v>170.2999425</v>
      </c>
      <c r="O135" s="4">
        <f t="shared" si="47"/>
        <v>170.2999425</v>
      </c>
      <c r="P135" s="4">
        <f t="shared" si="47"/>
        <v>170.2999425</v>
      </c>
      <c r="Q135" s="4">
        <f t="shared" si="47"/>
        <v>170.2999425</v>
      </c>
      <c r="R135" s="4">
        <f t="shared" si="47"/>
        <v>170.2999425</v>
      </c>
      <c r="S135" s="4">
        <f t="shared" si="47"/>
        <v>170.2999425</v>
      </c>
      <c r="T135" s="4">
        <f t="shared" si="47"/>
        <v>170.2999425</v>
      </c>
      <c r="U135" s="4">
        <f t="shared" si="47"/>
        <v>170.2999425</v>
      </c>
      <c r="V135" s="4">
        <f t="shared" si="47"/>
        <v>170.2999425</v>
      </c>
      <c r="W135" s="4"/>
    </row>
    <row r="136" spans="1:23" ht="12">
      <c r="A136" s="42">
        <v>2004</v>
      </c>
      <c r="B136" s="4">
        <f t="shared" si="46"/>
        <v>3508.1788155</v>
      </c>
      <c r="F136" s="4"/>
      <c r="G136" s="4"/>
      <c r="H136" s="4"/>
      <c r="I136" s="4"/>
      <c r="J136" s="4"/>
      <c r="K136" s="4">
        <f aca="true" t="shared" si="48" ref="K136:V136">$B136/$B$48</f>
        <v>175.408940775</v>
      </c>
      <c r="L136" s="4">
        <f t="shared" si="48"/>
        <v>175.408940775</v>
      </c>
      <c r="M136" s="4">
        <f t="shared" si="48"/>
        <v>175.408940775</v>
      </c>
      <c r="N136" s="4">
        <f t="shared" si="48"/>
        <v>175.408940775</v>
      </c>
      <c r="O136" s="4">
        <f t="shared" si="48"/>
        <v>175.408940775</v>
      </c>
      <c r="P136" s="4">
        <f t="shared" si="48"/>
        <v>175.408940775</v>
      </c>
      <c r="Q136" s="4">
        <f t="shared" si="48"/>
        <v>175.408940775</v>
      </c>
      <c r="R136" s="4">
        <f t="shared" si="48"/>
        <v>175.408940775</v>
      </c>
      <c r="S136" s="4">
        <f t="shared" si="48"/>
        <v>175.408940775</v>
      </c>
      <c r="T136" s="4">
        <f t="shared" si="48"/>
        <v>175.408940775</v>
      </c>
      <c r="U136" s="4">
        <f t="shared" si="48"/>
        <v>175.408940775</v>
      </c>
      <c r="V136" s="4">
        <f t="shared" si="48"/>
        <v>175.408940775</v>
      </c>
      <c r="W136" s="4"/>
    </row>
    <row r="137" spans="1:22" ht="12">
      <c r="A137" s="42">
        <v>2005</v>
      </c>
      <c r="B137" s="4">
        <f t="shared" si="46"/>
        <v>3613.424179965</v>
      </c>
      <c r="F137" s="4"/>
      <c r="G137" s="4"/>
      <c r="H137" s="4"/>
      <c r="I137" s="4"/>
      <c r="J137" s="4"/>
      <c r="K137" s="4"/>
      <c r="L137" s="4">
        <f aca="true" t="shared" si="49" ref="L137:V137">$B137/$B$48</f>
        <v>180.67120899825</v>
      </c>
      <c r="M137" s="4">
        <f t="shared" si="49"/>
        <v>180.67120899825</v>
      </c>
      <c r="N137" s="4">
        <f t="shared" si="49"/>
        <v>180.67120899825</v>
      </c>
      <c r="O137" s="4">
        <f t="shared" si="49"/>
        <v>180.67120899825</v>
      </c>
      <c r="P137" s="4">
        <f t="shared" si="49"/>
        <v>180.67120899825</v>
      </c>
      <c r="Q137" s="4">
        <f t="shared" si="49"/>
        <v>180.67120899825</v>
      </c>
      <c r="R137" s="4">
        <f t="shared" si="49"/>
        <v>180.67120899825</v>
      </c>
      <c r="S137" s="4">
        <f t="shared" si="49"/>
        <v>180.67120899825</v>
      </c>
      <c r="T137" s="4">
        <f t="shared" si="49"/>
        <v>180.67120899825</v>
      </c>
      <c r="U137" s="4">
        <f t="shared" si="49"/>
        <v>180.67120899825</v>
      </c>
      <c r="V137" s="4">
        <f t="shared" si="49"/>
        <v>180.67120899825</v>
      </c>
    </row>
    <row r="138" spans="1:22" ht="12">
      <c r="A138" s="42">
        <v>2006</v>
      </c>
      <c r="B138" s="4">
        <f t="shared" si="46"/>
        <v>3721.82690536395</v>
      </c>
      <c r="F138" s="4"/>
      <c r="G138" s="4"/>
      <c r="H138" s="4"/>
      <c r="I138" s="4"/>
      <c r="J138" s="4"/>
      <c r="K138" s="4"/>
      <c r="L138" s="4"/>
      <c r="M138" s="4">
        <f aca="true" t="shared" si="50" ref="M138:V138">$B138/$B$48</f>
        <v>186.0913452681975</v>
      </c>
      <c r="N138" s="4">
        <f t="shared" si="50"/>
        <v>186.0913452681975</v>
      </c>
      <c r="O138" s="4">
        <f t="shared" si="50"/>
        <v>186.0913452681975</v>
      </c>
      <c r="P138" s="4">
        <f t="shared" si="50"/>
        <v>186.0913452681975</v>
      </c>
      <c r="Q138" s="4">
        <f t="shared" si="50"/>
        <v>186.0913452681975</v>
      </c>
      <c r="R138" s="4">
        <f t="shared" si="50"/>
        <v>186.0913452681975</v>
      </c>
      <c r="S138" s="4">
        <f t="shared" si="50"/>
        <v>186.0913452681975</v>
      </c>
      <c r="T138" s="4">
        <f t="shared" si="50"/>
        <v>186.0913452681975</v>
      </c>
      <c r="U138" s="4">
        <f t="shared" si="50"/>
        <v>186.0913452681975</v>
      </c>
      <c r="V138" s="4">
        <f t="shared" si="50"/>
        <v>186.0913452681975</v>
      </c>
    </row>
    <row r="139" spans="1:22" ht="12">
      <c r="A139" s="42">
        <v>2007</v>
      </c>
      <c r="B139" s="4">
        <f t="shared" si="46"/>
        <v>3833.4817125248687</v>
      </c>
      <c r="F139" s="4"/>
      <c r="G139" s="4"/>
      <c r="H139" s="4"/>
      <c r="I139" s="4"/>
      <c r="J139" s="4"/>
      <c r="K139" s="4"/>
      <c r="L139" s="4"/>
      <c r="M139" s="4"/>
      <c r="N139" s="4">
        <f aca="true" t="shared" si="51" ref="N139:V139">$B139/$B$48</f>
        <v>191.67408562624342</v>
      </c>
      <c r="O139" s="4">
        <f t="shared" si="51"/>
        <v>191.67408562624342</v>
      </c>
      <c r="P139" s="4">
        <f t="shared" si="51"/>
        <v>191.67408562624342</v>
      </c>
      <c r="Q139" s="4">
        <f t="shared" si="51"/>
        <v>191.67408562624342</v>
      </c>
      <c r="R139" s="4">
        <f t="shared" si="51"/>
        <v>191.67408562624342</v>
      </c>
      <c r="S139" s="4">
        <f t="shared" si="51"/>
        <v>191.67408562624342</v>
      </c>
      <c r="T139" s="4">
        <f t="shared" si="51"/>
        <v>191.67408562624342</v>
      </c>
      <c r="U139" s="4">
        <f t="shared" si="51"/>
        <v>191.67408562624342</v>
      </c>
      <c r="V139" s="4">
        <f t="shared" si="51"/>
        <v>191.67408562624342</v>
      </c>
    </row>
    <row r="140" spans="1:22" ht="12">
      <c r="A140" s="42">
        <v>2008</v>
      </c>
      <c r="B140" s="4">
        <f t="shared" si="46"/>
        <v>3948.486163900615</v>
      </c>
      <c r="F140" s="4"/>
      <c r="G140" s="4"/>
      <c r="H140" s="4"/>
      <c r="I140" s="4"/>
      <c r="J140" s="4"/>
      <c r="K140" s="4"/>
      <c r="L140" s="4"/>
      <c r="M140" s="4"/>
      <c r="N140" s="4"/>
      <c r="O140" s="4">
        <f aca="true" t="shared" si="52" ref="O140:V140">$B140/$B$48</f>
        <v>197.42430819503073</v>
      </c>
      <c r="P140" s="4">
        <f t="shared" si="52"/>
        <v>197.42430819503073</v>
      </c>
      <c r="Q140" s="4">
        <f t="shared" si="52"/>
        <v>197.42430819503073</v>
      </c>
      <c r="R140" s="4">
        <f t="shared" si="52"/>
        <v>197.42430819503073</v>
      </c>
      <c r="S140" s="4">
        <f t="shared" si="52"/>
        <v>197.42430819503073</v>
      </c>
      <c r="T140" s="4">
        <f t="shared" si="52"/>
        <v>197.42430819503073</v>
      </c>
      <c r="U140" s="4">
        <f t="shared" si="52"/>
        <v>197.42430819503073</v>
      </c>
      <c r="V140" s="4">
        <f t="shared" si="52"/>
        <v>197.42430819503073</v>
      </c>
    </row>
    <row r="141" spans="1:22" ht="12">
      <c r="A141" s="42">
        <v>2009</v>
      </c>
      <c r="B141" s="4">
        <f t="shared" si="46"/>
        <v>4066.9407488176334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>
        <f aca="true" t="shared" si="53" ref="P141:V141">$B141/$B$48</f>
        <v>203.34703744088168</v>
      </c>
      <c r="Q141" s="4">
        <f t="shared" si="53"/>
        <v>203.34703744088168</v>
      </c>
      <c r="R141" s="4">
        <f t="shared" si="53"/>
        <v>203.34703744088168</v>
      </c>
      <c r="S141" s="4">
        <f t="shared" si="53"/>
        <v>203.34703744088168</v>
      </c>
      <c r="T141" s="4">
        <f t="shared" si="53"/>
        <v>203.34703744088168</v>
      </c>
      <c r="U141" s="4">
        <f t="shared" si="53"/>
        <v>203.34703744088168</v>
      </c>
      <c r="V141" s="4">
        <f t="shared" si="53"/>
        <v>203.34703744088168</v>
      </c>
    </row>
    <row r="142" spans="1:22" ht="12">
      <c r="A142" s="42">
        <v>2010</v>
      </c>
      <c r="B142" s="4">
        <f t="shared" si="46"/>
        <v>4188.948971282162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f aca="true" t="shared" si="54" ref="Q142:V142">$B142/$B$48</f>
        <v>209.44744856410813</v>
      </c>
      <c r="R142" s="4">
        <f t="shared" si="54"/>
        <v>209.44744856410813</v>
      </c>
      <c r="S142" s="4">
        <f t="shared" si="54"/>
        <v>209.44744856410813</v>
      </c>
      <c r="T142" s="4">
        <f t="shared" si="54"/>
        <v>209.44744856410813</v>
      </c>
      <c r="U142" s="4">
        <f t="shared" si="54"/>
        <v>209.44744856410813</v>
      </c>
      <c r="V142" s="4">
        <f t="shared" si="54"/>
        <v>209.44744856410813</v>
      </c>
    </row>
    <row r="143" spans="1:22" ht="12">
      <c r="A143" s="42">
        <v>2011</v>
      </c>
      <c r="B143" s="4">
        <f t="shared" si="46"/>
        <v>4314.617440420628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>
        <f>$B143/$B$48</f>
        <v>215.7308720210314</v>
      </c>
      <c r="S143" s="4">
        <f>$B143/$B$48</f>
        <v>215.7308720210314</v>
      </c>
      <c r="T143" s="4">
        <f>$B143/$B$48</f>
        <v>215.7308720210314</v>
      </c>
      <c r="U143" s="4">
        <f>$B143/$B$48</f>
        <v>215.7308720210314</v>
      </c>
      <c r="V143" s="4">
        <f>$B143/$B$48</f>
        <v>215.7308720210314</v>
      </c>
    </row>
    <row r="144" spans="1:22" ht="12">
      <c r="A144" s="42">
        <v>2012</v>
      </c>
      <c r="B144" s="4">
        <f t="shared" si="46"/>
        <v>4444.055963633246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>
        <f>$B144/$B$48</f>
        <v>222.20279818166233</v>
      </c>
      <c r="T144" s="4">
        <f>$B144/$B$48</f>
        <v>222.20279818166233</v>
      </c>
      <c r="U144" s="4">
        <f>$B144/$B$48</f>
        <v>222.20279818166233</v>
      </c>
      <c r="V144" s="4">
        <f>$B144/$B$48</f>
        <v>222.20279818166233</v>
      </c>
    </row>
    <row r="145" spans="1:22" ht="12">
      <c r="A145" s="42">
        <v>2013</v>
      </c>
      <c r="B145" s="4">
        <f t="shared" si="46"/>
        <v>4577.377642542244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>
        <f>$B145/$B$48</f>
        <v>228.8688821271122</v>
      </c>
      <c r="U145" s="4">
        <f>$B145/$B$48</f>
        <v>228.8688821271122</v>
      </c>
      <c r="V145" s="4">
        <f>$B145/$B$48</f>
        <v>228.8688821271122</v>
      </c>
    </row>
    <row r="146" spans="1:22" ht="12">
      <c r="A146" s="42">
        <v>2014</v>
      </c>
      <c r="B146" s="4">
        <f t="shared" si="46"/>
        <v>4714.698971818511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>
        <f>$B146/$B$48</f>
        <v>235.73494859092557</v>
      </c>
      <c r="V146" s="4">
        <f>$B146/$B$48</f>
        <v>235.73494859092557</v>
      </c>
    </row>
    <row r="147" spans="1:22" ht="12">
      <c r="A147" s="42">
        <v>2015</v>
      </c>
      <c r="B147" s="4">
        <f t="shared" si="46"/>
        <v>4856.139940973067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>
        <f>$B147/$B$48</f>
        <v>242.80699704865333</v>
      </c>
    </row>
    <row r="148" spans="1:22" ht="12">
      <c r="A148" s="42" t="s">
        <v>18</v>
      </c>
      <c r="F148" s="126"/>
      <c r="G148" s="126">
        <f>SUM(G132:G147)</f>
        <v>3227.545</v>
      </c>
      <c r="H148" s="126">
        <f aca="true" t="shared" si="55" ref="H148:V148">SUM(H132:H147)</f>
        <v>3306.795</v>
      </c>
      <c r="I148" s="126">
        <f t="shared" si="55"/>
        <v>3472.13475</v>
      </c>
      <c r="J148" s="126">
        <f t="shared" si="55"/>
        <v>3642.4346925</v>
      </c>
      <c r="K148" s="126">
        <f t="shared" si="55"/>
        <v>3817.843633275</v>
      </c>
      <c r="L148" s="126">
        <f t="shared" si="55"/>
        <v>3998.51484227325</v>
      </c>
      <c r="M148" s="126">
        <f t="shared" si="55"/>
        <v>4184.606187541447</v>
      </c>
      <c r="N148" s="126">
        <f t="shared" si="55"/>
        <v>4376.28027316769</v>
      </c>
      <c r="O148" s="126">
        <f t="shared" si="55"/>
        <v>4573.704581362721</v>
      </c>
      <c r="P148" s="126">
        <f t="shared" si="55"/>
        <v>4777.051618803603</v>
      </c>
      <c r="Q148" s="126">
        <f t="shared" si="55"/>
        <v>4986.499067367711</v>
      </c>
      <c r="R148" s="126">
        <f t="shared" si="55"/>
        <v>5202.229939388742</v>
      </c>
      <c r="S148" s="126">
        <f t="shared" si="55"/>
        <v>5424.432737570405</v>
      </c>
      <c r="T148" s="126">
        <f t="shared" si="55"/>
        <v>5653.301619697518</v>
      </c>
      <c r="U148" s="126">
        <f t="shared" si="55"/>
        <v>5889.036568288443</v>
      </c>
      <c r="V148" s="126">
        <f t="shared" si="55"/>
        <v>6131.843565337096</v>
      </c>
    </row>
    <row r="149" spans="1:22" ht="12">
      <c r="A149" s="1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5" ht="12">
      <c r="A150" s="1" t="s">
        <v>19</v>
      </c>
      <c r="B150" s="4"/>
      <c r="C150" s="4"/>
      <c r="D150" s="4"/>
      <c r="E150" s="4"/>
    </row>
    <row r="151" spans="1:22" ht="12">
      <c r="A151" s="2" t="s">
        <v>258</v>
      </c>
      <c r="B151" s="4"/>
      <c r="C151" s="4"/>
      <c r="D151" s="4"/>
      <c r="E151" s="4"/>
      <c r="F151" s="4">
        <f>F107</f>
        <v>2828.1380668041234</v>
      </c>
      <c r="G151" s="4">
        <f aca="true" t="shared" si="56" ref="G151:V151">G107</f>
        <v>18513.51785051546</v>
      </c>
      <c r="H151" s="4">
        <f t="shared" si="56"/>
        <v>36550.561925109374</v>
      </c>
      <c r="I151" s="4">
        <f t="shared" si="56"/>
        <v>43584.230226771004</v>
      </c>
      <c r="J151" s="4">
        <f t="shared" si="56"/>
        <v>48554.62711739693</v>
      </c>
      <c r="K151" s="4">
        <f t="shared" si="56"/>
        <v>51086.75092156918</v>
      </c>
      <c r="L151" s="4">
        <f t="shared" si="56"/>
        <v>53750.811180951656</v>
      </c>
      <c r="M151" s="4">
        <f t="shared" si="56"/>
        <v>55294.61559952964</v>
      </c>
      <c r="N151" s="4">
        <f t="shared" si="56"/>
        <v>56472.39091179962</v>
      </c>
      <c r="O151" s="4">
        <f t="shared" si="56"/>
        <v>57675.25283822096</v>
      </c>
      <c r="P151" s="4">
        <f t="shared" si="56"/>
        <v>58903.735723675076</v>
      </c>
      <c r="Q151" s="4">
        <f t="shared" si="56"/>
        <v>60157.42774830947</v>
      </c>
      <c r="R151" s="4">
        <f t="shared" si="56"/>
        <v>60880.60374935568</v>
      </c>
      <c r="S151" s="4">
        <f t="shared" si="56"/>
        <v>61428.52918309986</v>
      </c>
      <c r="T151" s="4">
        <f t="shared" si="56"/>
        <v>61981.38594574776</v>
      </c>
      <c r="U151" s="4">
        <f t="shared" si="56"/>
        <v>62539.21841925949</v>
      </c>
      <c r="V151" s="4">
        <f t="shared" si="56"/>
        <v>63102.07138503282</v>
      </c>
    </row>
    <row r="152" spans="1:22" ht="12">
      <c r="A152" s="12" t="s">
        <v>17</v>
      </c>
      <c r="B152" s="4"/>
      <c r="C152" s="4"/>
      <c r="D152" s="4"/>
      <c r="E152" s="4"/>
      <c r="F152" s="4">
        <f>F108</f>
        <v>-257.10346061855665</v>
      </c>
      <c r="G152" s="4">
        <f aca="true" t="shared" si="57" ref="G152:V152">G108</f>
        <v>-1683.0470773195875</v>
      </c>
      <c r="H152" s="4">
        <f t="shared" si="57"/>
        <v>-3322.778356828125</v>
      </c>
      <c r="I152" s="4">
        <f t="shared" si="57"/>
        <v>-3962.202747888273</v>
      </c>
      <c r="J152" s="4">
        <f t="shared" si="57"/>
        <v>-4414.057010672448</v>
      </c>
      <c r="K152" s="4">
        <f t="shared" si="57"/>
        <v>-4644.250083779016</v>
      </c>
      <c r="L152" s="4">
        <f t="shared" si="57"/>
        <v>-4886.437380086514</v>
      </c>
      <c r="M152" s="4">
        <f t="shared" si="57"/>
        <v>-5026.783236320876</v>
      </c>
      <c r="N152" s="4">
        <f t="shared" si="57"/>
        <v>-5133.853719254512</v>
      </c>
      <c r="O152" s="4">
        <f t="shared" si="57"/>
        <v>-5243.204803474632</v>
      </c>
      <c r="P152" s="4">
        <f t="shared" si="57"/>
        <v>-5354.885065788643</v>
      </c>
      <c r="Q152" s="4">
        <f t="shared" si="57"/>
        <v>-5468.857068028134</v>
      </c>
      <c r="R152" s="4">
        <f t="shared" si="57"/>
        <v>-5534.600340850517</v>
      </c>
      <c r="S152" s="4">
        <f t="shared" si="57"/>
        <v>-5584.411743918169</v>
      </c>
      <c r="T152" s="4">
        <f t="shared" si="57"/>
        <v>-5634.671449613433</v>
      </c>
      <c r="U152" s="4">
        <f t="shared" si="57"/>
        <v>-5685.383492659953</v>
      </c>
      <c r="V152" s="4">
        <f t="shared" si="57"/>
        <v>-5736.551944093892</v>
      </c>
    </row>
    <row r="153" spans="1:22" ht="12">
      <c r="A153" s="2" t="s">
        <v>255</v>
      </c>
      <c r="B153" s="4"/>
      <c r="C153" s="4"/>
      <c r="D153" s="4"/>
      <c r="E153" s="4"/>
      <c r="F153" s="4">
        <f>F109</f>
        <v>2571.0346061855666</v>
      </c>
      <c r="G153" s="4">
        <f aca="true" t="shared" si="58" ref="G153:V153">G109</f>
        <v>16830.470773195873</v>
      </c>
      <c r="H153" s="4">
        <f t="shared" si="58"/>
        <v>33227.78356828125</v>
      </c>
      <c r="I153" s="4">
        <f t="shared" si="58"/>
        <v>39622.02747888273</v>
      </c>
      <c r="J153" s="4">
        <f t="shared" si="58"/>
        <v>44140.57010672448</v>
      </c>
      <c r="K153" s="4">
        <f t="shared" si="58"/>
        <v>46442.50083779017</v>
      </c>
      <c r="L153" s="4">
        <f t="shared" si="58"/>
        <v>48864.37380086514</v>
      </c>
      <c r="M153" s="4">
        <f t="shared" si="58"/>
        <v>50267.83236320877</v>
      </c>
      <c r="N153" s="4">
        <f t="shared" si="58"/>
        <v>51338.53719254511</v>
      </c>
      <c r="O153" s="4">
        <f t="shared" si="58"/>
        <v>52432.04803474632</v>
      </c>
      <c r="P153" s="4">
        <f t="shared" si="58"/>
        <v>53548.85065788643</v>
      </c>
      <c r="Q153" s="4">
        <f t="shared" si="58"/>
        <v>54688.57068028134</v>
      </c>
      <c r="R153" s="4">
        <f t="shared" si="58"/>
        <v>55346.00340850516</v>
      </c>
      <c r="S153" s="4">
        <f t="shared" si="58"/>
        <v>55844.11743918169</v>
      </c>
      <c r="T153" s="4">
        <f t="shared" si="58"/>
        <v>56346.71449613433</v>
      </c>
      <c r="U153" s="4">
        <f t="shared" si="58"/>
        <v>56853.834926599535</v>
      </c>
      <c r="V153" s="4">
        <f t="shared" si="58"/>
        <v>57365.51944093892</v>
      </c>
    </row>
    <row r="154" spans="2:22" ht="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">
      <c r="A155" s="2" t="s">
        <v>15</v>
      </c>
      <c r="B155" s="4"/>
      <c r="C155" s="4"/>
      <c r="D155" s="4"/>
      <c r="E155" s="4"/>
      <c r="F155" s="4">
        <f aca="true" t="shared" si="59" ref="F155:V155">F114</f>
        <v>878.9333333333334</v>
      </c>
      <c r="G155" s="4">
        <f t="shared" si="59"/>
        <v>5658.133333333333</v>
      </c>
      <c r="H155" s="4">
        <f t="shared" si="59"/>
        <v>10927.27</v>
      </c>
      <c r="I155" s="4">
        <f t="shared" si="59"/>
        <v>12755.766513333336</v>
      </c>
      <c r="J155" s="4">
        <f t="shared" si="59"/>
        <v>13911.288891600001</v>
      </c>
      <c r="K155" s="4">
        <f t="shared" si="59"/>
        <v>14328.627558348002</v>
      </c>
      <c r="L155" s="4">
        <f t="shared" si="59"/>
        <v>14758.486385098442</v>
      </c>
      <c r="M155" s="4">
        <f t="shared" si="59"/>
        <v>15201.2409766514</v>
      </c>
      <c r="N155" s="4">
        <f t="shared" si="59"/>
        <v>15657.27820595094</v>
      </c>
      <c r="O155" s="4">
        <f t="shared" si="59"/>
        <v>16126.996552129469</v>
      </c>
      <c r="P155" s="4">
        <f t="shared" si="59"/>
        <v>16610.80644869335</v>
      </c>
      <c r="Q155" s="4">
        <f t="shared" si="59"/>
        <v>17109.130642154152</v>
      </c>
      <c r="R155" s="4">
        <f t="shared" si="59"/>
        <v>17622.404561418778</v>
      </c>
      <c r="S155" s="4">
        <f t="shared" si="59"/>
        <v>18151.076698261342</v>
      </c>
      <c r="T155" s="4">
        <f t="shared" si="59"/>
        <v>18695.608999209184</v>
      </c>
      <c r="U155" s="4">
        <f t="shared" si="59"/>
        <v>19256.47726918546</v>
      </c>
      <c r="V155" s="4">
        <f t="shared" si="59"/>
        <v>19834.171587261026</v>
      </c>
    </row>
    <row r="156" spans="1:22" ht="12">
      <c r="A156" s="2" t="s">
        <v>134</v>
      </c>
      <c r="B156" s="4"/>
      <c r="C156" s="4"/>
      <c r="D156" s="4"/>
      <c r="E156" s="4"/>
      <c r="F156" s="4">
        <f aca="true" t="shared" si="60" ref="F156:V156">F117+F120</f>
        <v>1098.74</v>
      </c>
      <c r="G156" s="4">
        <f t="shared" si="60"/>
        <v>1787.72</v>
      </c>
      <c r="H156" s="4">
        <f t="shared" si="60"/>
        <v>2550.1905</v>
      </c>
      <c r="I156" s="4">
        <f t="shared" si="60"/>
        <v>2858.364977</v>
      </c>
      <c r="J156" s="4">
        <f t="shared" si="60"/>
        <v>3016.69333374</v>
      </c>
      <c r="K156" s="4">
        <f t="shared" si="60"/>
        <v>3107.1941337522003</v>
      </c>
      <c r="L156" s="4">
        <f t="shared" si="60"/>
        <v>3200.4099577647657</v>
      </c>
      <c r="M156" s="4">
        <f t="shared" si="60"/>
        <v>3296.42225649771</v>
      </c>
      <c r="N156" s="4">
        <f t="shared" si="60"/>
        <v>3395.3149241926412</v>
      </c>
      <c r="O156" s="4">
        <f t="shared" si="60"/>
        <v>3497.17437191842</v>
      </c>
      <c r="P156" s="4">
        <f t="shared" si="60"/>
        <v>3602.089603075973</v>
      </c>
      <c r="Q156" s="4">
        <f t="shared" si="60"/>
        <v>3710.1522911682523</v>
      </c>
      <c r="R156" s="4">
        <f t="shared" si="60"/>
        <v>3821.4568599032996</v>
      </c>
      <c r="S156" s="4">
        <f t="shared" si="60"/>
        <v>3936.100565700399</v>
      </c>
      <c r="T156" s="4">
        <f t="shared" si="60"/>
        <v>4054.183582671411</v>
      </c>
      <c r="U156" s="4">
        <f t="shared" si="60"/>
        <v>4175.809090151553</v>
      </c>
      <c r="V156" s="4">
        <f t="shared" si="60"/>
        <v>4301.0833628561</v>
      </c>
    </row>
    <row r="157" spans="1:22" ht="12">
      <c r="A157" s="2" t="s">
        <v>27</v>
      </c>
      <c r="B157" s="4"/>
      <c r="C157" s="4"/>
      <c r="D157" s="4"/>
      <c r="E157" s="4"/>
      <c r="F157" s="4">
        <f>SUM(F122:F125)</f>
        <v>5711.6</v>
      </c>
      <c r="G157" s="4">
        <f>SUM(G122:G125)</f>
        <v>3109</v>
      </c>
      <c r="H157" s="4">
        <f aca="true" t="shared" si="61" ref="H157:V157">SUM(H122:H125)</f>
        <v>2587</v>
      </c>
      <c r="I157" s="4">
        <f t="shared" si="61"/>
        <v>3243.71</v>
      </c>
      <c r="J157" s="4">
        <f t="shared" si="61"/>
        <v>3500.4713</v>
      </c>
      <c r="K157" s="4">
        <f t="shared" si="61"/>
        <v>3605.485439</v>
      </c>
      <c r="L157" s="4">
        <f t="shared" si="61"/>
        <v>3713.6500021700003</v>
      </c>
      <c r="M157" s="4">
        <f t="shared" si="61"/>
        <v>3825.0595022351004</v>
      </c>
      <c r="N157" s="4">
        <f t="shared" si="61"/>
        <v>3939.8112873021537</v>
      </c>
      <c r="O157" s="4">
        <f t="shared" si="61"/>
        <v>4058.0056259212183</v>
      </c>
      <c r="P157" s="4">
        <f t="shared" si="61"/>
        <v>4179.745794698855</v>
      </c>
      <c r="Q157" s="4">
        <f t="shared" si="61"/>
        <v>4305.138168539821</v>
      </c>
      <c r="R157" s="4">
        <f t="shared" si="61"/>
        <v>4434.292313596015</v>
      </c>
      <c r="S157" s="4">
        <f t="shared" si="61"/>
        <v>4567.321083003896</v>
      </c>
      <c r="T157" s="4">
        <f t="shared" si="61"/>
        <v>4704.340715494013</v>
      </c>
      <c r="U157" s="4">
        <f t="shared" si="61"/>
        <v>4845.470936958834</v>
      </c>
      <c r="V157" s="4">
        <f t="shared" si="61"/>
        <v>4990.835065067598</v>
      </c>
    </row>
    <row r="158" spans="1:22" ht="12">
      <c r="A158" s="12" t="s">
        <v>16</v>
      </c>
      <c r="B158" s="4"/>
      <c r="C158" s="4"/>
      <c r="D158" s="4"/>
      <c r="E158" s="4"/>
      <c r="F158" s="4">
        <f aca="true" t="shared" si="62" ref="F158:V158">-SUM(F127:F128)</f>
        <v>-434.0763636363636</v>
      </c>
      <c r="G158" s="4">
        <f t="shared" si="62"/>
        <v>-249.88363636363636</v>
      </c>
      <c r="H158" s="4">
        <f t="shared" si="62"/>
        <v>-276.2809545454545</v>
      </c>
      <c r="I158" s="4">
        <f t="shared" si="62"/>
        <v>-355.76045245454543</v>
      </c>
      <c r="J158" s="4">
        <f t="shared" si="62"/>
        <v>-389.6993939763636</v>
      </c>
      <c r="K158" s="4">
        <f t="shared" si="62"/>
        <v>-401.39037579565456</v>
      </c>
      <c r="L158" s="4">
        <f t="shared" si="62"/>
        <v>-413.4320870695242</v>
      </c>
      <c r="M158" s="4">
        <f t="shared" si="62"/>
        <v>-425.8350496816099</v>
      </c>
      <c r="N158" s="4">
        <f t="shared" si="62"/>
        <v>-438.6101011720583</v>
      </c>
      <c r="O158" s="4">
        <f t="shared" si="62"/>
        <v>-451.76840420722004</v>
      </c>
      <c r="P158" s="4">
        <f t="shared" si="62"/>
        <v>-465.32145633343674</v>
      </c>
      <c r="Q158" s="4">
        <f t="shared" si="62"/>
        <v>-479.2811000234398</v>
      </c>
      <c r="R158" s="4">
        <f t="shared" si="62"/>
        <v>-493.659533024143</v>
      </c>
      <c r="S158" s="4">
        <f t="shared" si="62"/>
        <v>-508.4693190148673</v>
      </c>
      <c r="T158" s="4">
        <f t="shared" si="62"/>
        <v>-523.7233985853134</v>
      </c>
      <c r="U158" s="4">
        <f t="shared" si="62"/>
        <v>-539.4351005428728</v>
      </c>
      <c r="V158" s="4">
        <f t="shared" si="62"/>
        <v>-555.6181535591589</v>
      </c>
    </row>
    <row r="159" spans="1:22" ht="12">
      <c r="A159" s="7" t="s">
        <v>20</v>
      </c>
      <c r="B159" s="4"/>
      <c r="C159" s="4"/>
      <c r="D159" s="4"/>
      <c r="E159" s="4"/>
      <c r="F159" s="4">
        <f>SUM(F155:F158)</f>
        <v>7255.19696969697</v>
      </c>
      <c r="G159" s="4">
        <f aca="true" t="shared" si="63" ref="G159:V159">SUM(G155:G158)</f>
        <v>10304.969696969696</v>
      </c>
      <c r="H159" s="4">
        <f t="shared" si="63"/>
        <v>15788.179545454546</v>
      </c>
      <c r="I159" s="4">
        <f t="shared" si="63"/>
        <v>18502.08103787879</v>
      </c>
      <c r="J159" s="4">
        <f t="shared" si="63"/>
        <v>20038.75413136364</v>
      </c>
      <c r="K159" s="4">
        <f t="shared" si="63"/>
        <v>20639.916755304548</v>
      </c>
      <c r="L159" s="4">
        <f t="shared" si="63"/>
        <v>21259.114257963687</v>
      </c>
      <c r="M159" s="4">
        <f t="shared" si="63"/>
        <v>21896.8876857026</v>
      </c>
      <c r="N159" s="4">
        <f t="shared" si="63"/>
        <v>22553.794316273677</v>
      </c>
      <c r="O159" s="4">
        <f t="shared" si="63"/>
        <v>23230.408145761885</v>
      </c>
      <c r="P159" s="4">
        <f t="shared" si="63"/>
        <v>23927.32039013474</v>
      </c>
      <c r="Q159" s="4">
        <f t="shared" si="63"/>
        <v>24645.140001838783</v>
      </c>
      <c r="R159" s="4">
        <f t="shared" si="63"/>
        <v>25384.49420189395</v>
      </c>
      <c r="S159" s="4">
        <f t="shared" si="63"/>
        <v>26146.029027950768</v>
      </c>
      <c r="T159" s="4">
        <f t="shared" si="63"/>
        <v>26930.409898789298</v>
      </c>
      <c r="U159" s="4">
        <f t="shared" si="63"/>
        <v>27738.322195752975</v>
      </c>
      <c r="V159" s="4">
        <f t="shared" si="63"/>
        <v>28570.471861625563</v>
      </c>
    </row>
    <row r="160" spans="2:22" ht="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">
      <c r="A161" s="2" t="s">
        <v>139</v>
      </c>
      <c r="B161" s="4"/>
      <c r="C161" s="4"/>
      <c r="D161" s="4"/>
      <c r="E161" s="4"/>
      <c r="F161" s="4">
        <f aca="true" t="shared" si="64" ref="F161:V161">F153-F159</f>
        <v>-4684.162363511403</v>
      </c>
      <c r="G161" s="4">
        <f t="shared" si="64"/>
        <v>6525.501076226177</v>
      </c>
      <c r="H161" s="4">
        <f t="shared" si="64"/>
        <v>17439.604022826705</v>
      </c>
      <c r="I161" s="4">
        <f t="shared" si="64"/>
        <v>21119.94644100394</v>
      </c>
      <c r="J161" s="4">
        <f t="shared" si="64"/>
        <v>24101.81597536084</v>
      </c>
      <c r="K161" s="4">
        <f t="shared" si="64"/>
        <v>25802.58408248562</v>
      </c>
      <c r="L161" s="4">
        <f t="shared" si="64"/>
        <v>27605.259542901455</v>
      </c>
      <c r="M161" s="4">
        <f t="shared" si="64"/>
        <v>28370.94467750617</v>
      </c>
      <c r="N161" s="4">
        <f t="shared" si="64"/>
        <v>28784.742876271433</v>
      </c>
      <c r="O161" s="4">
        <f t="shared" si="64"/>
        <v>29201.63988898444</v>
      </c>
      <c r="P161" s="4">
        <f t="shared" si="64"/>
        <v>29621.530267751692</v>
      </c>
      <c r="Q161" s="4">
        <f t="shared" si="64"/>
        <v>30043.430678442553</v>
      </c>
      <c r="R161" s="4">
        <f t="shared" si="64"/>
        <v>29961.50920661121</v>
      </c>
      <c r="S161" s="4">
        <f t="shared" si="64"/>
        <v>29698.08841123092</v>
      </c>
      <c r="T161" s="4">
        <f t="shared" si="64"/>
        <v>29416.30459734503</v>
      </c>
      <c r="U161" s="4">
        <f t="shared" si="64"/>
        <v>29115.51273084656</v>
      </c>
      <c r="V161" s="4">
        <f t="shared" si="64"/>
        <v>28795.04757931336</v>
      </c>
    </row>
    <row r="162" spans="1:22" ht="12">
      <c r="A162" s="12" t="s">
        <v>21</v>
      </c>
      <c r="B162" s="4"/>
      <c r="C162" s="4"/>
      <c r="D162" s="4"/>
      <c r="E162" s="4"/>
      <c r="F162" s="4">
        <f>F148</f>
        <v>0</v>
      </c>
      <c r="G162" s="4">
        <f aca="true" t="shared" si="65" ref="G162:V162">G148</f>
        <v>3227.545</v>
      </c>
      <c r="H162" s="4">
        <f t="shared" si="65"/>
        <v>3306.795</v>
      </c>
      <c r="I162" s="4">
        <f t="shared" si="65"/>
        <v>3472.13475</v>
      </c>
      <c r="J162" s="4">
        <f t="shared" si="65"/>
        <v>3642.4346925</v>
      </c>
      <c r="K162" s="4">
        <f t="shared" si="65"/>
        <v>3817.843633275</v>
      </c>
      <c r="L162" s="4">
        <f t="shared" si="65"/>
        <v>3998.51484227325</v>
      </c>
      <c r="M162" s="4">
        <f t="shared" si="65"/>
        <v>4184.606187541447</v>
      </c>
      <c r="N162" s="4">
        <f t="shared" si="65"/>
        <v>4376.28027316769</v>
      </c>
      <c r="O162" s="4">
        <f t="shared" si="65"/>
        <v>4573.704581362721</v>
      </c>
      <c r="P162" s="4">
        <f t="shared" si="65"/>
        <v>4777.051618803603</v>
      </c>
      <c r="Q162" s="4">
        <f t="shared" si="65"/>
        <v>4986.499067367711</v>
      </c>
      <c r="R162" s="4">
        <f t="shared" si="65"/>
        <v>5202.229939388742</v>
      </c>
      <c r="S162" s="4">
        <f t="shared" si="65"/>
        <v>5424.432737570405</v>
      </c>
      <c r="T162" s="4">
        <f t="shared" si="65"/>
        <v>5653.301619697518</v>
      </c>
      <c r="U162" s="4">
        <f t="shared" si="65"/>
        <v>5889.036568288443</v>
      </c>
      <c r="V162" s="4">
        <f t="shared" si="65"/>
        <v>6131.843565337096</v>
      </c>
    </row>
    <row r="163" spans="1:22" ht="12">
      <c r="A163" s="2" t="s">
        <v>140</v>
      </c>
      <c r="B163" s="4"/>
      <c r="C163" s="4"/>
      <c r="D163" s="4"/>
      <c r="E163" s="4"/>
      <c r="F163" s="4">
        <f>F161-F162</f>
        <v>-4684.162363511403</v>
      </c>
      <c r="G163" s="4">
        <f aca="true" t="shared" si="66" ref="G163:V163">G161-G162</f>
        <v>3297.956076226177</v>
      </c>
      <c r="H163" s="4">
        <f t="shared" si="66"/>
        <v>14132.809022826705</v>
      </c>
      <c r="I163" s="4">
        <f t="shared" si="66"/>
        <v>17647.81169100394</v>
      </c>
      <c r="J163" s="4">
        <f t="shared" si="66"/>
        <v>20459.381282860842</v>
      </c>
      <c r="K163" s="4">
        <f t="shared" si="66"/>
        <v>21984.74044921062</v>
      </c>
      <c r="L163" s="4">
        <f t="shared" si="66"/>
        <v>23606.744700628205</v>
      </c>
      <c r="M163" s="4">
        <f t="shared" si="66"/>
        <v>24186.33848996472</v>
      </c>
      <c r="N163" s="4">
        <f t="shared" si="66"/>
        <v>24408.462603103744</v>
      </c>
      <c r="O163" s="4">
        <f t="shared" si="66"/>
        <v>24627.935307621716</v>
      </c>
      <c r="P163" s="4">
        <f t="shared" si="66"/>
        <v>24844.47864894809</v>
      </c>
      <c r="Q163" s="4">
        <f t="shared" si="66"/>
        <v>25056.93161107484</v>
      </c>
      <c r="R163" s="4">
        <f t="shared" si="66"/>
        <v>24759.279267222468</v>
      </c>
      <c r="S163" s="4">
        <f t="shared" si="66"/>
        <v>24273.655673660516</v>
      </c>
      <c r="T163" s="4">
        <f t="shared" si="66"/>
        <v>23763.002977647513</v>
      </c>
      <c r="U163" s="4">
        <f t="shared" si="66"/>
        <v>23226.476162558116</v>
      </c>
      <c r="V163" s="4">
        <f t="shared" si="66"/>
        <v>22663.20401397626</v>
      </c>
    </row>
    <row r="164" spans="1:22" ht="12">
      <c r="A164" s="12" t="s">
        <v>22</v>
      </c>
      <c r="B164" s="4"/>
      <c r="C164" s="4"/>
      <c r="D164" s="4"/>
      <c r="E164" s="4"/>
      <c r="F164" s="4">
        <f>F29</f>
        <v>4500</v>
      </c>
      <c r="G164" s="4">
        <f>G29</f>
        <v>5600</v>
      </c>
      <c r="H164" s="4">
        <f>H98</f>
        <v>5593.749999999996</v>
      </c>
      <c r="I164" s="4">
        <f aca="true" t="shared" si="67" ref="I164:V164">I98</f>
        <v>5593.749999999996</v>
      </c>
      <c r="J164" s="4">
        <f t="shared" si="67"/>
        <v>5244.318181818178</v>
      </c>
      <c r="K164" s="4">
        <f t="shared" si="67"/>
        <v>4351.010101010098</v>
      </c>
      <c r="L164" s="4">
        <f t="shared" si="67"/>
        <v>3263.257575757574</v>
      </c>
      <c r="M164" s="4">
        <f t="shared" si="67"/>
        <v>2175.505050505049</v>
      </c>
      <c r="N164" s="4">
        <f t="shared" si="67"/>
        <v>1087.7525252525247</v>
      </c>
      <c r="O164" s="4">
        <f t="shared" si="67"/>
        <v>0</v>
      </c>
      <c r="P164" s="4">
        <f t="shared" si="67"/>
        <v>0</v>
      </c>
      <c r="Q164" s="4">
        <f t="shared" si="67"/>
        <v>0</v>
      </c>
      <c r="R164" s="4">
        <f t="shared" si="67"/>
        <v>0</v>
      </c>
      <c r="S164" s="4">
        <f t="shared" si="67"/>
        <v>0</v>
      </c>
      <c r="T164" s="4">
        <f t="shared" si="67"/>
        <v>0</v>
      </c>
      <c r="U164" s="4">
        <f t="shared" si="67"/>
        <v>0</v>
      </c>
      <c r="V164" s="4">
        <f t="shared" si="67"/>
        <v>0</v>
      </c>
    </row>
    <row r="165" spans="1:22" ht="12">
      <c r="A165" s="2" t="s">
        <v>141</v>
      </c>
      <c r="B165" s="4"/>
      <c r="C165" s="4"/>
      <c r="D165" s="4"/>
      <c r="E165" s="4"/>
      <c r="F165" s="4">
        <f>F163-F164</f>
        <v>-9184.162363511403</v>
      </c>
      <c r="G165" s="4">
        <f aca="true" t="shared" si="68" ref="G165:V165">G163-G164</f>
        <v>-2302.043923773823</v>
      </c>
      <c r="H165" s="4">
        <f t="shared" si="68"/>
        <v>8539.059022826708</v>
      </c>
      <c r="I165" s="4">
        <f t="shared" si="68"/>
        <v>12054.061691003943</v>
      </c>
      <c r="J165" s="4">
        <f t="shared" si="68"/>
        <v>15215.063101042664</v>
      </c>
      <c r="K165" s="4">
        <f t="shared" si="68"/>
        <v>17633.730348200523</v>
      </c>
      <c r="L165" s="4">
        <f t="shared" si="68"/>
        <v>20343.487124870633</v>
      </c>
      <c r="M165" s="4">
        <f t="shared" si="68"/>
        <v>22010.83343945967</v>
      </c>
      <c r="N165" s="4">
        <f t="shared" si="68"/>
        <v>23320.710077851218</v>
      </c>
      <c r="O165" s="4">
        <f t="shared" si="68"/>
        <v>24627.935307621716</v>
      </c>
      <c r="P165" s="4">
        <f t="shared" si="68"/>
        <v>24844.47864894809</v>
      </c>
      <c r="Q165" s="4">
        <f t="shared" si="68"/>
        <v>25056.93161107484</v>
      </c>
      <c r="R165" s="4">
        <f t="shared" si="68"/>
        <v>24759.279267222468</v>
      </c>
      <c r="S165" s="4">
        <f t="shared" si="68"/>
        <v>24273.655673660516</v>
      </c>
      <c r="T165" s="4">
        <f t="shared" si="68"/>
        <v>23763.002977647513</v>
      </c>
      <c r="U165" s="4">
        <f t="shared" si="68"/>
        <v>23226.476162558116</v>
      </c>
      <c r="V165" s="4">
        <f t="shared" si="68"/>
        <v>22663.20401397626</v>
      </c>
    </row>
    <row r="166" spans="1:22" ht="12" hidden="1">
      <c r="A166" s="4" t="s">
        <v>76</v>
      </c>
      <c r="B166" s="4"/>
      <c r="C166" s="4"/>
      <c r="D166" s="4"/>
      <c r="E166" s="4"/>
      <c r="F166" s="4">
        <f aca="true" t="shared" si="69" ref="F166:V166">IF(F165&gt;0,1,0)</f>
        <v>0</v>
      </c>
      <c r="G166" s="4">
        <f t="shared" si="69"/>
        <v>0</v>
      </c>
      <c r="H166" s="4">
        <f t="shared" si="69"/>
        <v>1</v>
      </c>
      <c r="I166" s="4">
        <f t="shared" si="69"/>
        <v>1</v>
      </c>
      <c r="J166" s="4">
        <f t="shared" si="69"/>
        <v>1</v>
      </c>
      <c r="K166" s="4">
        <f t="shared" si="69"/>
        <v>1</v>
      </c>
      <c r="L166" s="4">
        <f t="shared" si="69"/>
        <v>1</v>
      </c>
      <c r="M166" s="4">
        <f t="shared" si="69"/>
        <v>1</v>
      </c>
      <c r="N166" s="4">
        <f t="shared" si="69"/>
        <v>1</v>
      </c>
      <c r="O166" s="4">
        <f t="shared" si="69"/>
        <v>1</v>
      </c>
      <c r="P166" s="4">
        <f t="shared" si="69"/>
        <v>1</v>
      </c>
      <c r="Q166" s="4">
        <f t="shared" si="69"/>
        <v>1</v>
      </c>
      <c r="R166" s="4">
        <f t="shared" si="69"/>
        <v>1</v>
      </c>
      <c r="S166" s="4">
        <f t="shared" si="69"/>
        <v>1</v>
      </c>
      <c r="T166" s="4">
        <f t="shared" si="69"/>
        <v>1</v>
      </c>
      <c r="U166" s="4">
        <f t="shared" si="69"/>
        <v>1</v>
      </c>
      <c r="V166" s="4">
        <f t="shared" si="69"/>
        <v>1</v>
      </c>
    </row>
    <row r="167" spans="1:22" ht="12" hidden="1">
      <c r="A167" s="16" t="s">
        <v>77</v>
      </c>
      <c r="B167" s="4"/>
      <c r="C167" s="4"/>
      <c r="D167" s="4"/>
      <c r="E167" s="4"/>
      <c r="F167" s="4">
        <f>B167+F166</f>
        <v>0</v>
      </c>
      <c r="G167" s="4">
        <f aca="true" t="shared" si="70" ref="G167:V167">F167+G166</f>
        <v>0</v>
      </c>
      <c r="H167" s="4">
        <f t="shared" si="70"/>
        <v>1</v>
      </c>
      <c r="I167" s="4">
        <f t="shared" si="70"/>
        <v>2</v>
      </c>
      <c r="J167" s="4">
        <f t="shared" si="70"/>
        <v>3</v>
      </c>
      <c r="K167" s="4">
        <f t="shared" si="70"/>
        <v>4</v>
      </c>
      <c r="L167" s="4">
        <f t="shared" si="70"/>
        <v>5</v>
      </c>
      <c r="M167" s="4">
        <f t="shared" si="70"/>
        <v>6</v>
      </c>
      <c r="N167" s="4">
        <f t="shared" si="70"/>
        <v>7</v>
      </c>
      <c r="O167" s="4">
        <f t="shared" si="70"/>
        <v>8</v>
      </c>
      <c r="P167" s="4">
        <f t="shared" si="70"/>
        <v>9</v>
      </c>
      <c r="Q167" s="4">
        <f t="shared" si="70"/>
        <v>10</v>
      </c>
      <c r="R167" s="4">
        <f t="shared" si="70"/>
        <v>11</v>
      </c>
      <c r="S167" s="4">
        <f t="shared" si="70"/>
        <v>12</v>
      </c>
      <c r="T167" s="4">
        <f t="shared" si="70"/>
        <v>13</v>
      </c>
      <c r="U167" s="4">
        <f t="shared" si="70"/>
        <v>14</v>
      </c>
      <c r="V167" s="4">
        <f t="shared" si="70"/>
        <v>15</v>
      </c>
    </row>
    <row r="168" spans="1:22" ht="12" hidden="1">
      <c r="A168" s="4" t="s">
        <v>78</v>
      </c>
      <c r="B168" s="4"/>
      <c r="C168" s="4"/>
      <c r="D168" s="4"/>
      <c r="E168" s="4"/>
      <c r="F168" s="4">
        <f>COUNTIF(F167:V167,0)</f>
        <v>2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">
      <c r="A169" s="12" t="s">
        <v>264</v>
      </c>
      <c r="B169" s="4"/>
      <c r="C169" s="4"/>
      <c r="D169" s="4"/>
      <c r="E169" s="4"/>
      <c r="F169" s="4">
        <f aca="true" t="shared" si="71" ref="F169:V169">F165*IF(F2&gt;$F$168+$B$62,$B$61,0%)</f>
        <v>0</v>
      </c>
      <c r="G169" s="4">
        <f t="shared" si="71"/>
        <v>0</v>
      </c>
      <c r="H169" s="4">
        <f t="shared" si="71"/>
        <v>0</v>
      </c>
      <c r="I169" s="4">
        <f t="shared" si="71"/>
        <v>0</v>
      </c>
      <c r="J169" s="4">
        <f t="shared" si="71"/>
        <v>0</v>
      </c>
      <c r="K169" s="4">
        <f t="shared" si="71"/>
        <v>0</v>
      </c>
      <c r="L169" s="4">
        <f t="shared" si="71"/>
        <v>0</v>
      </c>
      <c r="M169" s="4">
        <f t="shared" si="71"/>
        <v>5502.708359864918</v>
      </c>
      <c r="N169" s="4">
        <f t="shared" si="71"/>
        <v>5830.177519462804</v>
      </c>
      <c r="O169" s="4">
        <f t="shared" si="71"/>
        <v>6156.983826905429</v>
      </c>
      <c r="P169" s="4">
        <f t="shared" si="71"/>
        <v>6211.119662237023</v>
      </c>
      <c r="Q169" s="4">
        <f t="shared" si="71"/>
        <v>6264.23290276871</v>
      </c>
      <c r="R169" s="4">
        <f t="shared" si="71"/>
        <v>6189.819816805617</v>
      </c>
      <c r="S169" s="4">
        <f t="shared" si="71"/>
        <v>6068.413918415129</v>
      </c>
      <c r="T169" s="4">
        <f t="shared" si="71"/>
        <v>5940.750744411878</v>
      </c>
      <c r="U169" s="4">
        <f t="shared" si="71"/>
        <v>5806.619040639529</v>
      </c>
      <c r="V169" s="4">
        <f t="shared" si="71"/>
        <v>5665.801003494065</v>
      </c>
    </row>
    <row r="170" spans="1:22" ht="12">
      <c r="A170" s="2" t="s">
        <v>142</v>
      </c>
      <c r="B170" s="4"/>
      <c r="C170" s="4"/>
      <c r="D170" s="4"/>
      <c r="E170" s="4"/>
      <c r="F170" s="4">
        <f>F165-F169</f>
        <v>-9184.162363511403</v>
      </c>
      <c r="G170" s="4">
        <f aca="true" t="shared" si="72" ref="G170:V170">G165-G169</f>
        <v>-2302.043923773823</v>
      </c>
      <c r="H170" s="4">
        <f t="shared" si="72"/>
        <v>8539.059022826708</v>
      </c>
      <c r="I170" s="4">
        <f t="shared" si="72"/>
        <v>12054.061691003943</v>
      </c>
      <c r="J170" s="4">
        <f t="shared" si="72"/>
        <v>15215.063101042664</v>
      </c>
      <c r="K170" s="4">
        <f t="shared" si="72"/>
        <v>17633.730348200523</v>
      </c>
      <c r="L170" s="4">
        <f t="shared" si="72"/>
        <v>20343.487124870633</v>
      </c>
      <c r="M170" s="4">
        <f t="shared" si="72"/>
        <v>16508.125079594753</v>
      </c>
      <c r="N170" s="4">
        <f t="shared" si="72"/>
        <v>17490.53255838841</v>
      </c>
      <c r="O170" s="4">
        <f t="shared" si="72"/>
        <v>18470.951480716285</v>
      </c>
      <c r="P170" s="4">
        <f t="shared" si="72"/>
        <v>18633.358986711068</v>
      </c>
      <c r="Q170" s="4">
        <f t="shared" si="72"/>
        <v>18792.698708306132</v>
      </c>
      <c r="R170" s="4">
        <f t="shared" si="72"/>
        <v>18569.45945041685</v>
      </c>
      <c r="S170" s="4">
        <f t="shared" si="72"/>
        <v>18205.241755245388</v>
      </c>
      <c r="T170" s="4">
        <f t="shared" si="72"/>
        <v>17822.252233235635</v>
      </c>
      <c r="U170" s="4">
        <f t="shared" si="72"/>
        <v>17419.857121918587</v>
      </c>
      <c r="V170" s="4">
        <f t="shared" si="72"/>
        <v>16997.403010482194</v>
      </c>
    </row>
    <row r="171" spans="2:26" ht="12">
      <c r="B171" s="4"/>
      <c r="C171" s="4"/>
      <c r="D171" s="4"/>
      <c r="E171" s="4"/>
      <c r="X171" s="13"/>
      <c r="Y171" s="13"/>
      <c r="Z171" s="13"/>
    </row>
    <row r="172" spans="1:26" ht="12">
      <c r="A172" s="1" t="s">
        <v>135</v>
      </c>
      <c r="B172" s="4"/>
      <c r="C172" s="4"/>
      <c r="D172" s="4"/>
      <c r="E172" s="4"/>
      <c r="X172" s="13"/>
      <c r="Y172" s="13"/>
      <c r="Z172" s="13"/>
    </row>
    <row r="173" spans="1:22" s="4" customFormat="1" ht="12">
      <c r="A173" s="4" t="s">
        <v>138</v>
      </c>
      <c r="C173" s="4">
        <f>C49</f>
        <v>150</v>
      </c>
      <c r="D173" s="4">
        <f>D49</f>
        <v>710</v>
      </c>
      <c r="E173" s="4">
        <f>E49</f>
        <v>1340</v>
      </c>
      <c r="F173" s="4">
        <f>F49</f>
        <v>1650</v>
      </c>
      <c r="G173" s="4">
        <f>G107*$B$50</f>
        <v>1851.3517850515464</v>
      </c>
      <c r="H173" s="4">
        <f aca="true" t="shared" si="73" ref="H173:V173">H107*$B$50</f>
        <v>3655.0561925109378</v>
      </c>
      <c r="I173" s="4">
        <f t="shared" si="73"/>
        <v>4358.423022677101</v>
      </c>
      <c r="J173" s="4">
        <f t="shared" si="73"/>
        <v>4855.462711739693</v>
      </c>
      <c r="K173" s="4">
        <f t="shared" si="73"/>
        <v>5108.675092156918</v>
      </c>
      <c r="L173" s="4">
        <f t="shared" si="73"/>
        <v>5375.081118095166</v>
      </c>
      <c r="M173" s="4">
        <f t="shared" si="73"/>
        <v>5529.461559952964</v>
      </c>
      <c r="N173" s="4">
        <f t="shared" si="73"/>
        <v>5647.239091179963</v>
      </c>
      <c r="O173" s="4">
        <f t="shared" si="73"/>
        <v>5767.525283822096</v>
      </c>
      <c r="P173" s="4">
        <f t="shared" si="73"/>
        <v>5890.373572367508</v>
      </c>
      <c r="Q173" s="4">
        <f t="shared" si="73"/>
        <v>6015.742774830947</v>
      </c>
      <c r="R173" s="4">
        <f t="shared" si="73"/>
        <v>6088.060374935569</v>
      </c>
      <c r="S173" s="4">
        <f t="shared" si="73"/>
        <v>6142.852918309986</v>
      </c>
      <c r="T173" s="4">
        <f t="shared" si="73"/>
        <v>6198.138594574776</v>
      </c>
      <c r="U173" s="4">
        <f t="shared" si="73"/>
        <v>6253.921841925949</v>
      </c>
      <c r="V173" s="4">
        <f t="shared" si="73"/>
        <v>6310.207138503282</v>
      </c>
    </row>
    <row r="174" spans="1:26" ht="12">
      <c r="A174" s="2" t="s">
        <v>29</v>
      </c>
      <c r="B174" s="4"/>
      <c r="C174" s="4">
        <f>C173</f>
        <v>150</v>
      </c>
      <c r="D174" s="4">
        <f>D173-C173</f>
        <v>560</v>
      </c>
      <c r="E174" s="4">
        <f aca="true" t="shared" si="74" ref="E174:V174">E173-D173</f>
        <v>630</v>
      </c>
      <c r="F174" s="4">
        <f t="shared" si="74"/>
        <v>310</v>
      </c>
      <c r="G174" s="4">
        <f t="shared" si="74"/>
        <v>201.35178505154636</v>
      </c>
      <c r="H174" s="4">
        <f t="shared" si="74"/>
        <v>1803.7044074593914</v>
      </c>
      <c r="I174" s="4">
        <f t="shared" si="74"/>
        <v>703.3668301661628</v>
      </c>
      <c r="J174" s="4">
        <f t="shared" si="74"/>
        <v>497.0396890625925</v>
      </c>
      <c r="K174" s="4">
        <f t="shared" si="74"/>
        <v>253.21238041722518</v>
      </c>
      <c r="L174" s="4">
        <f t="shared" si="74"/>
        <v>266.4060259382477</v>
      </c>
      <c r="M174" s="4">
        <f t="shared" si="74"/>
        <v>154.38044185779836</v>
      </c>
      <c r="N174" s="4">
        <f t="shared" si="74"/>
        <v>117.77753122699869</v>
      </c>
      <c r="O174" s="4">
        <f t="shared" si="74"/>
        <v>120.28619264213285</v>
      </c>
      <c r="P174" s="4">
        <f t="shared" si="74"/>
        <v>122.84828854541229</v>
      </c>
      <c r="Q174" s="4">
        <f t="shared" si="74"/>
        <v>125.36920246343925</v>
      </c>
      <c r="R174" s="4">
        <f t="shared" si="74"/>
        <v>72.3176001046213</v>
      </c>
      <c r="S174" s="4">
        <f t="shared" si="74"/>
        <v>54.79254337441762</v>
      </c>
      <c r="T174" s="4">
        <f t="shared" si="74"/>
        <v>55.2856762647898</v>
      </c>
      <c r="U174" s="4">
        <f t="shared" si="74"/>
        <v>55.78324735117258</v>
      </c>
      <c r="V174" s="4">
        <f t="shared" si="74"/>
        <v>56.28529657733361</v>
      </c>
      <c r="X174" s="13"/>
      <c r="Y174" s="13"/>
      <c r="Z174" s="13"/>
    </row>
    <row r="175" spans="2:26" ht="12">
      <c r="B175" s="4"/>
      <c r="C175" s="4"/>
      <c r="D175" s="4"/>
      <c r="E175" s="4"/>
      <c r="X175" s="13"/>
      <c r="Y175" s="13"/>
      <c r="Z175" s="13"/>
    </row>
    <row r="176" spans="1:26" ht="12.75" thickBot="1">
      <c r="A176" s="1" t="s">
        <v>299</v>
      </c>
      <c r="B176" s="129" t="s">
        <v>32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X176" s="13"/>
      <c r="Y176" s="13"/>
      <c r="Z176" s="13"/>
    </row>
    <row r="177" spans="1:26" ht="12">
      <c r="A177" s="130" t="s">
        <v>24</v>
      </c>
      <c r="B177" s="131"/>
      <c r="C177" s="120"/>
      <c r="D177" s="120"/>
      <c r="E177" s="120"/>
      <c r="F177" s="14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41"/>
      <c r="X177" s="13"/>
      <c r="Y177" s="69"/>
      <c r="Z177" s="13"/>
    </row>
    <row r="178" spans="1:26" ht="12">
      <c r="A178" s="85" t="s">
        <v>13</v>
      </c>
      <c r="B178" s="34">
        <f>NPV($B$65,F178:V178)+E178+D178/(1+$B$65)^D$2+C178/(1+$B$65)^C$2</f>
        <v>248151.84419179958</v>
      </c>
      <c r="C178" s="34">
        <f>C153</f>
        <v>0</v>
      </c>
      <c r="D178" s="34">
        <f>D153</f>
        <v>0</v>
      </c>
      <c r="E178" s="34">
        <f>E153</f>
        <v>0</v>
      </c>
      <c r="F178" s="34">
        <f aca="true" t="shared" si="75" ref="F178:U178">F153</f>
        <v>2571.0346061855666</v>
      </c>
      <c r="G178" s="34">
        <f t="shared" si="75"/>
        <v>16830.470773195873</v>
      </c>
      <c r="H178" s="34">
        <f t="shared" si="75"/>
        <v>33227.78356828125</v>
      </c>
      <c r="I178" s="34">
        <f t="shared" si="75"/>
        <v>39622.02747888273</v>
      </c>
      <c r="J178" s="34">
        <f t="shared" si="75"/>
        <v>44140.57010672448</v>
      </c>
      <c r="K178" s="34">
        <f t="shared" si="75"/>
        <v>46442.50083779017</v>
      </c>
      <c r="L178" s="34">
        <f t="shared" si="75"/>
        <v>48864.37380086514</v>
      </c>
      <c r="M178" s="34">
        <f t="shared" si="75"/>
        <v>50267.83236320877</v>
      </c>
      <c r="N178" s="34">
        <f t="shared" si="75"/>
        <v>51338.53719254511</v>
      </c>
      <c r="O178" s="34">
        <f t="shared" si="75"/>
        <v>52432.04803474632</v>
      </c>
      <c r="P178" s="34">
        <f t="shared" si="75"/>
        <v>53548.85065788643</v>
      </c>
      <c r="Q178" s="34">
        <f t="shared" si="75"/>
        <v>54688.57068028134</v>
      </c>
      <c r="R178" s="34">
        <f t="shared" si="75"/>
        <v>55346.00340850516</v>
      </c>
      <c r="S178" s="34">
        <f t="shared" si="75"/>
        <v>55844.11743918169</v>
      </c>
      <c r="T178" s="34">
        <f t="shared" si="75"/>
        <v>56346.71449613433</v>
      </c>
      <c r="U178" s="34">
        <f t="shared" si="75"/>
        <v>56853.834926599535</v>
      </c>
      <c r="V178" s="35">
        <f>V153</f>
        <v>57365.51944093892</v>
      </c>
      <c r="X178" s="34"/>
      <c r="Y178" s="34"/>
      <c r="Z178" s="13"/>
    </row>
    <row r="179" spans="1:26" ht="12">
      <c r="A179" s="85" t="s">
        <v>88</v>
      </c>
      <c r="B179" s="34">
        <f>NPV($B$65,F179:V179)+E179+D179/(1+$B$65)^D$2+C179/(1+$B$65)^C$2</f>
        <v>21631.020756620142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5">
        <f>(V178-V186)*(1+B5)/(B65-B5)</f>
        <v>180711.37140039657</v>
      </c>
      <c r="W179" s="4"/>
      <c r="X179" s="34"/>
      <c r="Y179" s="34"/>
      <c r="Z179" s="13"/>
    </row>
    <row r="180" spans="1:26" ht="12">
      <c r="A180" s="85" t="s">
        <v>31</v>
      </c>
      <c r="B180" s="34">
        <f>NPV($B$65,F180:V180)+E180+D180/(1+$B$65)^D$2+C180/(1+$B$65)^C$2</f>
        <v>269782.86494841974</v>
      </c>
      <c r="C180" s="34">
        <f>SUM(C178:C179)</f>
        <v>0</v>
      </c>
      <c r="D180" s="34">
        <f>SUM(D178:D179)</f>
        <v>0</v>
      </c>
      <c r="E180" s="34">
        <f>SUM(E178:E179)</f>
        <v>0</v>
      </c>
      <c r="F180" s="34">
        <f>SUM(F178:F179)</f>
        <v>2571.0346061855666</v>
      </c>
      <c r="G180" s="34">
        <f aca="true" t="shared" si="76" ref="G180:V180">SUM(G178:G179)</f>
        <v>16830.470773195873</v>
      </c>
      <c r="H180" s="34">
        <f t="shared" si="76"/>
        <v>33227.78356828125</v>
      </c>
      <c r="I180" s="34">
        <f t="shared" si="76"/>
        <v>39622.02747888273</v>
      </c>
      <c r="J180" s="34">
        <f t="shared" si="76"/>
        <v>44140.57010672448</v>
      </c>
      <c r="K180" s="34">
        <f t="shared" si="76"/>
        <v>46442.50083779017</v>
      </c>
      <c r="L180" s="34">
        <f t="shared" si="76"/>
        <v>48864.37380086514</v>
      </c>
      <c r="M180" s="34">
        <f t="shared" si="76"/>
        <v>50267.83236320877</v>
      </c>
      <c r="N180" s="34">
        <f t="shared" si="76"/>
        <v>51338.53719254511</v>
      </c>
      <c r="O180" s="34">
        <f t="shared" si="76"/>
        <v>52432.04803474632</v>
      </c>
      <c r="P180" s="34">
        <f t="shared" si="76"/>
        <v>53548.85065788643</v>
      </c>
      <c r="Q180" s="34">
        <f t="shared" si="76"/>
        <v>54688.57068028134</v>
      </c>
      <c r="R180" s="34">
        <f t="shared" si="76"/>
        <v>55346.00340850516</v>
      </c>
      <c r="S180" s="34">
        <f t="shared" si="76"/>
        <v>55844.11743918169</v>
      </c>
      <c r="T180" s="34">
        <f t="shared" si="76"/>
        <v>56346.71449613433</v>
      </c>
      <c r="U180" s="34">
        <f t="shared" si="76"/>
        <v>56853.834926599535</v>
      </c>
      <c r="V180" s="35">
        <f t="shared" si="76"/>
        <v>238076.8908413355</v>
      </c>
      <c r="X180" s="34"/>
      <c r="Y180" s="34"/>
      <c r="Z180" s="13"/>
    </row>
    <row r="181" spans="1:26" ht="12">
      <c r="A181" s="136" t="s">
        <v>25</v>
      </c>
      <c r="B181" s="38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5"/>
      <c r="X181" s="34"/>
      <c r="Y181" s="13"/>
      <c r="Z181" s="13"/>
    </row>
    <row r="182" spans="1:26" ht="12">
      <c r="A182" s="85" t="s">
        <v>26</v>
      </c>
      <c r="B182" s="34">
        <f>NPV($B$65,F182:V182)+E182+D182/(1+$B$65)^D$2+C182/(1+$B$65)^C$2</f>
        <v>120378.78571684753</v>
      </c>
      <c r="C182" s="34">
        <f>C159</f>
        <v>0</v>
      </c>
      <c r="D182" s="34">
        <f>D159</f>
        <v>0</v>
      </c>
      <c r="E182" s="34">
        <f>E159</f>
        <v>0</v>
      </c>
      <c r="F182" s="34">
        <f aca="true" t="shared" si="77" ref="F182:U182">F159</f>
        <v>7255.19696969697</v>
      </c>
      <c r="G182" s="34">
        <f t="shared" si="77"/>
        <v>10304.969696969696</v>
      </c>
      <c r="H182" s="34">
        <f t="shared" si="77"/>
        <v>15788.179545454546</v>
      </c>
      <c r="I182" s="34">
        <f t="shared" si="77"/>
        <v>18502.08103787879</v>
      </c>
      <c r="J182" s="34">
        <f t="shared" si="77"/>
        <v>20038.75413136364</v>
      </c>
      <c r="K182" s="34">
        <f t="shared" si="77"/>
        <v>20639.916755304548</v>
      </c>
      <c r="L182" s="34">
        <f t="shared" si="77"/>
        <v>21259.114257963687</v>
      </c>
      <c r="M182" s="34">
        <f t="shared" si="77"/>
        <v>21896.8876857026</v>
      </c>
      <c r="N182" s="34">
        <f t="shared" si="77"/>
        <v>22553.794316273677</v>
      </c>
      <c r="O182" s="34">
        <f t="shared" si="77"/>
        <v>23230.408145761885</v>
      </c>
      <c r="P182" s="34">
        <f t="shared" si="77"/>
        <v>23927.32039013474</v>
      </c>
      <c r="Q182" s="34">
        <f t="shared" si="77"/>
        <v>24645.140001838783</v>
      </c>
      <c r="R182" s="34">
        <f t="shared" si="77"/>
        <v>25384.49420189395</v>
      </c>
      <c r="S182" s="34">
        <f t="shared" si="77"/>
        <v>26146.029027950768</v>
      </c>
      <c r="T182" s="34">
        <f t="shared" si="77"/>
        <v>26930.409898789298</v>
      </c>
      <c r="U182" s="34">
        <f t="shared" si="77"/>
        <v>27738.322195752975</v>
      </c>
      <c r="V182" s="35">
        <f>V159</f>
        <v>28570.471861625563</v>
      </c>
      <c r="X182" s="34"/>
      <c r="Y182" s="34"/>
      <c r="Z182" s="13"/>
    </row>
    <row r="183" spans="1:26" ht="12">
      <c r="A183" s="85" t="s">
        <v>263</v>
      </c>
      <c r="B183" s="34">
        <f>NPV($B$65,F183:V183)+E183+D183/(1+$B$65)^D$2+C183/(1+$B$65)^C$2</f>
        <v>13316.32090174004</v>
      </c>
      <c r="C183" s="34">
        <f>C169</f>
        <v>0</v>
      </c>
      <c r="D183" s="34">
        <f aca="true" t="shared" si="78" ref="D183:V183">D169</f>
        <v>0</v>
      </c>
      <c r="E183" s="34">
        <f t="shared" si="78"/>
        <v>0</v>
      </c>
      <c r="F183" s="142">
        <f t="shared" si="78"/>
        <v>0</v>
      </c>
      <c r="G183" s="142">
        <f t="shared" si="78"/>
        <v>0</v>
      </c>
      <c r="H183" s="142">
        <f t="shared" si="78"/>
        <v>0</v>
      </c>
      <c r="I183" s="142">
        <f t="shared" si="78"/>
        <v>0</v>
      </c>
      <c r="J183" s="142">
        <f t="shared" si="78"/>
        <v>0</v>
      </c>
      <c r="K183" s="142">
        <f t="shared" si="78"/>
        <v>0</v>
      </c>
      <c r="L183" s="142">
        <f t="shared" si="78"/>
        <v>0</v>
      </c>
      <c r="M183" s="142">
        <f t="shared" si="78"/>
        <v>5502.708359864918</v>
      </c>
      <c r="N183" s="142">
        <f t="shared" si="78"/>
        <v>5830.177519462804</v>
      </c>
      <c r="O183" s="142">
        <f t="shared" si="78"/>
        <v>6156.983826905429</v>
      </c>
      <c r="P183" s="142">
        <f t="shared" si="78"/>
        <v>6211.119662237023</v>
      </c>
      <c r="Q183" s="142">
        <f t="shared" si="78"/>
        <v>6264.23290276871</v>
      </c>
      <c r="R183" s="142">
        <f t="shared" si="78"/>
        <v>6189.819816805617</v>
      </c>
      <c r="S183" s="142">
        <f t="shared" si="78"/>
        <v>6068.413918415129</v>
      </c>
      <c r="T183" s="142">
        <f t="shared" si="78"/>
        <v>5940.750744411878</v>
      </c>
      <c r="U183" s="142">
        <f t="shared" si="78"/>
        <v>5806.619040639529</v>
      </c>
      <c r="V183" s="143">
        <f t="shared" si="78"/>
        <v>5665.801003494065</v>
      </c>
      <c r="W183" s="4"/>
      <c r="X183" s="34"/>
      <c r="Y183" s="34"/>
      <c r="Z183" s="13"/>
    </row>
    <row r="184" spans="1:26" ht="12">
      <c r="A184" s="85" t="s">
        <v>29</v>
      </c>
      <c r="B184" s="34">
        <f>NPV($B$65,F184:V184)+E184+D184/(1+$B$65)^D$2+C184/(1+$B$65)^C$2</f>
        <v>4286.935596798458</v>
      </c>
      <c r="C184" s="34">
        <f>C174</f>
        <v>150</v>
      </c>
      <c r="D184" s="34">
        <f>D174</f>
        <v>560</v>
      </c>
      <c r="E184" s="34">
        <f>E174</f>
        <v>630</v>
      </c>
      <c r="F184" s="34">
        <f aca="true" t="shared" si="79" ref="F184:V184">F174</f>
        <v>310</v>
      </c>
      <c r="G184" s="34">
        <f t="shared" si="79"/>
        <v>201.35178505154636</v>
      </c>
      <c r="H184" s="34">
        <f t="shared" si="79"/>
        <v>1803.7044074593914</v>
      </c>
      <c r="I184" s="34">
        <f t="shared" si="79"/>
        <v>703.3668301661628</v>
      </c>
      <c r="J184" s="34">
        <f t="shared" si="79"/>
        <v>497.0396890625925</v>
      </c>
      <c r="K184" s="34">
        <f t="shared" si="79"/>
        <v>253.21238041722518</v>
      </c>
      <c r="L184" s="34">
        <f t="shared" si="79"/>
        <v>266.4060259382477</v>
      </c>
      <c r="M184" s="34">
        <f t="shared" si="79"/>
        <v>154.38044185779836</v>
      </c>
      <c r="N184" s="34">
        <f t="shared" si="79"/>
        <v>117.77753122699869</v>
      </c>
      <c r="O184" s="34">
        <f t="shared" si="79"/>
        <v>120.28619264213285</v>
      </c>
      <c r="P184" s="34">
        <f t="shared" si="79"/>
        <v>122.84828854541229</v>
      </c>
      <c r="Q184" s="34">
        <f t="shared" si="79"/>
        <v>125.36920246343925</v>
      </c>
      <c r="R184" s="34">
        <f t="shared" si="79"/>
        <v>72.3176001046213</v>
      </c>
      <c r="S184" s="34">
        <f t="shared" si="79"/>
        <v>54.79254337441762</v>
      </c>
      <c r="T184" s="34">
        <f t="shared" si="79"/>
        <v>55.2856762647898</v>
      </c>
      <c r="U184" s="34">
        <f t="shared" si="79"/>
        <v>55.78324735117258</v>
      </c>
      <c r="V184" s="35">
        <f t="shared" si="79"/>
        <v>56.28529657733361</v>
      </c>
      <c r="X184" s="34"/>
      <c r="Y184" s="34"/>
      <c r="Z184" s="13"/>
    </row>
    <row r="185" spans="1:26" ht="12">
      <c r="A185" s="85" t="s">
        <v>30</v>
      </c>
      <c r="B185" s="34">
        <f>NPV($B$65,F185:V185)+E185+D185/(1+$B$65)^D$2+C185/(1+$B$65)^C$2</f>
        <v>85897.03198507792</v>
      </c>
      <c r="C185" s="34">
        <f>C74</f>
        <v>1548.3</v>
      </c>
      <c r="D185" s="34">
        <f aca="true" t="shared" si="80" ref="D185:V185">D74</f>
        <v>14041.6</v>
      </c>
      <c r="E185" s="34">
        <f t="shared" si="80"/>
        <v>38585</v>
      </c>
      <c r="F185" s="34">
        <f t="shared" si="80"/>
        <v>10376</v>
      </c>
      <c r="G185" s="34">
        <f t="shared" si="80"/>
        <v>1585</v>
      </c>
      <c r="H185" s="34">
        <f t="shared" si="80"/>
        <v>3306.795</v>
      </c>
      <c r="I185" s="34">
        <f t="shared" si="80"/>
        <v>3405.99885</v>
      </c>
      <c r="J185" s="34">
        <f t="shared" si="80"/>
        <v>3508.1788155</v>
      </c>
      <c r="K185" s="34">
        <f t="shared" si="80"/>
        <v>3613.424179965</v>
      </c>
      <c r="L185" s="34">
        <f t="shared" si="80"/>
        <v>3721.82690536395</v>
      </c>
      <c r="M185" s="34">
        <f t="shared" si="80"/>
        <v>3833.4817125248687</v>
      </c>
      <c r="N185" s="34">
        <f t="shared" si="80"/>
        <v>3948.486163900615</v>
      </c>
      <c r="O185" s="34">
        <f t="shared" si="80"/>
        <v>4066.9407488176334</v>
      </c>
      <c r="P185" s="34">
        <f t="shared" si="80"/>
        <v>4188.948971282162</v>
      </c>
      <c r="Q185" s="34">
        <f t="shared" si="80"/>
        <v>4314.617440420628</v>
      </c>
      <c r="R185" s="34">
        <f t="shared" si="80"/>
        <v>4444.055963633246</v>
      </c>
      <c r="S185" s="34">
        <f t="shared" si="80"/>
        <v>4577.377642542244</v>
      </c>
      <c r="T185" s="34">
        <f t="shared" si="80"/>
        <v>4714.698971818511</v>
      </c>
      <c r="U185" s="34">
        <f t="shared" si="80"/>
        <v>4856.139940973067</v>
      </c>
      <c r="V185" s="35">
        <f t="shared" si="80"/>
        <v>5001.824139202258</v>
      </c>
      <c r="X185" s="34"/>
      <c r="Y185" s="34"/>
      <c r="Z185" s="13"/>
    </row>
    <row r="186" spans="1:26" ht="12">
      <c r="A186" s="85" t="s">
        <v>31</v>
      </c>
      <c r="B186" s="34">
        <f>NPV($B$65,F186:V186)+E186+D186/(1+$B$65)^D$2+C186/(1+$B$65)^C$2</f>
        <v>223879.07420046395</v>
      </c>
      <c r="C186" s="34">
        <f>SUM(C182:C185)</f>
        <v>1698.3</v>
      </c>
      <c r="D186" s="34">
        <f>SUM(D182:D185)</f>
        <v>14601.6</v>
      </c>
      <c r="E186" s="34">
        <f>SUM(E182:E185)</f>
        <v>39215</v>
      </c>
      <c r="F186" s="34">
        <f aca="true" t="shared" si="81" ref="F186:U186">SUM(F182:F185)</f>
        <v>17941.196969696968</v>
      </c>
      <c r="G186" s="34">
        <f t="shared" si="81"/>
        <v>12091.321482021242</v>
      </c>
      <c r="H186" s="34">
        <f t="shared" si="81"/>
        <v>20898.678952913935</v>
      </c>
      <c r="I186" s="34">
        <f t="shared" si="81"/>
        <v>22611.446718044954</v>
      </c>
      <c r="J186" s="34">
        <f t="shared" si="81"/>
        <v>24043.97263592623</v>
      </c>
      <c r="K186" s="34">
        <f t="shared" si="81"/>
        <v>24506.553315686775</v>
      </c>
      <c r="L186" s="34">
        <f t="shared" si="81"/>
        <v>25247.34718926588</v>
      </c>
      <c r="M186" s="34">
        <f t="shared" si="81"/>
        <v>31387.458199950186</v>
      </c>
      <c r="N186" s="34">
        <f t="shared" si="81"/>
        <v>32450.235530864098</v>
      </c>
      <c r="O186" s="34">
        <f t="shared" si="81"/>
        <v>33574.61891412708</v>
      </c>
      <c r="P186" s="34">
        <f t="shared" si="81"/>
        <v>34450.23731219934</v>
      </c>
      <c r="Q186" s="34">
        <f t="shared" si="81"/>
        <v>35349.359547491564</v>
      </c>
      <c r="R186" s="34">
        <f t="shared" si="81"/>
        <v>36090.68758243744</v>
      </c>
      <c r="S186" s="34">
        <f t="shared" si="81"/>
        <v>36846.61313228255</v>
      </c>
      <c r="T186" s="34">
        <f t="shared" si="81"/>
        <v>37641.145291284476</v>
      </c>
      <c r="U186" s="34">
        <f t="shared" si="81"/>
        <v>38456.86442471675</v>
      </c>
      <c r="V186" s="35">
        <f>SUM(V182:V185)</f>
        <v>39294.382300899226</v>
      </c>
      <c r="X186" s="34"/>
      <c r="Y186" s="34"/>
      <c r="Z186" s="13"/>
    </row>
    <row r="187" spans="1:26" ht="12">
      <c r="A187" s="85"/>
      <c r="B187" s="14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2"/>
      <c r="X187" s="34"/>
      <c r="Y187" s="13"/>
      <c r="Z187" s="13"/>
    </row>
    <row r="188" spans="1:26" s="1" customFormat="1" ht="12.75" thickBot="1">
      <c r="A188" s="137" t="s">
        <v>33</v>
      </c>
      <c r="B188" s="145">
        <f>NPV($B$65,F188:V188)+E188+D188/(1+$B$65)^D$2+C188/(1+$B$65)^C$2</f>
        <v>45903.79074795574</v>
      </c>
      <c r="C188" s="122">
        <f aca="true" t="shared" si="82" ref="C188:V188">C180-C186</f>
        <v>-1698.3</v>
      </c>
      <c r="D188" s="122">
        <f t="shared" si="82"/>
        <v>-14601.6</v>
      </c>
      <c r="E188" s="122">
        <f t="shared" si="82"/>
        <v>-39215</v>
      </c>
      <c r="F188" s="122">
        <f t="shared" si="82"/>
        <v>-15370.162363511401</v>
      </c>
      <c r="G188" s="122">
        <f t="shared" si="82"/>
        <v>4739.149291174632</v>
      </c>
      <c r="H188" s="122">
        <f t="shared" si="82"/>
        <v>12329.104615367316</v>
      </c>
      <c r="I188" s="122">
        <f t="shared" si="82"/>
        <v>17010.580760837776</v>
      </c>
      <c r="J188" s="122">
        <f t="shared" si="82"/>
        <v>20096.59747079825</v>
      </c>
      <c r="K188" s="122">
        <f t="shared" si="82"/>
        <v>21935.947522103394</v>
      </c>
      <c r="L188" s="122">
        <f t="shared" si="82"/>
        <v>23617.02661159926</v>
      </c>
      <c r="M188" s="122">
        <f t="shared" si="82"/>
        <v>18880.374163258584</v>
      </c>
      <c r="N188" s="122">
        <f t="shared" si="82"/>
        <v>18888.301661681013</v>
      </c>
      <c r="O188" s="122">
        <f t="shared" si="82"/>
        <v>18857.429120619243</v>
      </c>
      <c r="P188" s="122">
        <f t="shared" si="82"/>
        <v>19098.613345687096</v>
      </c>
      <c r="Q188" s="122">
        <f t="shared" si="82"/>
        <v>19339.211132789773</v>
      </c>
      <c r="R188" s="122">
        <f t="shared" si="82"/>
        <v>19255.315826067723</v>
      </c>
      <c r="S188" s="122">
        <f t="shared" si="82"/>
        <v>18997.504306899136</v>
      </c>
      <c r="T188" s="122">
        <f t="shared" si="82"/>
        <v>18705.569204849853</v>
      </c>
      <c r="U188" s="122">
        <f t="shared" si="82"/>
        <v>18396.970501882788</v>
      </c>
      <c r="V188" s="47">
        <f t="shared" si="82"/>
        <v>198782.50854043628</v>
      </c>
      <c r="X188" s="70"/>
      <c r="Y188" s="40"/>
      <c r="Z188" s="40"/>
    </row>
    <row r="189" spans="6:26" s="1" customFormat="1" ht="12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X189" s="70"/>
      <c r="Y189" s="40"/>
      <c r="Z189" s="40"/>
    </row>
    <row r="190" spans="1:26" s="1" customFormat="1" ht="12">
      <c r="A190" s="1" t="s">
        <v>300</v>
      </c>
      <c r="C190" s="34">
        <f>C188/(1+$B$65)^C2</f>
        <v>-2180.0890287000007</v>
      </c>
      <c r="D190" s="34">
        <f aca="true" t="shared" si="83" ref="D190:V190">D188/(1+$B$65)^D2</f>
        <v>-16543.612800000003</v>
      </c>
      <c r="E190" s="34">
        <f t="shared" si="83"/>
        <v>-39215</v>
      </c>
      <c r="F190" s="34">
        <f t="shared" si="83"/>
        <v>-13565.897937785876</v>
      </c>
      <c r="G190" s="34">
        <f t="shared" si="83"/>
        <v>3691.8204418473865</v>
      </c>
      <c r="H190" s="34">
        <f t="shared" si="83"/>
        <v>8476.992679223093</v>
      </c>
      <c r="I190" s="34">
        <f t="shared" si="83"/>
        <v>10322.84726694089</v>
      </c>
      <c r="J190" s="34">
        <f t="shared" si="83"/>
        <v>10763.982536304105</v>
      </c>
      <c r="K190" s="34">
        <f t="shared" si="83"/>
        <v>10369.95661182448</v>
      </c>
      <c r="L190" s="34">
        <f t="shared" si="83"/>
        <v>9854.074694095629</v>
      </c>
      <c r="M190" s="34">
        <f t="shared" si="83"/>
        <v>6952.985405712464</v>
      </c>
      <c r="N190" s="34">
        <f t="shared" si="83"/>
        <v>6139.368780028731</v>
      </c>
      <c r="O190" s="34">
        <f t="shared" si="83"/>
        <v>5409.827103153513</v>
      </c>
      <c r="P190" s="34">
        <f t="shared" si="83"/>
        <v>4835.850074029693</v>
      </c>
      <c r="Q190" s="34">
        <f t="shared" si="83"/>
        <v>4321.9509764675095</v>
      </c>
      <c r="R190" s="34">
        <f t="shared" si="83"/>
        <v>3798.059972544094</v>
      </c>
      <c r="S190" s="34">
        <f t="shared" si="83"/>
        <v>3307.332157303982</v>
      </c>
      <c r="T190" s="34">
        <f t="shared" si="83"/>
        <v>2874.235044232126</v>
      </c>
      <c r="U190" s="34">
        <f t="shared" si="83"/>
        <v>2494.983938451763</v>
      </c>
      <c r="V190" s="34">
        <f t="shared" si="83"/>
        <v>23794.12283228216</v>
      </c>
      <c r="X190" s="40"/>
      <c r="Y190" s="40"/>
      <c r="Z190" s="40"/>
    </row>
    <row r="191" spans="1:22" ht="12">
      <c r="A191" s="18" t="s">
        <v>32</v>
      </c>
      <c r="B191" s="17">
        <f>SUM(C190:V190)</f>
        <v>45903.79074795573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">
      <c r="A192" s="18" t="s">
        <v>265</v>
      </c>
      <c r="B192" s="127">
        <f>IRR(C188:V188,10%)</f>
        <v>0.1978401907464962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">
      <c r="A193" s="18" t="s">
        <v>266</v>
      </c>
      <c r="B193" s="127">
        <f>(1+B192)/(1+$B$5)-1</f>
        <v>0.16295164150145247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">
      <c r="A194" s="18" t="s">
        <v>301</v>
      </c>
      <c r="B194" s="125">
        <f>8-SUM(C188:J188)/K188</f>
        <v>8.76174645332718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">
      <c r="A195" s="18" t="s">
        <v>302</v>
      </c>
      <c r="B195" s="125">
        <f>12-SUM(C190:N190)/O190</f>
        <v>12.911779851085036</v>
      </c>
      <c r="C195" s="6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">
      <c r="A197" s="1" t="s">
        <v>303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">
      <c r="A198" s="2" t="s">
        <v>304</v>
      </c>
      <c r="B198" s="4"/>
      <c r="C198" s="4">
        <f>C188</f>
        <v>-1698.3</v>
      </c>
      <c r="D198" s="4">
        <f aca="true" t="shared" si="84" ref="D198:V198">D188</f>
        <v>-14601.6</v>
      </c>
      <c r="E198" s="4">
        <f t="shared" si="84"/>
        <v>-39215</v>
      </c>
      <c r="F198" s="4">
        <f t="shared" si="84"/>
        <v>-15370.162363511401</v>
      </c>
      <c r="G198" s="4">
        <f t="shared" si="84"/>
        <v>4739.149291174632</v>
      </c>
      <c r="H198" s="4">
        <f t="shared" si="84"/>
        <v>12329.104615367316</v>
      </c>
      <c r="I198" s="4">
        <f t="shared" si="84"/>
        <v>17010.580760837776</v>
      </c>
      <c r="J198" s="4">
        <f t="shared" si="84"/>
        <v>20096.59747079825</v>
      </c>
      <c r="K198" s="4">
        <f t="shared" si="84"/>
        <v>21935.947522103394</v>
      </c>
      <c r="L198" s="4">
        <f t="shared" si="84"/>
        <v>23617.02661159926</v>
      </c>
      <c r="M198" s="4">
        <f t="shared" si="84"/>
        <v>18880.374163258584</v>
      </c>
      <c r="N198" s="4">
        <f t="shared" si="84"/>
        <v>18888.301661681013</v>
      </c>
      <c r="O198" s="4">
        <f t="shared" si="84"/>
        <v>18857.429120619243</v>
      </c>
      <c r="P198" s="4">
        <f t="shared" si="84"/>
        <v>19098.613345687096</v>
      </c>
      <c r="Q198" s="4">
        <f t="shared" si="84"/>
        <v>19339.211132789773</v>
      </c>
      <c r="R198" s="4">
        <f t="shared" si="84"/>
        <v>19255.315826067723</v>
      </c>
      <c r="S198" s="4">
        <f t="shared" si="84"/>
        <v>18997.504306899136</v>
      </c>
      <c r="T198" s="4">
        <f t="shared" si="84"/>
        <v>18705.569204849853</v>
      </c>
      <c r="U198" s="4">
        <f t="shared" si="84"/>
        <v>18396.970501882788</v>
      </c>
      <c r="V198" s="4">
        <f t="shared" si="84"/>
        <v>198782.50854043628</v>
      </c>
    </row>
    <row r="199" spans="1:22" ht="12">
      <c r="A199" s="2" t="s">
        <v>127</v>
      </c>
      <c r="B199" s="4"/>
      <c r="C199" s="4">
        <f>C101</f>
        <v>0</v>
      </c>
      <c r="D199" s="4">
        <f aca="true" t="shared" si="85" ref="D199:V199">D101</f>
        <v>0</v>
      </c>
      <c r="E199" s="4">
        <f t="shared" si="85"/>
        <v>0</v>
      </c>
      <c r="F199" s="4">
        <f t="shared" si="85"/>
        <v>0</v>
      </c>
      <c r="G199" s="4">
        <f t="shared" si="85"/>
        <v>65000</v>
      </c>
      <c r="H199" s="4">
        <f t="shared" si="85"/>
        <v>-5593.749999999996</v>
      </c>
      <c r="I199" s="4">
        <f t="shared" si="85"/>
        <v>-9684.659090909088</v>
      </c>
      <c r="J199" s="4">
        <f t="shared" si="85"/>
        <v>-15648.358585858583</v>
      </c>
      <c r="K199" s="4">
        <f t="shared" si="85"/>
        <v>-16977.272727272724</v>
      </c>
      <c r="L199" s="4">
        <f t="shared" si="85"/>
        <v>-15889.5202020202</v>
      </c>
      <c r="M199" s="4">
        <f t="shared" si="85"/>
        <v>-14801.767676767675</v>
      </c>
      <c r="N199" s="4">
        <f t="shared" si="85"/>
        <v>-13714.01515151515</v>
      </c>
      <c r="O199" s="4">
        <f t="shared" si="85"/>
        <v>0</v>
      </c>
      <c r="P199" s="4">
        <f t="shared" si="85"/>
        <v>0</v>
      </c>
      <c r="Q199" s="4">
        <f t="shared" si="85"/>
        <v>0</v>
      </c>
      <c r="R199" s="4">
        <f t="shared" si="85"/>
        <v>0</v>
      </c>
      <c r="S199" s="4">
        <f t="shared" si="85"/>
        <v>0</v>
      </c>
      <c r="T199" s="4">
        <f t="shared" si="85"/>
        <v>0</v>
      </c>
      <c r="U199" s="4">
        <f t="shared" si="85"/>
        <v>0</v>
      </c>
      <c r="V199" s="4">
        <f t="shared" si="85"/>
        <v>0</v>
      </c>
    </row>
    <row r="200" spans="1:22" ht="12">
      <c r="A200" s="1" t="s">
        <v>305</v>
      </c>
      <c r="B200" s="17"/>
      <c r="C200" s="17">
        <f>C198+C199</f>
        <v>-1698.3</v>
      </c>
      <c r="D200" s="17">
        <f aca="true" t="shared" si="86" ref="D200:V200">D198+D199</f>
        <v>-14601.6</v>
      </c>
      <c r="E200" s="17">
        <f t="shared" si="86"/>
        <v>-39215</v>
      </c>
      <c r="F200" s="17">
        <f t="shared" si="86"/>
        <v>-15370.162363511401</v>
      </c>
      <c r="G200" s="17">
        <f t="shared" si="86"/>
        <v>69739.14929117463</v>
      </c>
      <c r="H200" s="17">
        <f t="shared" si="86"/>
        <v>6735.35461536732</v>
      </c>
      <c r="I200" s="17">
        <f t="shared" si="86"/>
        <v>7325.921669928688</v>
      </c>
      <c r="J200" s="17">
        <f t="shared" si="86"/>
        <v>4448.238884939667</v>
      </c>
      <c r="K200" s="17">
        <f t="shared" si="86"/>
        <v>4958.674794830669</v>
      </c>
      <c r="L200" s="17">
        <f t="shared" si="86"/>
        <v>7727.50640957906</v>
      </c>
      <c r="M200" s="17">
        <f t="shared" si="86"/>
        <v>4078.6064864909094</v>
      </c>
      <c r="N200" s="17">
        <f t="shared" si="86"/>
        <v>5174.286510165863</v>
      </c>
      <c r="O200" s="17">
        <f t="shared" si="86"/>
        <v>18857.429120619243</v>
      </c>
      <c r="P200" s="17">
        <f t="shared" si="86"/>
        <v>19098.613345687096</v>
      </c>
      <c r="Q200" s="17">
        <f t="shared" si="86"/>
        <v>19339.211132789773</v>
      </c>
      <c r="R200" s="17">
        <f t="shared" si="86"/>
        <v>19255.315826067723</v>
      </c>
      <c r="S200" s="17">
        <f t="shared" si="86"/>
        <v>18997.504306899136</v>
      </c>
      <c r="T200" s="17">
        <f t="shared" si="86"/>
        <v>18705.569204849853</v>
      </c>
      <c r="U200" s="17">
        <f t="shared" si="86"/>
        <v>18396.970501882788</v>
      </c>
      <c r="V200" s="17">
        <f t="shared" si="86"/>
        <v>198782.50854043628</v>
      </c>
    </row>
    <row r="201" spans="2:22" ht="1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">
      <c r="A202" s="18" t="s">
        <v>265</v>
      </c>
      <c r="B202" s="19">
        <f>IRR(C200:V200)</f>
        <v>0.23915491488766866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">
      <c r="A203" s="18" t="s">
        <v>266</v>
      </c>
      <c r="B203" s="127">
        <f>(1+B202)/(1+$B$5)-1</f>
        <v>0.2030630241627851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">
      <c r="A204" s="18" t="s">
        <v>301</v>
      </c>
      <c r="B204" s="125">
        <f>5-SUM(C200:G200)/H200</f>
        <v>5.170134037148136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">
      <c r="A205" s="18"/>
      <c r="B205" s="12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2:22" ht="12.75" thickBo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 thickBot="1">
      <c r="A207" s="200" t="s">
        <v>251</v>
      </c>
      <c r="B207" s="201"/>
      <c r="C207" s="201"/>
      <c r="D207" s="201"/>
      <c r="E207" s="201"/>
      <c r="F207" s="201"/>
      <c r="G207" s="201"/>
      <c r="H207" s="202">
        <f aca="true" t="shared" si="87" ref="H207:N207">-H188/H101</f>
        <v>2.2040857412947172</v>
      </c>
      <c r="I207" s="202">
        <f t="shared" si="87"/>
        <v>1.7564460040524783</v>
      </c>
      <c r="J207" s="202">
        <f t="shared" si="87"/>
        <v>1.2842623308082637</v>
      </c>
      <c r="K207" s="202">
        <f t="shared" si="87"/>
        <v>1.2920772302176031</v>
      </c>
      <c r="L207" s="202">
        <f t="shared" si="87"/>
        <v>1.4863272340090283</v>
      </c>
      <c r="M207" s="202">
        <f t="shared" si="87"/>
        <v>1.2755486084876568</v>
      </c>
      <c r="N207" s="202">
        <f t="shared" si="87"/>
        <v>1.377299168259574</v>
      </c>
      <c r="O207" s="201"/>
      <c r="P207" s="201"/>
      <c r="Q207" s="201"/>
      <c r="R207" s="201"/>
      <c r="S207" s="201"/>
      <c r="T207" s="201"/>
      <c r="U207" s="201"/>
      <c r="V207" s="203"/>
    </row>
    <row r="208" spans="2:23" ht="12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68"/>
    </row>
    <row r="209" spans="2:22" ht="1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">
      <c r="A210" s="1" t="s">
        <v>288</v>
      </c>
      <c r="F210" s="20"/>
      <c r="G210" s="146" t="s">
        <v>293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68"/>
    </row>
    <row r="211" spans="2:22" ht="12">
      <c r="B211" s="3"/>
      <c r="C211" s="190" t="s">
        <v>290</v>
      </c>
      <c r="D211" s="191"/>
      <c r="E211" s="191"/>
      <c r="F211" s="191"/>
      <c r="G211" s="192"/>
      <c r="H211" s="2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4"/>
    </row>
    <row r="212" spans="2:22" ht="12">
      <c r="B212" s="4"/>
      <c r="C212" s="170">
        <v>0.02</v>
      </c>
      <c r="D212" s="171">
        <v>0.05</v>
      </c>
      <c r="E212" s="171">
        <v>0.07</v>
      </c>
      <c r="F212" s="171">
        <v>0.09</v>
      </c>
      <c r="G212" s="172">
        <v>0.053413149729955714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1"/>
    </row>
    <row r="213" spans="1:22" ht="12">
      <c r="A213" s="24" t="s">
        <v>32</v>
      </c>
      <c r="B213" s="4">
        <f>$B$188</f>
        <v>45903.79074795574</v>
      </c>
      <c r="C213" s="99">
        <f t="dataTable" ref="C213:G215" dt2D="0" dtr="1" r1="B5"/>
        <v>70358.13354717685</v>
      </c>
      <c r="D213" s="34">
        <v>5847.180918832317</v>
      </c>
      <c r="E213" s="34">
        <v>-25072.670542468368</v>
      </c>
      <c r="F213" s="34">
        <v>-49236.41344126686</v>
      </c>
      <c r="G213" s="151">
        <v>-0.000146977266012982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">
      <c r="A214" s="24" t="s">
        <v>266</v>
      </c>
      <c r="B214" s="11">
        <f>$B$193</f>
        <v>0.16295164150145247</v>
      </c>
      <c r="C214" s="152">
        <v>0.18513367651606427</v>
      </c>
      <c r="D214" s="153">
        <v>0.11081557022508104</v>
      </c>
      <c r="E214" s="153">
        <v>0.01843812818261692</v>
      </c>
      <c r="F214" s="153" t="e">
        <v>#DIV/0!</v>
      </c>
      <c r="G214" s="154">
        <v>0.09999999971031248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">
      <c r="A215" s="24" t="s">
        <v>289</v>
      </c>
      <c r="B215" s="67">
        <f>MIN($H$207:$N$207)</f>
        <v>1.2755486084876568</v>
      </c>
      <c r="C215" s="155">
        <v>1.3798013707913996</v>
      </c>
      <c r="D215" s="156">
        <v>1.0621450815383926</v>
      </c>
      <c r="E215" s="156">
        <v>0.8408634640846727</v>
      </c>
      <c r="F215" s="156">
        <v>0.535033010310249</v>
      </c>
      <c r="G215" s="157">
        <v>1.0249838706729653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">
      <c r="A216" s="24"/>
      <c r="B216" s="67"/>
      <c r="C216" s="67"/>
      <c r="D216" s="67"/>
      <c r="E216" s="67"/>
      <c r="F216" s="67"/>
      <c r="G216" s="148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">
      <c r="A217" s="24"/>
      <c r="B217" s="67"/>
      <c r="C217" s="193" t="s">
        <v>294</v>
      </c>
      <c r="D217" s="194"/>
      <c r="E217" s="194"/>
      <c r="F217" s="194"/>
      <c r="G217" s="19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">
      <c r="A218" s="24"/>
      <c r="B218" s="67"/>
      <c r="C218" s="173">
        <v>0.02</v>
      </c>
      <c r="D218" s="174">
        <v>0.03</v>
      </c>
      <c r="E218" s="174">
        <v>0.04</v>
      </c>
      <c r="F218" s="174">
        <v>0.06</v>
      </c>
      <c r="G218" s="172">
        <v>0.07312756525035552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">
      <c r="A219" s="24" t="s">
        <v>289</v>
      </c>
      <c r="B219" s="67">
        <f>MIN($H$207:$N$207)</f>
        <v>1.2755486084876568</v>
      </c>
      <c r="C219" s="155">
        <f t="dataTable" ref="C219:G219" dt2D="0" dtr="1" r1="B7"/>
        <v>1.3406746200944206</v>
      </c>
      <c r="D219" s="156">
        <v>1.3212382016662925</v>
      </c>
      <c r="E219" s="156">
        <v>1.3024823896787885</v>
      </c>
      <c r="F219" s="156">
        <v>1.2597453993266332</v>
      </c>
      <c r="G219" s="157">
        <v>1.1996183817938852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">
      <c r="A220" s="24"/>
      <c r="B220" s="67"/>
      <c r="C220" s="67"/>
      <c r="D220" s="67"/>
      <c r="E220" s="67"/>
      <c r="F220" s="67"/>
      <c r="G220" s="148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2:22" ht="12">
      <c r="B221" s="4"/>
      <c r="C221" s="165" t="s">
        <v>268</v>
      </c>
      <c r="D221" s="166"/>
      <c r="E221" s="4"/>
      <c r="F221" s="4"/>
      <c r="G221" s="14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2">
      <c r="B222" s="4"/>
      <c r="C222" s="159" t="s">
        <v>273</v>
      </c>
      <c r="D222" s="160" t="s">
        <v>272</v>
      </c>
      <c r="F222" s="4"/>
      <c r="G222" s="147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12">
      <c r="B223" s="4"/>
      <c r="C223" s="161">
        <v>2</v>
      </c>
      <c r="D223" s="162">
        <v>3</v>
      </c>
      <c r="F223" s="4"/>
      <c r="G223" s="147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">
      <c r="A224" s="24" t="s">
        <v>32</v>
      </c>
      <c r="B224" s="4">
        <f>$B$188</f>
        <v>45903.79074795574</v>
      </c>
      <c r="C224" s="99">
        <f t="dataTable" ref="C224:D227" dt2D="0" dtr="1" r1="B13"/>
        <v>30784.53583548133</v>
      </c>
      <c r="D224" s="94">
        <v>-1799.8799448990617</v>
      </c>
      <c r="E224" s="4"/>
      <c r="F224" s="4"/>
      <c r="G224" s="14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">
      <c r="A225" s="24" t="s">
        <v>265</v>
      </c>
      <c r="B225" s="11">
        <f>$B$192</f>
        <v>0.1978401907464962</v>
      </c>
      <c r="C225" s="152">
        <v>0.17705454725701839</v>
      </c>
      <c r="D225" s="163">
        <v>0.13013245343976623</v>
      </c>
      <c r="E225" s="4"/>
      <c r="F225" s="4"/>
      <c r="G225" s="147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">
      <c r="A226" s="24" t="s">
        <v>266</v>
      </c>
      <c r="B226" s="11">
        <f>$B$193</f>
        <v>0.16295164150145247</v>
      </c>
      <c r="C226" s="152">
        <v>0.1427714051039013</v>
      </c>
      <c r="D226" s="163">
        <v>0.09721597421336536</v>
      </c>
      <c r="E226" s="17"/>
      <c r="F226" s="17"/>
      <c r="G226" s="149"/>
      <c r="H226" s="1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">
      <c r="A227" s="24" t="s">
        <v>289</v>
      </c>
      <c r="B227" s="67">
        <f>MIN($H$207:$N$207)</f>
        <v>1.2755486084876568</v>
      </c>
      <c r="C227" s="155">
        <v>0.9822574406587106</v>
      </c>
      <c r="D227" s="164">
        <v>0.6906243946863766</v>
      </c>
      <c r="E227" s="8"/>
      <c r="F227" s="8"/>
      <c r="G227" s="150"/>
      <c r="H227" s="8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2:22" ht="12">
      <c r="B228" s="8"/>
      <c r="C228" s="8"/>
      <c r="D228" s="8"/>
      <c r="E228" s="8"/>
      <c r="F228" s="8"/>
      <c r="G228" s="150"/>
      <c r="H228" s="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2:22" ht="12">
      <c r="B229" s="4"/>
      <c r="C229" s="196" t="s">
        <v>292</v>
      </c>
      <c r="D229" s="197"/>
      <c r="E229" s="197"/>
      <c r="F229" s="197"/>
      <c r="G229" s="198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2:22" ht="12">
      <c r="B230" s="4"/>
      <c r="C230" s="167">
        <v>0.1</v>
      </c>
      <c r="D230" s="168">
        <v>0.2</v>
      </c>
      <c r="E230" s="168">
        <v>0.3</v>
      </c>
      <c r="F230" s="168">
        <v>1</v>
      </c>
      <c r="G230" s="169">
        <v>0.5257780800904109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">
      <c r="A231" s="24" t="s">
        <v>32</v>
      </c>
      <c r="B231" s="4">
        <f>$B$188</f>
        <v>45903.79074795574</v>
      </c>
      <c r="C231" s="99">
        <f t="dataTable" ref="C231:G234" dt2D="0" dtr="1" r1="B18"/>
        <v>37173.15086657037</v>
      </c>
      <c r="D231" s="34">
        <v>28442.510985184996</v>
      </c>
      <c r="E231" s="34">
        <v>19711.871103799618</v>
      </c>
      <c r="F231" s="34">
        <v>-41402.60806589798</v>
      </c>
      <c r="G231" s="151">
        <v>-1.318767317570746E-11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">
      <c r="A232" s="24" t="s">
        <v>265</v>
      </c>
      <c r="B232" s="11">
        <f>$B$192</f>
        <v>0.1978401907464962</v>
      </c>
      <c r="C232" s="152">
        <v>0.18270762901830173</v>
      </c>
      <c r="D232" s="153">
        <v>0.16918027932417953</v>
      </c>
      <c r="E232" s="153">
        <v>0.1569520525781033</v>
      </c>
      <c r="F232" s="153">
        <v>0.09346393011536404</v>
      </c>
      <c r="G232" s="154">
        <v>0.13299999999999712</v>
      </c>
      <c r="H232" s="1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">
      <c r="A233" s="24" t="s">
        <v>266</v>
      </c>
      <c r="B233" s="11">
        <f>$B$193</f>
        <v>0.16295164150145247</v>
      </c>
      <c r="C233" s="152">
        <v>0.14825983399835096</v>
      </c>
      <c r="D233" s="153">
        <v>0.13512648478075673</v>
      </c>
      <c r="E233" s="153">
        <v>0.12325441997874087</v>
      </c>
      <c r="F233" s="153">
        <v>0.06161546613142144</v>
      </c>
      <c r="G233" s="154">
        <v>0.0999999999999972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">
      <c r="A234" s="24" t="s">
        <v>289</v>
      </c>
      <c r="B234" s="67">
        <f>MIN($H$207:$N$207)</f>
        <v>1.2755486084876568</v>
      </c>
      <c r="C234" s="155">
        <v>1.2567175456949717</v>
      </c>
      <c r="D234" s="156">
        <v>1.2378864829022862</v>
      </c>
      <c r="E234" s="156">
        <v>1.217005842603737</v>
      </c>
      <c r="F234" s="156">
        <v>1.0600740367931751</v>
      </c>
      <c r="G234" s="157">
        <v>1.1663890400022658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2:22" ht="12">
      <c r="B235" s="4"/>
      <c r="C235" s="4"/>
      <c r="D235" s="4"/>
      <c r="E235" s="4"/>
      <c r="F235" s="4"/>
      <c r="G235" s="147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2:22" ht="12">
      <c r="B236" s="4"/>
      <c r="C236" s="158" t="s">
        <v>253</v>
      </c>
      <c r="D236" s="92"/>
      <c r="E236" s="4"/>
      <c r="F236" s="4"/>
      <c r="G236" s="147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2:22" ht="12">
      <c r="B237" s="4"/>
      <c r="C237" s="159" t="s">
        <v>278</v>
      </c>
      <c r="D237" s="160" t="s">
        <v>279</v>
      </c>
      <c r="E237" s="4"/>
      <c r="F237" s="4"/>
      <c r="G237" s="147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2:22" ht="12">
      <c r="B238" s="4"/>
      <c r="C238" s="175">
        <v>2</v>
      </c>
      <c r="D238" s="189">
        <v>3</v>
      </c>
      <c r="E238" s="4"/>
      <c r="F238" s="4"/>
      <c r="G238" s="147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">
      <c r="A239" s="24" t="s">
        <v>32</v>
      </c>
      <c r="B239" s="4">
        <f>$B$188</f>
        <v>45903.79074795574</v>
      </c>
      <c r="C239" s="99">
        <f t="dataTable" ref="C239:D242" dt2D="0" dtr="1" r1="B34"/>
        <v>11241.63110022674</v>
      </c>
      <c r="D239" s="94">
        <v>-37306.74772673904</v>
      </c>
      <c r="E239" s="4"/>
      <c r="F239" s="4"/>
      <c r="G239" s="147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">
      <c r="A240" s="24" t="s">
        <v>265</v>
      </c>
      <c r="B240" s="11">
        <f>$B$192</f>
        <v>0.1978401907464962</v>
      </c>
      <c r="C240" s="152">
        <v>0.14757333577624662</v>
      </c>
      <c r="D240" s="163">
        <v>0.05723224365837483</v>
      </c>
      <c r="E240" s="4"/>
      <c r="F240" s="4"/>
      <c r="G240" s="147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">
      <c r="A241" s="24" t="s">
        <v>266</v>
      </c>
      <c r="B241" s="11">
        <f>$B$193</f>
        <v>0.16295164150145247</v>
      </c>
      <c r="C241" s="152">
        <v>0.11414886968567628</v>
      </c>
      <c r="D241" s="163">
        <v>0.02643907151298519</v>
      </c>
      <c r="E241" s="17"/>
      <c r="F241" s="17"/>
      <c r="G241" s="149"/>
      <c r="H241" s="1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">
      <c r="A242" s="24" t="s">
        <v>289</v>
      </c>
      <c r="B242" s="67">
        <f>MIN($H$207:$N$207)</f>
        <v>1.2755486084876568</v>
      </c>
      <c r="C242" s="155">
        <v>0.1984721628631445</v>
      </c>
      <c r="D242" s="164">
        <v>0.1984721628631445</v>
      </c>
      <c r="E242" s="8"/>
      <c r="F242" s="8"/>
      <c r="G242" s="150"/>
      <c r="H242" s="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2:22" ht="12">
      <c r="B243" s="8"/>
      <c r="C243" s="8"/>
      <c r="D243" s="8"/>
      <c r="E243" s="8"/>
      <c r="F243" s="8"/>
      <c r="G243" s="150"/>
      <c r="H243" s="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2:22" ht="12">
      <c r="B244" s="4"/>
      <c r="C244" s="190" t="s">
        <v>252</v>
      </c>
      <c r="D244" s="191"/>
      <c r="E244" s="191"/>
      <c r="F244" s="191"/>
      <c r="G244" s="19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2:22" ht="12">
      <c r="B245" s="4"/>
      <c r="C245" s="175">
        <v>40</v>
      </c>
      <c r="D245" s="176">
        <v>45</v>
      </c>
      <c r="E245" s="176">
        <v>55</v>
      </c>
      <c r="F245" s="176">
        <v>60</v>
      </c>
      <c r="G245" s="177">
        <v>36.248121488845804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">
      <c r="A246" s="24" t="s">
        <v>32</v>
      </c>
      <c r="B246" s="4">
        <f>$B$188</f>
        <v>45903.79074795574</v>
      </c>
      <c r="C246" s="99">
        <f t="dataTable" ref="C246:G249" dt2D="0" dtr="1" r1="B37"/>
        <v>12523.776002535313</v>
      </c>
      <c r="D246" s="34">
        <v>29213.78337524551</v>
      </c>
      <c r="E246" s="34">
        <v>62593.79812066597</v>
      </c>
      <c r="F246" s="34">
        <v>79283.8054933762</v>
      </c>
      <c r="G246" s="151">
        <v>-7.73070496506989E-12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">
      <c r="A247" s="24" t="s">
        <v>265</v>
      </c>
      <c r="B247" s="11">
        <f>$B$192</f>
        <v>0.1978401907464962</v>
      </c>
      <c r="C247" s="152">
        <v>0.1525748045728855</v>
      </c>
      <c r="D247" s="153">
        <v>0.17623351250989638</v>
      </c>
      <c r="E247" s="153">
        <v>0.21789409004022903</v>
      </c>
      <c r="F247" s="153">
        <v>0.23672191487907832</v>
      </c>
      <c r="G247" s="154">
        <v>0.13299999999999723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">
      <c r="A248" s="24" t="s">
        <v>266</v>
      </c>
      <c r="B248" s="11">
        <f>$B$193</f>
        <v>0.16295164150145247</v>
      </c>
      <c r="C248" s="152">
        <v>0.11900466463386938</v>
      </c>
      <c r="D248" s="153">
        <v>0.14197428399019074</v>
      </c>
      <c r="E248" s="153">
        <v>0.18242144664099902</v>
      </c>
      <c r="F248" s="153">
        <v>0.20070088823211485</v>
      </c>
      <c r="G248" s="154">
        <v>0.09999999999999742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">
      <c r="A249" s="24" t="s">
        <v>289</v>
      </c>
      <c r="B249" s="67">
        <f>MIN($H$207:$N$207)</f>
        <v>1.2755486084876568</v>
      </c>
      <c r="C249" s="155">
        <v>0.9285030039296873</v>
      </c>
      <c r="D249" s="156">
        <v>1.1063826673689758</v>
      </c>
      <c r="E249" s="156">
        <v>1.4416834328035737</v>
      </c>
      <c r="F249" s="156">
        <v>1.60781825711949</v>
      </c>
      <c r="G249" s="157">
        <v>0.7950264265638459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2:7" ht="12">
      <c r="B250" s="8"/>
      <c r="G250" s="66"/>
    </row>
    <row r="251" spans="3:7" ht="12">
      <c r="C251" s="190" t="s">
        <v>3</v>
      </c>
      <c r="D251" s="191"/>
      <c r="E251" s="191"/>
      <c r="F251" s="191"/>
      <c r="G251" s="192"/>
    </row>
    <row r="252" spans="3:7" ht="12">
      <c r="C252" s="178">
        <v>0.08</v>
      </c>
      <c r="D252" s="179">
        <v>0.09</v>
      </c>
      <c r="E252" s="179">
        <v>0.1</v>
      </c>
      <c r="F252" s="179">
        <v>0.11</v>
      </c>
      <c r="G252" s="180">
        <v>0.08520974817463099</v>
      </c>
    </row>
    <row r="253" spans="1:7" ht="12">
      <c r="A253" s="24" t="s">
        <v>32</v>
      </c>
      <c r="B253" s="4">
        <f>$B$188</f>
        <v>45903.79074795574</v>
      </c>
      <c r="C253" s="99">
        <f t="dataTable" ref="C253:G256" dt2D="0" dtr="1" r1="B38"/>
        <v>-13442.597238380898</v>
      </c>
      <c r="D253" s="34">
        <v>12360.180146982842</v>
      </c>
      <c r="E253" s="34">
        <v>38162.95753234665</v>
      </c>
      <c r="F253" s="34">
        <v>63965.73491771038</v>
      </c>
      <c r="G253" s="151">
        <v>-1.5006662579253316E-11</v>
      </c>
    </row>
    <row r="254" spans="1:7" ht="12">
      <c r="A254" s="24" t="s">
        <v>265</v>
      </c>
      <c r="B254" s="11">
        <f>$B$192</f>
        <v>0.1978401907464962</v>
      </c>
      <c r="C254" s="152">
        <v>0.10946978375674578</v>
      </c>
      <c r="D254" s="153">
        <v>0.15234889209946806</v>
      </c>
      <c r="E254" s="153">
        <v>0.18804233416885605</v>
      </c>
      <c r="F254" s="153">
        <v>0.21948155502019623</v>
      </c>
      <c r="G254" s="154">
        <v>0.13299999999999737</v>
      </c>
    </row>
    <row r="255" spans="1:7" ht="12">
      <c r="A255" s="24" t="s">
        <v>266</v>
      </c>
      <c r="B255" s="11">
        <f>$B$193</f>
        <v>0.16295164150145247</v>
      </c>
      <c r="C255" s="152">
        <v>0.0771551298609181</v>
      </c>
      <c r="D255" s="153">
        <v>0.11878533213540576</v>
      </c>
      <c r="E255" s="153">
        <v>0.15343915938723884</v>
      </c>
      <c r="F255" s="153">
        <v>0.18396267477688966</v>
      </c>
      <c r="G255" s="154">
        <v>0.09999999999999742</v>
      </c>
    </row>
    <row r="256" spans="1:7" ht="12">
      <c r="A256" s="24" t="s">
        <v>289</v>
      </c>
      <c r="B256" s="67">
        <f>MIN($H$207:$N$207)</f>
        <v>1.2755486084876568</v>
      </c>
      <c r="C256" s="181">
        <v>0.6614722368088419</v>
      </c>
      <c r="D256" s="182">
        <v>0.932250538547721</v>
      </c>
      <c r="E256" s="182">
        <v>1.2016664058461117</v>
      </c>
      <c r="F256" s="182">
        <v>1.4479404146512624</v>
      </c>
      <c r="G256" s="183">
        <v>0.8025409131302228</v>
      </c>
    </row>
    <row r="257" ht="12">
      <c r="G257" s="66"/>
    </row>
    <row r="258" spans="3:7" ht="12">
      <c r="C258" s="190" t="s">
        <v>295</v>
      </c>
      <c r="D258" s="191"/>
      <c r="E258" s="191"/>
      <c r="F258" s="191"/>
      <c r="G258" s="192"/>
    </row>
    <row r="259" spans="3:7" ht="12">
      <c r="C259" s="175">
        <f>200000*0.8</f>
        <v>160000</v>
      </c>
      <c r="D259" s="176">
        <f>200000*0.9</f>
        <v>180000</v>
      </c>
      <c r="E259" s="176">
        <f>200000*1.1</f>
        <v>220000.00000000003</v>
      </c>
      <c r="F259" s="176">
        <f>200000*1.2</f>
        <v>240000</v>
      </c>
      <c r="G259" s="177">
        <v>305520.7290204372</v>
      </c>
    </row>
    <row r="260" spans="1:7" ht="12">
      <c r="A260" s="24" t="s">
        <v>32</v>
      </c>
      <c r="B260" s="4">
        <f>$B$188</f>
        <v>45903.79074795574</v>
      </c>
      <c r="C260" s="99">
        <f t="dataTable" ref="C260:G263" dt2D="0" dtr="1" r1="E39"/>
        <v>63304.65261617318</v>
      </c>
      <c r="D260" s="34">
        <v>54604.22168206446</v>
      </c>
      <c r="E260" s="34">
        <v>37203.35981384702</v>
      </c>
      <c r="F260" s="34">
        <v>28502.928879738312</v>
      </c>
      <c r="G260" s="151">
        <v>-2.955857780762017E-11</v>
      </c>
    </row>
    <row r="261" spans="1:7" ht="12">
      <c r="A261" s="24" t="s">
        <v>265</v>
      </c>
      <c r="B261" s="11">
        <f>$B$192</f>
        <v>0.1978401907464962</v>
      </c>
      <c r="C261" s="152">
        <v>0.2187109250254334</v>
      </c>
      <c r="D261" s="153">
        <v>0.20845537678407908</v>
      </c>
      <c r="E261" s="153">
        <v>0.1868126099823991</v>
      </c>
      <c r="F261" s="153">
        <v>0.17530623961583666</v>
      </c>
      <c r="G261" s="154">
        <v>0.13299999999999756</v>
      </c>
    </row>
    <row r="262" spans="1:7" ht="12">
      <c r="A262" s="24" t="s">
        <v>266</v>
      </c>
      <c r="B262" s="11">
        <f>$B$193</f>
        <v>0.16295164150145247</v>
      </c>
      <c r="C262" s="152">
        <v>0.18321449031595471</v>
      </c>
      <c r="D262" s="153">
        <v>0.1732576473631835</v>
      </c>
      <c r="E262" s="153">
        <v>0.15224525241009612</v>
      </c>
      <c r="F262" s="153">
        <v>0.14107401904450168</v>
      </c>
      <c r="G262" s="154">
        <v>0.09999999999999765</v>
      </c>
    </row>
    <row r="263" spans="1:7" ht="12">
      <c r="A263" s="24" t="s">
        <v>289</v>
      </c>
      <c r="B263" s="67">
        <f>MIN($H$207:$N$207)</f>
        <v>1.2755486084876568</v>
      </c>
      <c r="C263" s="181">
        <v>1.4295968408536202</v>
      </c>
      <c r="D263" s="182">
        <v>1.3525727246706385</v>
      </c>
      <c r="E263" s="182">
        <v>1.1953629819387175</v>
      </c>
      <c r="F263" s="182">
        <v>1.1064636330691715</v>
      </c>
      <c r="G263" s="183">
        <v>0.8152261257004293</v>
      </c>
    </row>
    <row r="264" ht="12">
      <c r="G264" s="66"/>
    </row>
    <row r="265" spans="3:7" ht="12">
      <c r="C265" s="190" t="s">
        <v>4</v>
      </c>
      <c r="D265" s="191"/>
      <c r="E265" s="192"/>
      <c r="G265" s="66"/>
    </row>
    <row r="266" spans="3:7" ht="12">
      <c r="C266" s="159" t="s">
        <v>286</v>
      </c>
      <c r="D266" s="37" t="s">
        <v>297</v>
      </c>
      <c r="E266" s="184" t="s">
        <v>296</v>
      </c>
      <c r="G266" s="66"/>
    </row>
    <row r="267" spans="3:7" ht="12">
      <c r="C267" s="185">
        <v>2</v>
      </c>
      <c r="D267" s="186">
        <v>3</v>
      </c>
      <c r="E267" s="187">
        <v>4</v>
      </c>
      <c r="G267" s="66"/>
    </row>
    <row r="268" spans="1:7" ht="12">
      <c r="A268" s="24" t="s">
        <v>32</v>
      </c>
      <c r="B268" s="4">
        <f>$B$188</f>
        <v>45903.79074795574</v>
      </c>
      <c r="C268" s="99">
        <f t="dataTable" ref="C268:E271" dt2D="0" dtr="1" r1="B57"/>
        <v>35968.31860951555</v>
      </c>
      <c r="D268" s="34">
        <v>25799.331029214147</v>
      </c>
      <c r="E268" s="151">
        <v>-15427.42626802429</v>
      </c>
      <c r="G268" s="66"/>
    </row>
    <row r="269" spans="1:7" ht="12">
      <c r="A269" s="24" t="s">
        <v>265</v>
      </c>
      <c r="B269" s="11">
        <f>$B$192</f>
        <v>0.1978401907464962</v>
      </c>
      <c r="C269" s="152">
        <v>0.18898907640993784</v>
      </c>
      <c r="D269" s="153">
        <v>0.17740608691760285</v>
      </c>
      <c r="E269" s="163">
        <v>0.10571010202845516</v>
      </c>
      <c r="G269" s="66"/>
    </row>
    <row r="270" spans="1:7" ht="12">
      <c r="A270" s="24" t="s">
        <v>266</v>
      </c>
      <c r="B270" s="11">
        <f>$B$193</f>
        <v>0.16295164150145247</v>
      </c>
      <c r="C270" s="152">
        <v>0.15435832661159</v>
      </c>
      <c r="D270" s="153">
        <v>0.14311270574524548</v>
      </c>
      <c r="E270" s="163">
        <v>0.07350495342568464</v>
      </c>
      <c r="G270" s="66"/>
    </row>
    <row r="271" spans="1:7" ht="12">
      <c r="A271" s="24" t="s">
        <v>289</v>
      </c>
      <c r="B271" s="67">
        <f>MIN($H$207:$N$207)</f>
        <v>1.2755486084876568</v>
      </c>
      <c r="C271" s="181">
        <v>1.2755486084876568</v>
      </c>
      <c r="D271" s="182">
        <v>1.2755486084876568</v>
      </c>
      <c r="E271" s="188">
        <v>0.6406431366750818</v>
      </c>
      <c r="G271" s="66"/>
    </row>
    <row r="272" ht="12">
      <c r="G272" s="66"/>
    </row>
    <row r="273" ht="12">
      <c r="G273" s="66"/>
    </row>
    <row r="274" ht="12">
      <c r="G274" s="66"/>
    </row>
    <row r="275" ht="12">
      <c r="G275" s="66"/>
    </row>
    <row r="276" ht="12">
      <c r="G276" s="66"/>
    </row>
    <row r="277" ht="12">
      <c r="G277" s="66"/>
    </row>
    <row r="278" ht="12">
      <c r="G278" s="66"/>
    </row>
  </sheetData>
  <sheetProtection/>
  <mergeCells count="7">
    <mergeCell ref="C265:E265"/>
    <mergeCell ref="C211:G211"/>
    <mergeCell ref="C217:G217"/>
    <mergeCell ref="C229:G229"/>
    <mergeCell ref="C244:G244"/>
    <mergeCell ref="C251:G251"/>
    <mergeCell ref="C258:G258"/>
  </mergeCells>
  <printOptions gridLines="1" headings="1" horizontalCentered="1"/>
  <pageMargins left="0.75" right="0.75" top="0.25" bottom="0.25" header="0.5" footer="0.5"/>
  <pageSetup fitToHeight="10" fitToWidth="1" horizontalDpi="600" verticalDpi="600" orientation="landscape" scale="59" r:id="rId2"/>
  <ignoredErrors>
    <ignoredError sqref="F164:V164 F169:V169" formula="1"/>
    <ignoredError sqref="H74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49.421875" style="2" customWidth="1"/>
    <col min="2" max="4" width="8.421875" style="2" customWidth="1"/>
    <col min="5" max="5" width="12.00390625" style="2" customWidth="1"/>
    <col min="6" max="22" width="8.28125" style="2" customWidth="1"/>
    <col min="23" max="16384" width="9.140625" style="2" customWidth="1"/>
  </cols>
  <sheetData>
    <row r="1" spans="3:22" ht="12"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2">
        <v>2005</v>
      </c>
      <c r="M1" s="2">
        <v>2006</v>
      </c>
      <c r="N1" s="2">
        <v>2007</v>
      </c>
      <c r="O1" s="2">
        <v>2008</v>
      </c>
      <c r="P1" s="2">
        <v>2009</v>
      </c>
      <c r="Q1" s="2">
        <v>2010</v>
      </c>
      <c r="R1" s="2">
        <v>2011</v>
      </c>
      <c r="S1" s="2">
        <v>2012</v>
      </c>
      <c r="T1" s="2">
        <v>2013</v>
      </c>
      <c r="U1" s="2">
        <v>2014</v>
      </c>
      <c r="V1" s="2">
        <v>2015</v>
      </c>
    </row>
    <row r="2" spans="3:22" ht="12">
      <c r="C2" s="2">
        <v>-2</v>
      </c>
      <c r="D2" s="2">
        <v>-1</v>
      </c>
      <c r="E2" s="2">
        <v>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</row>
    <row r="3" spans="1:22" ht="12">
      <c r="A3" s="1" t="s">
        <v>237</v>
      </c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">
      <c r="A4" s="2" t="s">
        <v>232</v>
      </c>
      <c r="C4" s="2">
        <v>0.5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">
      <c r="A5" s="2" t="s">
        <v>230</v>
      </c>
      <c r="C5" s="4">
        <f>'Tai chinh'!C75+'Tai chinh'!C118+'Tai chinh'!C122</f>
        <v>37.15</v>
      </c>
      <c r="D5" s="4">
        <f>'Tai chinh'!D75+'Tai chinh'!D118+'Tai chinh'!D122</f>
        <v>1594.5</v>
      </c>
      <c r="E5" s="4">
        <f>'Tai chinh'!E75+'Tai chinh'!E118+'Tai chinh'!E122</f>
        <v>3291.05</v>
      </c>
      <c r="F5" s="4">
        <f>'Tai chinh'!F75+'Tai chinh'!F118+'Tai chinh'!F122</f>
        <v>3086</v>
      </c>
      <c r="G5" s="4">
        <f>'Tai chinh'!G75+'Tai chinh'!G118+'Tai chinh'!G122</f>
        <v>1232</v>
      </c>
      <c r="H5" s="4">
        <f>'Tai chinh'!H75+'Tai chinh'!H118+'Tai chinh'!H122</f>
        <v>1155</v>
      </c>
      <c r="I5" s="4">
        <f>'Tai chinh'!I75+'Tai chinh'!I118+'Tai chinh'!I122</f>
        <v>1330</v>
      </c>
      <c r="J5" s="4">
        <f>'Tai chinh'!J75+'Tai chinh'!J118+'Tai chinh'!J122</f>
        <v>1560.22125</v>
      </c>
      <c r="K5" s="4">
        <f>'Tai chinh'!K75+'Tai chinh'!K118+'Tai chinh'!K122</f>
        <v>1607.0278875</v>
      </c>
      <c r="L5" s="4">
        <f>'Tai chinh'!L75+'Tai chinh'!L118+'Tai chinh'!L122</f>
        <v>1655.2387241249999</v>
      </c>
      <c r="M5" s="4">
        <f>'Tai chinh'!M75+'Tai chinh'!M118+'Tai chinh'!M122</f>
        <v>1704.89588584875</v>
      </c>
      <c r="N5" s="4">
        <f>'Tai chinh'!N75+'Tai chinh'!N118+'Tai chinh'!N122</f>
        <v>1756.0427624242125</v>
      </c>
      <c r="O5" s="4">
        <f>'Tai chinh'!O75+'Tai chinh'!O118+'Tai chinh'!O122</f>
        <v>1808.724045296939</v>
      </c>
      <c r="P5" s="4">
        <f>'Tai chinh'!P75+'Tai chinh'!P118+'Tai chinh'!P122</f>
        <v>1862.9857666558473</v>
      </c>
      <c r="Q5" s="4">
        <f>'Tai chinh'!Q75+'Tai chinh'!Q118+'Tai chinh'!Q122</f>
        <v>1918.8753396555226</v>
      </c>
      <c r="R5" s="4">
        <f>'Tai chinh'!R75+'Tai chinh'!R118+'Tai chinh'!R122</f>
        <v>1976.4415998451884</v>
      </c>
      <c r="S5" s="4">
        <f>'Tai chinh'!S75+'Tai chinh'!S118+'Tai chinh'!S122</f>
        <v>2035.7348478405443</v>
      </c>
      <c r="T5" s="4">
        <f>'Tai chinh'!T75+'Tai chinh'!T118+'Tai chinh'!T122</f>
        <v>2096.8068932757606</v>
      </c>
      <c r="U5" s="4">
        <f>'Tai chinh'!U75+'Tai chinh'!U118+'Tai chinh'!U122</f>
        <v>2159.7111000740333</v>
      </c>
      <c r="V5" s="4">
        <f>'Tai chinh'!V75+'Tai chinh'!V118+'Tai chinh'!V122</f>
        <v>2224.5024330762544</v>
      </c>
    </row>
    <row r="6" spans="1:22" ht="12">
      <c r="A6" s="2" t="s">
        <v>231</v>
      </c>
      <c r="C6" s="9">
        <f>C5*$C$4</f>
        <v>18.575</v>
      </c>
      <c r="D6" s="9">
        <f aca="true" t="shared" si="0" ref="D6:V6">D5*$C$4</f>
        <v>797.25</v>
      </c>
      <c r="E6" s="9">
        <f t="shared" si="0"/>
        <v>1645.525</v>
      </c>
      <c r="F6" s="9">
        <f t="shared" si="0"/>
        <v>1543</v>
      </c>
      <c r="G6" s="9">
        <f t="shared" si="0"/>
        <v>616</v>
      </c>
      <c r="H6" s="9">
        <f t="shared" si="0"/>
        <v>577.5</v>
      </c>
      <c r="I6" s="9">
        <f t="shared" si="0"/>
        <v>665</v>
      </c>
      <c r="J6" s="9">
        <f t="shared" si="0"/>
        <v>780.110625</v>
      </c>
      <c r="K6" s="9">
        <f t="shared" si="0"/>
        <v>803.51394375</v>
      </c>
      <c r="L6" s="9">
        <f t="shared" si="0"/>
        <v>827.6193620624999</v>
      </c>
      <c r="M6" s="9">
        <f t="shared" si="0"/>
        <v>852.447942924375</v>
      </c>
      <c r="N6" s="9">
        <f t="shared" si="0"/>
        <v>878.0213812121062</v>
      </c>
      <c r="O6" s="9">
        <f t="shared" si="0"/>
        <v>904.3620226484695</v>
      </c>
      <c r="P6" s="9">
        <f t="shared" si="0"/>
        <v>931.4928833279237</v>
      </c>
      <c r="Q6" s="9">
        <f t="shared" si="0"/>
        <v>959.4376698277613</v>
      </c>
      <c r="R6" s="9">
        <f t="shared" si="0"/>
        <v>988.2207999225942</v>
      </c>
      <c r="S6" s="9">
        <f t="shared" si="0"/>
        <v>1017.8674239202721</v>
      </c>
      <c r="T6" s="9">
        <f t="shared" si="0"/>
        <v>1048.4034466378803</v>
      </c>
      <c r="U6" s="9">
        <f t="shared" si="0"/>
        <v>1079.8555500370167</v>
      </c>
      <c r="V6" s="9">
        <f t="shared" si="0"/>
        <v>1112.2512165381272</v>
      </c>
    </row>
    <row r="7" spans="1:22" ht="12">
      <c r="A7" s="2" t="s">
        <v>233</v>
      </c>
      <c r="C7" s="9">
        <f>'Tai chinh'!C124</f>
        <v>0</v>
      </c>
      <c r="D7" s="9">
        <f>'Tai chinh'!D124</f>
        <v>0</v>
      </c>
      <c r="E7" s="9">
        <f>'Tai chinh'!E124</f>
        <v>0</v>
      </c>
      <c r="F7" s="9">
        <f>'Tai chinh'!F124</f>
        <v>16.6</v>
      </c>
      <c r="G7" s="9">
        <f>'Tai chinh'!G124</f>
        <v>44</v>
      </c>
      <c r="H7" s="9">
        <f>'Tai chinh'!H124</f>
        <v>57</v>
      </c>
      <c r="I7" s="9">
        <f>'Tai chinh'!I124</f>
        <v>58.71</v>
      </c>
      <c r="J7" s="9">
        <f>'Tai chinh'!J124</f>
        <v>60.4713</v>
      </c>
      <c r="K7" s="9">
        <f>'Tai chinh'!K124</f>
        <v>62.285439000000004</v>
      </c>
      <c r="L7" s="9">
        <f>'Tai chinh'!L124</f>
        <v>64.15400217000001</v>
      </c>
      <c r="M7" s="9">
        <f>'Tai chinh'!M124</f>
        <v>66.07862223510001</v>
      </c>
      <c r="N7" s="9">
        <f>'Tai chinh'!N124</f>
        <v>68.06098090215302</v>
      </c>
      <c r="O7" s="9">
        <f>'Tai chinh'!O124</f>
        <v>70.10281032921762</v>
      </c>
      <c r="P7" s="9">
        <f>'Tai chinh'!P124</f>
        <v>72.20589463909415</v>
      </c>
      <c r="Q7" s="9">
        <f>'Tai chinh'!Q124</f>
        <v>74.37207147826697</v>
      </c>
      <c r="R7" s="9">
        <f>'Tai chinh'!R124</f>
        <v>76.60323362261498</v>
      </c>
      <c r="S7" s="9">
        <f>'Tai chinh'!S124</f>
        <v>78.90133063129343</v>
      </c>
      <c r="T7" s="9">
        <f>'Tai chinh'!T124</f>
        <v>81.26837055023223</v>
      </c>
      <c r="U7" s="9">
        <f>'Tai chinh'!U124</f>
        <v>83.7064216667392</v>
      </c>
      <c r="V7" s="9">
        <f>'Tai chinh'!V124</f>
        <v>86.21761431674138</v>
      </c>
    </row>
    <row r="8" spans="1:22" ht="12">
      <c r="A8" s="1" t="s">
        <v>236</v>
      </c>
      <c r="B8" s="1"/>
      <c r="C8" s="17">
        <f>C5-C6+C7</f>
        <v>18.575</v>
      </c>
      <c r="D8" s="17">
        <f aca="true" t="shared" si="1" ref="D8:V8">D5-D6+D7</f>
        <v>797.25</v>
      </c>
      <c r="E8" s="17">
        <f t="shared" si="1"/>
        <v>1645.525</v>
      </c>
      <c r="F8" s="17">
        <f t="shared" si="1"/>
        <v>1559.6</v>
      </c>
      <c r="G8" s="17">
        <f t="shared" si="1"/>
        <v>660</v>
      </c>
      <c r="H8" s="17">
        <f t="shared" si="1"/>
        <v>634.5</v>
      </c>
      <c r="I8" s="17">
        <f t="shared" si="1"/>
        <v>723.71</v>
      </c>
      <c r="J8" s="17">
        <f t="shared" si="1"/>
        <v>840.5819250000001</v>
      </c>
      <c r="K8" s="17">
        <f t="shared" si="1"/>
        <v>865.79938275</v>
      </c>
      <c r="L8" s="17">
        <f t="shared" si="1"/>
        <v>891.7733642325</v>
      </c>
      <c r="M8" s="17">
        <f t="shared" si="1"/>
        <v>918.526565159475</v>
      </c>
      <c r="N8" s="17">
        <f t="shared" si="1"/>
        <v>946.0823621142592</v>
      </c>
      <c r="O8" s="17">
        <f t="shared" si="1"/>
        <v>974.4648329776871</v>
      </c>
      <c r="P8" s="17">
        <f t="shared" si="1"/>
        <v>1003.6987779670178</v>
      </c>
      <c r="Q8" s="17">
        <f t="shared" si="1"/>
        <v>1033.8097413060282</v>
      </c>
      <c r="R8" s="17">
        <f t="shared" si="1"/>
        <v>1064.8240335452092</v>
      </c>
      <c r="S8" s="17">
        <f t="shared" si="1"/>
        <v>1096.7687545515655</v>
      </c>
      <c r="T8" s="17">
        <f t="shared" si="1"/>
        <v>1129.6718171881125</v>
      </c>
      <c r="U8" s="17">
        <f t="shared" si="1"/>
        <v>1163.561971703756</v>
      </c>
      <c r="V8" s="17">
        <f t="shared" si="1"/>
        <v>1198.4688308548687</v>
      </c>
    </row>
    <row r="10" spans="1:22" ht="12">
      <c r="A10" s="1" t="s">
        <v>238</v>
      </c>
      <c r="B10" s="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4" ht="12">
      <c r="A11" s="1" t="s">
        <v>225</v>
      </c>
      <c r="B11" s="1"/>
      <c r="C11" s="1"/>
      <c r="D11" s="1"/>
    </row>
    <row r="12" spans="1:22" ht="12">
      <c r="A12" s="12" t="s">
        <v>224</v>
      </c>
      <c r="B12" s="12"/>
      <c r="C12" s="12"/>
      <c r="D12" s="12"/>
      <c r="E12" s="23">
        <f>AVERAGE(E13:E15)</f>
        <v>-1010.4888888888889</v>
      </c>
      <c r="F12" s="23">
        <f aca="true" t="shared" si="2" ref="F12:V12">AVERAGE(F13:F15)</f>
        <v>-5473.599999999999</v>
      </c>
      <c r="G12" s="23">
        <f t="shared" si="2"/>
        <v>-6636.333333333333</v>
      </c>
      <c r="H12" s="23">
        <f t="shared" si="2"/>
        <v>-3947.8444444444444</v>
      </c>
      <c r="I12" s="23">
        <f t="shared" si="2"/>
        <v>-3426.7111111111103</v>
      </c>
      <c r="J12" s="23">
        <f t="shared" si="2"/>
        <v>-302.6666666666667</v>
      </c>
      <c r="K12" s="23">
        <f t="shared" si="2"/>
        <v>2284.933333333333</v>
      </c>
      <c r="L12" s="23">
        <f t="shared" si="2"/>
        <v>912.1777777777776</v>
      </c>
      <c r="M12" s="23">
        <f t="shared" si="2"/>
        <v>1148.8000000000002</v>
      </c>
      <c r="N12" s="23">
        <f t="shared" si="2"/>
        <v>4231.599999999999</v>
      </c>
      <c r="O12" s="23">
        <f t="shared" si="2"/>
        <v>3161.3777777777777</v>
      </c>
      <c r="P12" s="23">
        <f t="shared" si="2"/>
        <v>709.0222222222222</v>
      </c>
      <c r="Q12" s="23">
        <f t="shared" si="2"/>
        <v>271.8222222222218</v>
      </c>
      <c r="R12" s="23">
        <f t="shared" si="2"/>
        <v>-1836.7111111111117</v>
      </c>
      <c r="S12" s="23">
        <f t="shared" si="2"/>
        <v>89.55555555555566</v>
      </c>
      <c r="T12" s="23">
        <f t="shared" si="2"/>
        <v>4898.266666666666</v>
      </c>
      <c r="U12" s="23">
        <f t="shared" si="2"/>
        <v>3847.7333333333336</v>
      </c>
      <c r="V12" s="23">
        <f t="shared" si="2"/>
        <v>4288.444444444444</v>
      </c>
    </row>
    <row r="13" spans="1:22" ht="12">
      <c r="A13" s="12" t="s">
        <v>45</v>
      </c>
      <c r="B13" s="12"/>
      <c r="C13" s="12"/>
      <c r="D13" s="12"/>
      <c r="E13" s="23">
        <f>'Cay trong'!E146</f>
        <v>-972.8000000000001</v>
      </c>
      <c r="F13" s="23">
        <f>'Cay trong'!F146</f>
        <v>-4556.8</v>
      </c>
      <c r="G13" s="23">
        <f>'Cay trong'!G146</f>
        <v>-1581.3333333333335</v>
      </c>
      <c r="H13" s="23">
        <f>'Cay trong'!H146</f>
        <v>4974.8</v>
      </c>
      <c r="I13" s="23">
        <f>'Cay trong'!I146</f>
        <v>186.53333333333376</v>
      </c>
      <c r="J13" s="23">
        <f>'Cay trong'!J146</f>
        <v>175.33333333333326</v>
      </c>
      <c r="K13" s="23">
        <f>'Cay trong'!K146</f>
        <v>5638.133333333333</v>
      </c>
      <c r="L13" s="23">
        <f>'Cay trong'!L146</f>
        <v>186.53333333333376</v>
      </c>
      <c r="M13" s="23">
        <f>'Cay trong'!M146</f>
        <v>175.33333333333326</v>
      </c>
      <c r="N13" s="23">
        <f>'Cay trong'!N146</f>
        <v>5638.133333333333</v>
      </c>
      <c r="O13" s="23">
        <f>'Cay trong'!O146</f>
        <v>186.53333333333376</v>
      </c>
      <c r="P13" s="23">
        <f>'Cay trong'!P146</f>
        <v>175.33333333333326</v>
      </c>
      <c r="Q13" s="23">
        <f>'Cay trong'!Q146</f>
        <v>5638.133333333333</v>
      </c>
      <c r="R13" s="23">
        <f>'Cay trong'!R146</f>
        <v>186.53333333333376</v>
      </c>
      <c r="S13" s="23">
        <f>'Cay trong'!S146</f>
        <v>175.33333333333326</v>
      </c>
      <c r="T13" s="23">
        <f>'Cay trong'!T146</f>
        <v>5638.133333333333</v>
      </c>
      <c r="U13" s="23">
        <f>'Cay trong'!U146</f>
        <v>186.53333333333376</v>
      </c>
      <c r="V13" s="23">
        <f>'Cay trong'!V146</f>
        <v>175.33333333333326</v>
      </c>
    </row>
    <row r="14" spans="1:22" ht="12">
      <c r="A14" s="12" t="s">
        <v>46</v>
      </c>
      <c r="B14" s="12"/>
      <c r="C14" s="12"/>
      <c r="D14" s="12"/>
      <c r="E14" s="23">
        <f>'Cay trong'!E169</f>
        <v>-1120</v>
      </c>
      <c r="F14" s="23">
        <f>'Cay trong'!F169</f>
        <v>-6534.933333333333</v>
      </c>
      <c r="G14" s="23">
        <f>'Cay trong'!G169</f>
        <v>-10687.666666666668</v>
      </c>
      <c r="H14" s="23">
        <f>'Cay trong'!H169</f>
        <v>-10651.666666666668</v>
      </c>
      <c r="I14" s="23">
        <f>'Cay trong'!I169</f>
        <v>-4406.666666666666</v>
      </c>
      <c r="J14" s="23">
        <f>'Cay trong'!J169</f>
        <v>4556.666666666667</v>
      </c>
      <c r="K14" s="23">
        <f>'Cay trong'!K169</f>
        <v>6856.666666666667</v>
      </c>
      <c r="L14" s="23">
        <f>'Cay trong'!L169</f>
        <v>8190</v>
      </c>
      <c r="M14" s="23">
        <f>'Cay trong'!M169</f>
        <v>8190</v>
      </c>
      <c r="N14" s="23">
        <f>'Cay trong'!N169</f>
        <v>8190</v>
      </c>
      <c r="O14" s="23">
        <f>'Cay trong'!O169</f>
        <v>6487.6</v>
      </c>
      <c r="P14" s="23">
        <f>'Cay trong'!P169</f>
        <v>-1984.9333333333334</v>
      </c>
      <c r="Q14" s="23">
        <f>'Cay trong'!Q169</f>
        <v>-9322.666666666668</v>
      </c>
      <c r="R14" s="23">
        <f>'Cay trong'!R169</f>
        <v>-10196.666666666668</v>
      </c>
      <c r="S14" s="23">
        <f>'Cay trong'!S169</f>
        <v>-4406.666666666666</v>
      </c>
      <c r="T14" s="23">
        <f>'Cay trong'!T169</f>
        <v>4556.666666666667</v>
      </c>
      <c r="U14" s="23">
        <f>'Cay trong'!U169</f>
        <v>6856.666666666667</v>
      </c>
      <c r="V14" s="23">
        <f>'Cay trong'!V169</f>
        <v>8190</v>
      </c>
    </row>
    <row r="15" spans="1:22" ht="12">
      <c r="A15" s="12" t="s">
        <v>47</v>
      </c>
      <c r="B15" s="12"/>
      <c r="C15" s="12"/>
      <c r="D15" s="12"/>
      <c r="E15" s="23">
        <f>'Cay trong'!E192</f>
        <v>-938.6666666666666</v>
      </c>
      <c r="F15" s="23">
        <f>'Cay trong'!F192</f>
        <v>-5329.066666666666</v>
      </c>
      <c r="G15" s="23">
        <f>'Cay trong'!G192</f>
        <v>-7640</v>
      </c>
      <c r="H15" s="23">
        <f>'Cay trong'!H192</f>
        <v>-6166.666666666666</v>
      </c>
      <c r="I15" s="23">
        <f>'Cay trong'!I192</f>
        <v>-6060</v>
      </c>
      <c r="J15" s="23">
        <f>'Cay trong'!J192</f>
        <v>-5640</v>
      </c>
      <c r="K15" s="23">
        <f>'Cay trong'!K192</f>
        <v>-5640</v>
      </c>
      <c r="L15" s="23">
        <f>'Cay trong'!L192</f>
        <v>-5640</v>
      </c>
      <c r="M15" s="23">
        <f>'Cay trong'!M192</f>
        <v>-4918.933333333333</v>
      </c>
      <c r="N15" s="23">
        <f>'Cay trong'!N192</f>
        <v>-1133.3333333333335</v>
      </c>
      <c r="O15" s="23">
        <f>'Cay trong'!O192</f>
        <v>2809.9999999999995</v>
      </c>
      <c r="P15" s="23">
        <f>'Cay trong'!P192</f>
        <v>3936.6666666666665</v>
      </c>
      <c r="Q15" s="23">
        <f>'Cay trong'!Q192</f>
        <v>4500</v>
      </c>
      <c r="R15" s="23">
        <f>'Cay trong'!R192</f>
        <v>4500</v>
      </c>
      <c r="S15" s="23">
        <f>'Cay trong'!S192</f>
        <v>4500</v>
      </c>
      <c r="T15" s="23">
        <f>'Cay trong'!T192</f>
        <v>4500</v>
      </c>
      <c r="U15" s="23">
        <f>'Cay trong'!U192</f>
        <v>4500</v>
      </c>
      <c r="V15" s="23">
        <f>'Cay trong'!V192</f>
        <v>4500</v>
      </c>
    </row>
    <row r="16" spans="1:22" ht="12">
      <c r="A16" s="12" t="s">
        <v>48</v>
      </c>
      <c r="B16" s="12"/>
      <c r="C16" s="12"/>
      <c r="D16" s="12"/>
      <c r="E16" s="23">
        <f>'Cay trong'!E215</f>
        <v>-170.66666666666666</v>
      </c>
      <c r="F16" s="23">
        <f>'Cay trong'!F215</f>
        <v>-1066.6666666666665</v>
      </c>
      <c r="G16" s="23">
        <f>'Cay trong'!G215</f>
        <v>-1999.9999999999998</v>
      </c>
      <c r="H16" s="23">
        <f>'Cay trong'!H215</f>
        <v>-2266.6666666666665</v>
      </c>
      <c r="I16" s="23">
        <f>'Cay trong'!I215</f>
        <v>-2400</v>
      </c>
      <c r="J16" s="23">
        <f>'Cay trong'!J215</f>
        <v>-2400</v>
      </c>
      <c r="K16" s="23">
        <f>'Cay trong'!K215</f>
        <v>-2400</v>
      </c>
      <c r="L16" s="23">
        <f>'Cay trong'!L215</f>
        <v>-2400</v>
      </c>
      <c r="M16" s="23">
        <f>'Cay trong'!M215</f>
        <v>-2400</v>
      </c>
      <c r="N16" s="23">
        <f>'Cay trong'!N215</f>
        <v>-2400</v>
      </c>
      <c r="O16" s="23">
        <f>'Cay trong'!O215</f>
        <v>-2400</v>
      </c>
      <c r="P16" s="23">
        <f>'Cay trong'!P215</f>
        <v>-2400</v>
      </c>
      <c r="Q16" s="23">
        <f>'Cay trong'!Q215</f>
        <v>-2400</v>
      </c>
      <c r="R16" s="23">
        <f>'Cay trong'!R215</f>
        <v>-2400</v>
      </c>
      <c r="S16" s="23">
        <f>'Cay trong'!S215</f>
        <v>-2400</v>
      </c>
      <c r="T16" s="23">
        <f>'Cay trong'!T215</f>
        <v>-2400</v>
      </c>
      <c r="U16" s="23">
        <f>'Cay trong'!U215</f>
        <v>-2400</v>
      </c>
      <c r="V16" s="23">
        <f>'Cay trong'!V215</f>
        <v>-2400</v>
      </c>
    </row>
    <row r="17" spans="1:22" ht="12">
      <c r="A17" s="12" t="s">
        <v>49</v>
      </c>
      <c r="B17" s="12"/>
      <c r="C17" s="12"/>
      <c r="D17" s="12"/>
      <c r="E17" s="23">
        <f>'Cay trong'!E238</f>
        <v>34.13333333333333</v>
      </c>
      <c r="F17" s="23">
        <f>'Cay trong'!F238</f>
        <v>213.33333333333331</v>
      </c>
      <c r="G17" s="23">
        <f>'Cay trong'!G238</f>
        <v>400</v>
      </c>
      <c r="H17" s="23">
        <f>'Cay trong'!H238</f>
        <v>453.3333333333333</v>
      </c>
      <c r="I17" s="23">
        <f>'Cay trong'!I238</f>
        <v>480</v>
      </c>
      <c r="J17" s="23">
        <f>'Cay trong'!J238</f>
        <v>480</v>
      </c>
      <c r="K17" s="23">
        <f>'Cay trong'!K238</f>
        <v>480</v>
      </c>
      <c r="L17" s="23">
        <f>'Cay trong'!L238</f>
        <v>480</v>
      </c>
      <c r="M17" s="23">
        <f>'Cay trong'!M238</f>
        <v>480</v>
      </c>
      <c r="N17" s="23">
        <f>'Cay trong'!N238</f>
        <v>480</v>
      </c>
      <c r="O17" s="23">
        <f>'Cay trong'!O238</f>
        <v>480</v>
      </c>
      <c r="P17" s="23">
        <f>'Cay trong'!P238</f>
        <v>480</v>
      </c>
      <c r="Q17" s="23">
        <f>'Cay trong'!Q238</f>
        <v>480</v>
      </c>
      <c r="R17" s="23">
        <f>'Cay trong'!R238</f>
        <v>480</v>
      </c>
      <c r="S17" s="23">
        <f>'Cay trong'!S238</f>
        <v>480</v>
      </c>
      <c r="T17" s="23">
        <f>'Cay trong'!T238</f>
        <v>480</v>
      </c>
      <c r="U17" s="23">
        <f>'Cay trong'!U238</f>
        <v>480</v>
      </c>
      <c r="V17" s="23">
        <f>'Cay trong'!V238</f>
        <v>480</v>
      </c>
    </row>
    <row r="18" spans="1:22" ht="12">
      <c r="A18" s="12" t="s">
        <v>50</v>
      </c>
      <c r="B18" s="12"/>
      <c r="C18" s="12"/>
      <c r="D18" s="12"/>
      <c r="E18" s="23">
        <f>'Cay trong'!E261</f>
        <v>-10.666666666666668</v>
      </c>
      <c r="F18" s="23">
        <f>'Cay trong'!F261</f>
        <v>-66.66666666666667</v>
      </c>
      <c r="G18" s="23">
        <f>'Cay trong'!G261</f>
        <v>-125</v>
      </c>
      <c r="H18" s="23">
        <f>'Cay trong'!H261</f>
        <v>-141.66666666666666</v>
      </c>
      <c r="I18" s="23">
        <f>'Cay trong'!I261</f>
        <v>-150</v>
      </c>
      <c r="J18" s="23">
        <f>'Cay trong'!J261</f>
        <v>-150</v>
      </c>
      <c r="K18" s="23">
        <f>'Cay trong'!K261</f>
        <v>-150</v>
      </c>
      <c r="L18" s="23">
        <f>'Cay trong'!L261</f>
        <v>-150</v>
      </c>
      <c r="M18" s="23">
        <f>'Cay trong'!M261</f>
        <v>-150</v>
      </c>
      <c r="N18" s="23">
        <f>'Cay trong'!N261</f>
        <v>-150</v>
      </c>
      <c r="O18" s="23">
        <f>'Cay trong'!O261</f>
        <v>-150</v>
      </c>
      <c r="P18" s="23">
        <f>'Cay trong'!P261</f>
        <v>-150</v>
      </c>
      <c r="Q18" s="23">
        <f>'Cay trong'!Q261</f>
        <v>-150</v>
      </c>
      <c r="R18" s="23">
        <f>'Cay trong'!R261</f>
        <v>-150</v>
      </c>
      <c r="S18" s="23">
        <f>'Cay trong'!S261</f>
        <v>-150</v>
      </c>
      <c r="T18" s="23">
        <f>'Cay trong'!T261</f>
        <v>-150</v>
      </c>
      <c r="U18" s="23">
        <f>'Cay trong'!U261</f>
        <v>-150</v>
      </c>
      <c r="V18" s="23">
        <f>'Cay trong'!V261</f>
        <v>-150</v>
      </c>
    </row>
    <row r="19" ht="12"/>
    <row r="20" spans="1:2" ht="12">
      <c r="A20" s="24" t="s">
        <v>223</v>
      </c>
      <c r="B20" s="2">
        <v>1</v>
      </c>
    </row>
    <row r="21" spans="1:22" ht="12">
      <c r="A21" s="2" t="s">
        <v>226</v>
      </c>
      <c r="E21" s="23">
        <f>'Cay trong'!E123</f>
        <v>-614.4</v>
      </c>
      <c r="F21" s="23">
        <f>'Cay trong'!F123</f>
        <v>-2801.4933333333333</v>
      </c>
      <c r="G21" s="23">
        <f>'Cay trong'!G123</f>
        <v>-561.0133333333342</v>
      </c>
      <c r="H21" s="23">
        <f>'Cay trong'!H123</f>
        <v>4574.5430000000015</v>
      </c>
      <c r="I21" s="23">
        <f>'Cay trong'!I123</f>
        <v>5879.389862000003</v>
      </c>
      <c r="J21" s="23">
        <f>'Cay trong'!J123</f>
        <v>6060.9600024400015</v>
      </c>
      <c r="K21" s="23">
        <f>'Cay trong'!K123</f>
        <v>6382.431469179868</v>
      </c>
      <c r="L21" s="23">
        <f>'Cay trong'!L123</f>
        <v>7735.971079921931</v>
      </c>
      <c r="M21" s="23">
        <f>'Cay trong'!M123</f>
        <v>8080.31687898626</v>
      </c>
      <c r="N21" s="23">
        <f>'Cay trong'!N123</f>
        <v>7632.350385355848</v>
      </c>
      <c r="O21" s="23">
        <f>'Cay trong'!O123</f>
        <v>8000.963563583189</v>
      </c>
      <c r="P21" s="23">
        <f>'Cay trong'!P123</f>
        <v>9403.05913715735</v>
      </c>
      <c r="Q21" s="23">
        <f>'Cay trong'!Q123</f>
        <v>9797.417577938737</v>
      </c>
      <c r="R21" s="23">
        <f>'Cay trong'!R123</f>
        <v>9400.9641052769</v>
      </c>
      <c r="S21" s="23">
        <f>'Cay trong'!S123</f>
        <v>9822.635695101875</v>
      </c>
      <c r="T21" s="23">
        <f>'Cay trong'!T123</f>
        <v>11279.381432621598</v>
      </c>
      <c r="U21" s="23">
        <f>'Cay trong'!U123</f>
        <v>11730.029542266915</v>
      </c>
      <c r="V21" s="23">
        <f>'Cay trong'!V123</f>
        <v>11391.554428534924</v>
      </c>
    </row>
    <row r="22" spans="1:22" ht="12">
      <c r="A22" s="2" t="s">
        <v>227</v>
      </c>
      <c r="E22" s="9">
        <f aca="true" t="shared" si="3" ref="E22:V22">INDEX($E$12:$V$18,$B$20,E2+1)</f>
        <v>-1010.4888888888889</v>
      </c>
      <c r="F22" s="9">
        <f t="shared" si="3"/>
        <v>-5473.599999999999</v>
      </c>
      <c r="G22" s="9">
        <f t="shared" si="3"/>
        <v>-6636.333333333333</v>
      </c>
      <c r="H22" s="9">
        <f t="shared" si="3"/>
        <v>-3947.8444444444444</v>
      </c>
      <c r="I22" s="9">
        <f t="shared" si="3"/>
        <v>-3426.7111111111103</v>
      </c>
      <c r="J22" s="9">
        <f t="shared" si="3"/>
        <v>-302.6666666666667</v>
      </c>
      <c r="K22" s="9">
        <f t="shared" si="3"/>
        <v>2284.933333333333</v>
      </c>
      <c r="L22" s="9">
        <f t="shared" si="3"/>
        <v>912.1777777777776</v>
      </c>
      <c r="M22" s="9">
        <f t="shared" si="3"/>
        <v>1148.8000000000002</v>
      </c>
      <c r="N22" s="9">
        <f t="shared" si="3"/>
        <v>4231.599999999999</v>
      </c>
      <c r="O22" s="9">
        <f t="shared" si="3"/>
        <v>3161.3777777777777</v>
      </c>
      <c r="P22" s="9">
        <f t="shared" si="3"/>
        <v>709.0222222222222</v>
      </c>
      <c r="Q22" s="9">
        <f t="shared" si="3"/>
        <v>271.8222222222218</v>
      </c>
      <c r="R22" s="9">
        <f t="shared" si="3"/>
        <v>-1836.7111111111117</v>
      </c>
      <c r="S22" s="9">
        <f t="shared" si="3"/>
        <v>89.55555555555566</v>
      </c>
      <c r="T22" s="9">
        <f t="shared" si="3"/>
        <v>4898.266666666666</v>
      </c>
      <c r="U22" s="9">
        <f t="shared" si="3"/>
        <v>3847.7333333333336</v>
      </c>
      <c r="V22" s="9">
        <f t="shared" si="3"/>
        <v>4288.444444444444</v>
      </c>
    </row>
    <row r="23" spans="1:22" ht="12">
      <c r="A23" s="1" t="s">
        <v>235</v>
      </c>
      <c r="B23" s="1"/>
      <c r="C23" s="1"/>
      <c r="D23" s="1"/>
      <c r="E23" s="17">
        <f>E21-E22</f>
        <v>396.08888888888896</v>
      </c>
      <c r="F23" s="17">
        <f aca="true" t="shared" si="4" ref="F23:V23">F21-F22</f>
        <v>2672.106666666666</v>
      </c>
      <c r="G23" s="17">
        <f t="shared" si="4"/>
        <v>6075.319999999999</v>
      </c>
      <c r="H23" s="17">
        <f t="shared" si="4"/>
        <v>8522.387444444446</v>
      </c>
      <c r="I23" s="17">
        <f t="shared" si="4"/>
        <v>9306.100973111113</v>
      </c>
      <c r="J23" s="17">
        <f t="shared" si="4"/>
        <v>6363.6266691066685</v>
      </c>
      <c r="K23" s="17">
        <f t="shared" si="4"/>
        <v>4097.498135846536</v>
      </c>
      <c r="L23" s="17">
        <f t="shared" si="4"/>
        <v>6823.793302144153</v>
      </c>
      <c r="M23" s="17">
        <f t="shared" si="4"/>
        <v>6931.51687898626</v>
      </c>
      <c r="N23" s="17">
        <f t="shared" si="4"/>
        <v>3400.7503853558483</v>
      </c>
      <c r="O23" s="17">
        <f t="shared" si="4"/>
        <v>4839.585785805411</v>
      </c>
      <c r="P23" s="17">
        <f t="shared" si="4"/>
        <v>8694.036914935128</v>
      </c>
      <c r="Q23" s="17">
        <f t="shared" si="4"/>
        <v>9525.595355716516</v>
      </c>
      <c r="R23" s="17">
        <f t="shared" si="4"/>
        <v>11237.675216388012</v>
      </c>
      <c r="S23" s="17">
        <f t="shared" si="4"/>
        <v>9733.08013954632</v>
      </c>
      <c r="T23" s="17">
        <f t="shared" si="4"/>
        <v>6381.1147659549315</v>
      </c>
      <c r="U23" s="17">
        <f t="shared" si="4"/>
        <v>7882.2962089335815</v>
      </c>
      <c r="V23" s="17">
        <f t="shared" si="4"/>
        <v>7103.10998409048</v>
      </c>
    </row>
    <row r="25" spans="1:4" ht="12">
      <c r="A25" s="1" t="s">
        <v>239</v>
      </c>
      <c r="B25" s="1"/>
      <c r="C25" s="1"/>
      <c r="D25" s="1"/>
    </row>
    <row r="26" spans="1:22" ht="12">
      <c r="A26" s="2" t="s">
        <v>74</v>
      </c>
      <c r="F26" s="4">
        <f>'Tai chinh'!F114</f>
        <v>878.9333333333334</v>
      </c>
      <c r="G26" s="4">
        <f>'Tai chinh'!G114</f>
        <v>5658.133333333333</v>
      </c>
      <c r="H26" s="4">
        <f>'Tai chinh'!H114</f>
        <v>10927.27</v>
      </c>
      <c r="I26" s="4">
        <f>'Tai chinh'!I114</f>
        <v>12755.766513333336</v>
      </c>
      <c r="J26" s="4">
        <f>'Tai chinh'!J114</f>
        <v>13911.288891600001</v>
      </c>
      <c r="K26" s="4">
        <f>'Tai chinh'!K114</f>
        <v>14328.627558348002</v>
      </c>
      <c r="L26" s="4">
        <f>'Tai chinh'!L114</f>
        <v>14758.486385098442</v>
      </c>
      <c r="M26" s="4">
        <f>'Tai chinh'!M114</f>
        <v>15201.2409766514</v>
      </c>
      <c r="N26" s="4">
        <f>'Tai chinh'!N114</f>
        <v>15657.27820595094</v>
      </c>
      <c r="O26" s="4">
        <f>'Tai chinh'!O114</f>
        <v>16126.996552129469</v>
      </c>
      <c r="P26" s="4">
        <f>'Tai chinh'!P114</f>
        <v>16610.80644869335</v>
      </c>
      <c r="Q26" s="4">
        <f>'Tai chinh'!Q114</f>
        <v>17109.130642154152</v>
      </c>
      <c r="R26" s="4">
        <f>'Tai chinh'!R114</f>
        <v>17622.404561418778</v>
      </c>
      <c r="S26" s="4">
        <f>'Tai chinh'!S114</f>
        <v>18151.076698261342</v>
      </c>
      <c r="T26" s="4">
        <f>'Tai chinh'!T114</f>
        <v>18695.608999209184</v>
      </c>
      <c r="U26" s="4">
        <f>'Tai chinh'!U114</f>
        <v>19256.47726918546</v>
      </c>
      <c r="V26" s="4">
        <f>'Tai chinh'!V114</f>
        <v>19834.171587261026</v>
      </c>
    </row>
    <row r="27" spans="1:62" ht="12">
      <c r="A27" s="4" t="s">
        <v>75</v>
      </c>
      <c r="B27" s="4"/>
      <c r="C27" s="4"/>
      <c r="D27" s="4"/>
      <c r="E27" s="4"/>
      <c r="F27" s="4">
        <f>F26*(1-'Tai chinh'!$B$40)</f>
        <v>87.89333333333332</v>
      </c>
      <c r="G27" s="4">
        <f>G26*(1-'Tai chinh'!$B$40)</f>
        <v>565.8133333333332</v>
      </c>
      <c r="H27" s="4">
        <f>H26*(1-'Tai chinh'!$B$40)</f>
        <v>1092.7269999999999</v>
      </c>
      <c r="I27" s="4">
        <f>I26*(1-'Tai chinh'!$B$40)</f>
        <v>1275.5766513333333</v>
      </c>
      <c r="J27" s="4">
        <f>J26*(1-'Tai chinh'!$B$40)</f>
        <v>1391.1288891599997</v>
      </c>
      <c r="K27" s="4">
        <f>K26*(1-'Tai chinh'!$B$40)</f>
        <v>1432.8627558347998</v>
      </c>
      <c r="L27" s="4">
        <f>L26*(1-'Tai chinh'!$B$40)</f>
        <v>1475.8486385098438</v>
      </c>
      <c r="M27" s="4">
        <f>M26*(1-'Tai chinh'!$B$40)</f>
        <v>1520.1240976651395</v>
      </c>
      <c r="N27" s="4">
        <f>N26*(1-'Tai chinh'!$B$40)</f>
        <v>1565.7278205950938</v>
      </c>
      <c r="O27" s="4">
        <f>O26*(1-'Tai chinh'!$B$40)</f>
        <v>1612.6996552129465</v>
      </c>
      <c r="P27" s="4">
        <f>P26*(1-'Tai chinh'!$B$40)</f>
        <v>1661.0806448693347</v>
      </c>
      <c r="Q27" s="4">
        <f>Q26*(1-'Tai chinh'!$B$40)</f>
        <v>1710.9130642154148</v>
      </c>
      <c r="R27" s="4">
        <f>R26*(1-'Tai chinh'!$B$40)</f>
        <v>1762.2404561418773</v>
      </c>
      <c r="S27" s="4">
        <f>S26*(1-'Tai chinh'!$B$40)</f>
        <v>1815.1076698261338</v>
      </c>
      <c r="T27" s="4">
        <f>T26*(1-'Tai chinh'!$B$40)</f>
        <v>1869.560899920918</v>
      </c>
      <c r="U27" s="4">
        <f>U26*(1-'Tai chinh'!$B$40)</f>
        <v>1925.6477269185455</v>
      </c>
      <c r="V27" s="4">
        <f>V26*(1-'Tai chinh'!$B$40)</f>
        <v>1983.4171587261021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22" ht="12">
      <c r="A28" s="2" t="s">
        <v>73</v>
      </c>
      <c r="F28" s="22">
        <f>'Van chuyen'!$D$33</f>
        <v>0.20897823637549653</v>
      </c>
      <c r="G28" s="22">
        <f>'Van chuyen'!$D$33</f>
        <v>0.20897823637549653</v>
      </c>
      <c r="H28" s="22">
        <f>'Van chuyen'!$D$33</f>
        <v>0.20897823637549653</v>
      </c>
      <c r="I28" s="22">
        <f>'Van chuyen'!$D$33</f>
        <v>0.20897823637549653</v>
      </c>
      <c r="J28" s="22">
        <f>'Van chuyen'!$D$33</f>
        <v>0.20897823637549653</v>
      </c>
      <c r="K28" s="22">
        <f>'Van chuyen'!$D$33</f>
        <v>0.20897823637549653</v>
      </c>
      <c r="L28" s="22">
        <f>'Van chuyen'!$D$33</f>
        <v>0.20897823637549653</v>
      </c>
      <c r="M28" s="22">
        <f>'Van chuyen'!$D$33</f>
        <v>0.20897823637549653</v>
      </c>
      <c r="N28" s="22">
        <f>'Van chuyen'!$D$33</f>
        <v>0.20897823637549653</v>
      </c>
      <c r="O28" s="22">
        <f>'Van chuyen'!$D$33</f>
        <v>0.20897823637549653</v>
      </c>
      <c r="P28" s="22">
        <f>'Van chuyen'!$D$33</f>
        <v>0.20897823637549653</v>
      </c>
      <c r="Q28" s="22">
        <f>'Van chuyen'!$D$33</f>
        <v>0.20897823637549653</v>
      </c>
      <c r="R28" s="22">
        <f>'Van chuyen'!$D$33</f>
        <v>0.20897823637549653</v>
      </c>
      <c r="S28" s="22">
        <f>'Van chuyen'!$D$33</f>
        <v>0.20897823637549653</v>
      </c>
      <c r="T28" s="22">
        <f>'Van chuyen'!$D$33</f>
        <v>0.20897823637549653</v>
      </c>
      <c r="U28" s="22">
        <f>'Van chuyen'!$D$33</f>
        <v>0.20897823637549653</v>
      </c>
      <c r="V28" s="22">
        <f>'Van chuyen'!$D$33</f>
        <v>0.20897823637549653</v>
      </c>
    </row>
    <row r="29" spans="1:22" ht="12">
      <c r="A29" s="1" t="s">
        <v>234</v>
      </c>
      <c r="B29" s="1"/>
      <c r="C29" s="1"/>
      <c r="D29" s="1"/>
      <c r="F29" s="17">
        <f>F28*F27</f>
        <v>18.36779378916364</v>
      </c>
      <c r="G29" s="17">
        <f aca="true" t="shared" si="5" ref="G29:V29">G28*G27</f>
        <v>118.24267251774091</v>
      </c>
      <c r="H29" s="17">
        <f t="shared" si="5"/>
        <v>228.35616129988716</v>
      </c>
      <c r="I29" s="17">
        <f t="shared" si="5"/>
        <v>266.5677589574017</v>
      </c>
      <c r="J29" s="17">
        <f t="shared" si="5"/>
        <v>290.71566182766037</v>
      </c>
      <c r="K29" s="17">
        <f t="shared" si="5"/>
        <v>299.4371316824902</v>
      </c>
      <c r="L29" s="17">
        <f t="shared" si="5"/>
        <v>308.42024563296485</v>
      </c>
      <c r="M29" s="17">
        <f t="shared" si="5"/>
        <v>317.6728530019539</v>
      </c>
      <c r="N29" s="17">
        <f t="shared" si="5"/>
        <v>327.20303859201255</v>
      </c>
      <c r="O29" s="17">
        <f t="shared" si="5"/>
        <v>337.0191297497729</v>
      </c>
      <c r="P29" s="17">
        <f t="shared" si="5"/>
        <v>347.12970364226607</v>
      </c>
      <c r="Q29" s="17">
        <f t="shared" si="5"/>
        <v>357.54359475153404</v>
      </c>
      <c r="R29" s="17">
        <f t="shared" si="5"/>
        <v>368.26990259408007</v>
      </c>
      <c r="S29" s="17">
        <f t="shared" si="5"/>
        <v>379.3179996719025</v>
      </c>
      <c r="T29" s="17">
        <f t="shared" si="5"/>
        <v>390.6975396620596</v>
      </c>
      <c r="U29" s="17">
        <f t="shared" si="5"/>
        <v>402.4184658519214</v>
      </c>
      <c r="V29" s="17">
        <f t="shared" si="5"/>
        <v>414.4910198274791</v>
      </c>
    </row>
    <row r="30" spans="1:22" ht="12">
      <c r="A30" s="1"/>
      <c r="B30" s="1"/>
      <c r="C30" s="1"/>
      <c r="D30" s="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" ht="12.75" thickBot="1">
      <c r="A31" s="1" t="s">
        <v>267</v>
      </c>
      <c r="B31" s="129" t="s">
        <v>32</v>
      </c>
    </row>
    <row r="32" spans="1:22" ht="12">
      <c r="A32" s="130" t="s">
        <v>24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</row>
    <row r="33" spans="1:22" ht="12">
      <c r="A33" s="85" t="s">
        <v>13</v>
      </c>
      <c r="B33" s="34">
        <f>NPV('Tai chinh'!$B$65,F33:V33)+E33+D33/(1+'Tai chinh'!$B$65)^D$2+C33/(1+'Tai chinh'!$B$65)^C$2</f>
        <v>190886.03399369193</v>
      </c>
      <c r="C33" s="134">
        <f>'Tai chinh'!C104*'Tai chinh'!$B$38*'Tai chinh'!C10</f>
        <v>0</v>
      </c>
      <c r="D33" s="134">
        <f>'Tai chinh'!D104*'Tai chinh'!$B$38*'Tai chinh'!D10</f>
        <v>0</v>
      </c>
      <c r="E33" s="134">
        <f>'Tai chinh'!E104*'Tai chinh'!$B$38*'Tai chinh'!E10</f>
        <v>0</v>
      </c>
      <c r="F33" s="134">
        <f>'Tai chinh'!F104*'Tai chinh'!$B$38*'Tai chinh'!F8</f>
        <v>1977.7189278350513</v>
      </c>
      <c r="G33" s="134">
        <f>'Tai chinh'!G104*'Tai chinh'!$B$38*'Tai chinh'!G8</f>
        <v>12946.51597938144</v>
      </c>
      <c r="H33" s="134">
        <f>'Tai chinh'!H104*'Tai chinh'!$B$38*'Tai chinh'!H8</f>
        <v>25559.833514062502</v>
      </c>
      <c r="I33" s="134">
        <f>'Tai chinh'!I104*'Tai chinh'!$B$38*'Tai chinh'!I8</f>
        <v>30478.48267606364</v>
      </c>
      <c r="J33" s="134">
        <f>'Tai chinh'!J104*'Tai chinh'!$B$38*'Tai chinh'!J8</f>
        <v>33954.28469748037</v>
      </c>
      <c r="K33" s="134">
        <f>'Tai chinh'!K104*'Tai chinh'!$B$38*'Tai chinh'!K8</f>
        <v>35725.00064445397</v>
      </c>
      <c r="L33" s="134">
        <f>'Tai chinh'!L104*'Tai chinh'!$B$38*'Tai chinh'!L8</f>
        <v>37587.97984681933</v>
      </c>
      <c r="M33" s="134">
        <f>'Tai chinh'!M104*'Tai chinh'!$B$38*'Tai chinh'!M8</f>
        <v>38667.56335631443</v>
      </c>
      <c r="N33" s="134">
        <f>'Tai chinh'!N104*'Tai chinh'!$B$38*'Tai chinh'!N8</f>
        <v>39491.18245580393</v>
      </c>
      <c r="O33" s="134">
        <f>'Tai chinh'!O104*'Tai chinh'!$B$38*'Tai chinh'!O8</f>
        <v>40332.344642112555</v>
      </c>
      <c r="P33" s="134">
        <f>'Tai chinh'!P104*'Tai chinh'!$B$38*'Tai chinh'!P8</f>
        <v>41191.423582989555</v>
      </c>
      <c r="Q33" s="134">
        <f>'Tai chinh'!Q104*'Tai chinh'!$B$38*'Tai chinh'!Q8</f>
        <v>42068.13129252409</v>
      </c>
      <c r="R33" s="134">
        <f>'Tai chinh'!R104*'Tai chinh'!$B$38*'Tai chinh'!R8</f>
        <v>42573.84877577319</v>
      </c>
      <c r="S33" s="134">
        <f>'Tai chinh'!S104*'Tai chinh'!$B$38*'Tai chinh'!S8</f>
        <v>42957.01341475514</v>
      </c>
      <c r="T33" s="134">
        <f>'Tai chinh'!T104*'Tai chinh'!$B$38*'Tai chinh'!T8</f>
        <v>43343.626535487936</v>
      </c>
      <c r="U33" s="134">
        <f>'Tai chinh'!U104*'Tai chinh'!$B$38*'Tai chinh'!U8</f>
        <v>43733.71917430733</v>
      </c>
      <c r="V33" s="135">
        <f>'Tai chinh'!V104*'Tai chinh'!$B$38*'Tai chinh'!V8</f>
        <v>44127.322646876084</v>
      </c>
    </row>
    <row r="34" spans="1:22" ht="12">
      <c r="A34" s="85" t="s">
        <v>243</v>
      </c>
      <c r="B34" s="34">
        <f>NPV('Tai chinh'!$B$65,F34:V34)+E34+D34/(1+'Tai chinh'!$B$65)^D$2+C34/(1+'Tai chinh'!$B$65)^C$2</f>
        <v>8856.685014575369</v>
      </c>
      <c r="C34" s="134">
        <f>C8</f>
        <v>18.575</v>
      </c>
      <c r="D34" s="134">
        <f aca="true" t="shared" si="6" ref="D34:V34">D8</f>
        <v>797.25</v>
      </c>
      <c r="E34" s="134">
        <f t="shared" si="6"/>
        <v>1645.525</v>
      </c>
      <c r="F34" s="134">
        <f t="shared" si="6"/>
        <v>1559.6</v>
      </c>
      <c r="G34" s="134">
        <f t="shared" si="6"/>
        <v>660</v>
      </c>
      <c r="H34" s="134">
        <f t="shared" si="6"/>
        <v>634.5</v>
      </c>
      <c r="I34" s="134">
        <f t="shared" si="6"/>
        <v>723.71</v>
      </c>
      <c r="J34" s="134">
        <f t="shared" si="6"/>
        <v>840.5819250000001</v>
      </c>
      <c r="K34" s="134">
        <f t="shared" si="6"/>
        <v>865.79938275</v>
      </c>
      <c r="L34" s="134">
        <f t="shared" si="6"/>
        <v>891.7733642325</v>
      </c>
      <c r="M34" s="134">
        <f t="shared" si="6"/>
        <v>918.526565159475</v>
      </c>
      <c r="N34" s="134">
        <f t="shared" si="6"/>
        <v>946.0823621142592</v>
      </c>
      <c r="O34" s="134">
        <f t="shared" si="6"/>
        <v>974.4648329776871</v>
      </c>
      <c r="P34" s="134">
        <f t="shared" si="6"/>
        <v>1003.6987779670178</v>
      </c>
      <c r="Q34" s="134">
        <f t="shared" si="6"/>
        <v>1033.8097413060282</v>
      </c>
      <c r="R34" s="134">
        <f t="shared" si="6"/>
        <v>1064.8240335452092</v>
      </c>
      <c r="S34" s="134">
        <f t="shared" si="6"/>
        <v>1096.7687545515655</v>
      </c>
      <c r="T34" s="134">
        <f t="shared" si="6"/>
        <v>1129.6718171881125</v>
      </c>
      <c r="U34" s="134">
        <f t="shared" si="6"/>
        <v>1163.561971703756</v>
      </c>
      <c r="V34" s="135">
        <f t="shared" si="6"/>
        <v>1198.4688308548687</v>
      </c>
    </row>
    <row r="35" spans="1:22" ht="12">
      <c r="A35" s="85" t="s">
        <v>244</v>
      </c>
      <c r="B35" s="34">
        <f>NPV('Tai chinh'!$B$65,F35:V35)+E35+D35/(1+'Tai chinh'!$B$65)^D$2+C35/(1+'Tai chinh'!$B$65)^C$2</f>
        <v>43374.274284223575</v>
      </c>
      <c r="C35" s="134">
        <f>C23</f>
        <v>0</v>
      </c>
      <c r="D35" s="134">
        <f aca="true" t="shared" si="7" ref="D35:V35">D23</f>
        <v>0</v>
      </c>
      <c r="E35" s="134">
        <f t="shared" si="7"/>
        <v>396.08888888888896</v>
      </c>
      <c r="F35" s="134">
        <f t="shared" si="7"/>
        <v>2672.106666666666</v>
      </c>
      <c r="G35" s="134">
        <f t="shared" si="7"/>
        <v>6075.319999999999</v>
      </c>
      <c r="H35" s="134">
        <f t="shared" si="7"/>
        <v>8522.387444444446</v>
      </c>
      <c r="I35" s="134">
        <f t="shared" si="7"/>
        <v>9306.100973111113</v>
      </c>
      <c r="J35" s="134">
        <f t="shared" si="7"/>
        <v>6363.6266691066685</v>
      </c>
      <c r="K35" s="134">
        <f t="shared" si="7"/>
        <v>4097.498135846536</v>
      </c>
      <c r="L35" s="134">
        <f t="shared" si="7"/>
        <v>6823.793302144153</v>
      </c>
      <c r="M35" s="134">
        <f t="shared" si="7"/>
        <v>6931.51687898626</v>
      </c>
      <c r="N35" s="134">
        <f t="shared" si="7"/>
        <v>3400.7503853558483</v>
      </c>
      <c r="O35" s="134">
        <f t="shared" si="7"/>
        <v>4839.585785805411</v>
      </c>
      <c r="P35" s="134">
        <f t="shared" si="7"/>
        <v>8694.036914935128</v>
      </c>
      <c r="Q35" s="134">
        <f t="shared" si="7"/>
        <v>9525.595355716516</v>
      </c>
      <c r="R35" s="134">
        <f t="shared" si="7"/>
        <v>11237.675216388012</v>
      </c>
      <c r="S35" s="134">
        <f t="shared" si="7"/>
        <v>9733.08013954632</v>
      </c>
      <c r="T35" s="134">
        <f t="shared" si="7"/>
        <v>6381.1147659549315</v>
      </c>
      <c r="U35" s="134">
        <f t="shared" si="7"/>
        <v>7882.2962089335815</v>
      </c>
      <c r="V35" s="135">
        <f t="shared" si="7"/>
        <v>7103.10998409048</v>
      </c>
    </row>
    <row r="36" spans="1:22" ht="12">
      <c r="A36" s="85" t="s">
        <v>245</v>
      </c>
      <c r="B36" s="34">
        <f>NPV('Tai chinh'!$B$65,F36:V36)+E36+D36/(1+'Tai chinh'!$B$65)^D$2+C36/(1+'Tai chinh'!$B$65)^C$2</f>
        <v>1643.774588109188</v>
      </c>
      <c r="C36" s="134">
        <f>C29</f>
        <v>0</v>
      </c>
      <c r="D36" s="134">
        <f aca="true" t="shared" si="8" ref="D36:V36">D29</f>
        <v>0</v>
      </c>
      <c r="E36" s="134">
        <f t="shared" si="8"/>
        <v>0</v>
      </c>
      <c r="F36" s="134">
        <f t="shared" si="8"/>
        <v>18.36779378916364</v>
      </c>
      <c r="G36" s="134">
        <f t="shared" si="8"/>
        <v>118.24267251774091</v>
      </c>
      <c r="H36" s="134">
        <f t="shared" si="8"/>
        <v>228.35616129988716</v>
      </c>
      <c r="I36" s="134">
        <f t="shared" si="8"/>
        <v>266.5677589574017</v>
      </c>
      <c r="J36" s="134">
        <f t="shared" si="8"/>
        <v>290.71566182766037</v>
      </c>
      <c r="K36" s="134">
        <f t="shared" si="8"/>
        <v>299.4371316824902</v>
      </c>
      <c r="L36" s="134">
        <f t="shared" si="8"/>
        <v>308.42024563296485</v>
      </c>
      <c r="M36" s="134">
        <f t="shared" si="8"/>
        <v>317.6728530019539</v>
      </c>
      <c r="N36" s="134">
        <f t="shared" si="8"/>
        <v>327.20303859201255</v>
      </c>
      <c r="O36" s="134">
        <f t="shared" si="8"/>
        <v>337.0191297497729</v>
      </c>
      <c r="P36" s="134">
        <f t="shared" si="8"/>
        <v>347.12970364226607</v>
      </c>
      <c r="Q36" s="134">
        <f t="shared" si="8"/>
        <v>357.54359475153404</v>
      </c>
      <c r="R36" s="134">
        <f t="shared" si="8"/>
        <v>368.26990259408007</v>
      </c>
      <c r="S36" s="134">
        <f t="shared" si="8"/>
        <v>379.3179996719025</v>
      </c>
      <c r="T36" s="134">
        <f t="shared" si="8"/>
        <v>390.6975396620596</v>
      </c>
      <c r="U36" s="134">
        <f t="shared" si="8"/>
        <v>402.4184658519214</v>
      </c>
      <c r="V36" s="135">
        <f t="shared" si="8"/>
        <v>414.4910198274791</v>
      </c>
    </row>
    <row r="37" spans="1:22" ht="12">
      <c r="A37" s="85" t="s">
        <v>88</v>
      </c>
      <c r="B37" s="34">
        <f>NPV('Tai chinh'!$B$65,F37:V37)+E37+D37/(1+'Tai chinh'!$B$65)^D$2+C37/(1+'Tai chinh'!$B$65)^C$2</f>
        <v>169592.33172324547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35">
        <f>(SUM(V33:V36)-SUM(V40:V42))*(1+'Tai chinh'!$B$5)/('Tai chinh'!$B$65-'Tai chinh'!$B$5)</f>
        <v>192148.11184243715</v>
      </c>
    </row>
    <row r="38" spans="1:22" ht="12">
      <c r="A38" s="85" t="s">
        <v>31</v>
      </c>
      <c r="B38" s="34">
        <f>NPV('Tai chinh'!$B$65,F38:V38)+E38+D38/(1+'Tai chinh'!$B$65)^D$2+C38/(1+'Tai chinh'!$B$65)^C$2</f>
        <v>267760.758215464</v>
      </c>
      <c r="C38" s="134">
        <f>SUM(C33:C37)</f>
        <v>18.575</v>
      </c>
      <c r="D38" s="134">
        <f aca="true" t="shared" si="9" ref="D38:V38">SUM(D33:D37)</f>
        <v>797.25</v>
      </c>
      <c r="E38" s="134">
        <f t="shared" si="9"/>
        <v>2041.613888888889</v>
      </c>
      <c r="F38" s="134">
        <f t="shared" si="9"/>
        <v>6227.793388290881</v>
      </c>
      <c r="G38" s="134">
        <f t="shared" si="9"/>
        <v>19800.078651899177</v>
      </c>
      <c r="H38" s="134">
        <f t="shared" si="9"/>
        <v>34945.07711980684</v>
      </c>
      <c r="I38" s="134">
        <f t="shared" si="9"/>
        <v>40774.86140813216</v>
      </c>
      <c r="J38" s="134">
        <f t="shared" si="9"/>
        <v>41449.208953414694</v>
      </c>
      <c r="K38" s="134">
        <f t="shared" si="9"/>
        <v>40987.735294733</v>
      </c>
      <c r="L38" s="134">
        <f t="shared" si="9"/>
        <v>45611.966758828945</v>
      </c>
      <c r="M38" s="134">
        <f t="shared" si="9"/>
        <v>46835.279653462116</v>
      </c>
      <c r="N38" s="134">
        <f t="shared" si="9"/>
        <v>44165.21824186606</v>
      </c>
      <c r="O38" s="134">
        <f t="shared" si="9"/>
        <v>46483.414390645434</v>
      </c>
      <c r="P38" s="134">
        <f t="shared" si="9"/>
        <v>51236.288979533965</v>
      </c>
      <c r="Q38" s="134">
        <f t="shared" si="9"/>
        <v>52985.07998429818</v>
      </c>
      <c r="R38" s="134">
        <f t="shared" si="9"/>
        <v>55244.61792830049</v>
      </c>
      <c r="S38" s="134">
        <f t="shared" si="9"/>
        <v>54166.180308524934</v>
      </c>
      <c r="T38" s="134">
        <f t="shared" si="9"/>
        <v>51245.110658293044</v>
      </c>
      <c r="U38" s="134">
        <f t="shared" si="9"/>
        <v>53181.99582079658</v>
      </c>
      <c r="V38" s="135">
        <f t="shared" si="9"/>
        <v>244991.50432408607</v>
      </c>
    </row>
    <row r="39" spans="1:22" ht="12">
      <c r="A39" s="136" t="s">
        <v>25</v>
      </c>
      <c r="B39" s="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5"/>
    </row>
    <row r="40" spans="1:22" ht="12">
      <c r="A40" s="85" t="s">
        <v>26</v>
      </c>
      <c r="B40" s="34">
        <f>NPV('Tai chinh'!$B$65,F40:V40)+E40+D40/(1+'Tai chinh'!$B$65)^D$2+C40/(1+'Tai chinh'!$B$65)^C$2</f>
        <v>120378.78571684753</v>
      </c>
      <c r="C40" s="134">
        <f>'Tai chinh'!C182</f>
        <v>0</v>
      </c>
      <c r="D40" s="134">
        <f>'Tai chinh'!D182</f>
        <v>0</v>
      </c>
      <c r="E40" s="134">
        <f>'Tai chinh'!E182</f>
        <v>0</v>
      </c>
      <c r="F40" s="134">
        <f>'Tai chinh'!F182</f>
        <v>7255.19696969697</v>
      </c>
      <c r="G40" s="134">
        <f>'Tai chinh'!G182</f>
        <v>10304.969696969696</v>
      </c>
      <c r="H40" s="134">
        <f>'Tai chinh'!H182</f>
        <v>15788.179545454546</v>
      </c>
      <c r="I40" s="134">
        <f>'Tai chinh'!I182</f>
        <v>18502.08103787879</v>
      </c>
      <c r="J40" s="134">
        <f>'Tai chinh'!J182</f>
        <v>20038.75413136364</v>
      </c>
      <c r="K40" s="134">
        <f>'Tai chinh'!K182</f>
        <v>20639.916755304548</v>
      </c>
      <c r="L40" s="134">
        <f>'Tai chinh'!L182</f>
        <v>21259.114257963687</v>
      </c>
      <c r="M40" s="134">
        <f>'Tai chinh'!M182</f>
        <v>21896.8876857026</v>
      </c>
      <c r="N40" s="134">
        <f>'Tai chinh'!N182</f>
        <v>22553.794316273677</v>
      </c>
      <c r="O40" s="134">
        <f>'Tai chinh'!O182</f>
        <v>23230.408145761885</v>
      </c>
      <c r="P40" s="134">
        <f>'Tai chinh'!P182</f>
        <v>23927.32039013474</v>
      </c>
      <c r="Q40" s="134">
        <f>'Tai chinh'!Q182</f>
        <v>24645.140001838783</v>
      </c>
      <c r="R40" s="134">
        <f>'Tai chinh'!R182</f>
        <v>25384.49420189395</v>
      </c>
      <c r="S40" s="134">
        <f>'Tai chinh'!S182</f>
        <v>26146.029027950768</v>
      </c>
      <c r="T40" s="134">
        <f>'Tai chinh'!T182</f>
        <v>26930.409898789298</v>
      </c>
      <c r="U40" s="134">
        <f>'Tai chinh'!U182</f>
        <v>27738.322195752975</v>
      </c>
      <c r="V40" s="135">
        <f>'Tai chinh'!V182</f>
        <v>28570.471861625563</v>
      </c>
    </row>
    <row r="41" spans="1:22" ht="12">
      <c r="A41" s="85" t="s">
        <v>29</v>
      </c>
      <c r="B41" s="34">
        <f>NPV('Tai chinh'!$B$65,F41:V41)+E41+D41/(1+'Tai chinh'!$B$65)^D$2+C41/(1+'Tai chinh'!$B$65)^C$2</f>
        <v>4286.935596798458</v>
      </c>
      <c r="C41" s="134">
        <f>'Tai chinh'!C184</f>
        <v>150</v>
      </c>
      <c r="D41" s="134">
        <f>'Tai chinh'!D184</f>
        <v>560</v>
      </c>
      <c r="E41" s="134">
        <f>'Tai chinh'!E184</f>
        <v>630</v>
      </c>
      <c r="F41" s="134">
        <f>'Tai chinh'!F184</f>
        <v>310</v>
      </c>
      <c r="G41" s="134">
        <f>'Tai chinh'!G184</f>
        <v>201.35178505154636</v>
      </c>
      <c r="H41" s="134">
        <f>'Tai chinh'!H184</f>
        <v>1803.7044074593914</v>
      </c>
      <c r="I41" s="134">
        <f>'Tai chinh'!I184</f>
        <v>703.3668301661628</v>
      </c>
      <c r="J41" s="134">
        <f>'Tai chinh'!J184</f>
        <v>497.0396890625925</v>
      </c>
      <c r="K41" s="134">
        <f>'Tai chinh'!K184</f>
        <v>253.21238041722518</v>
      </c>
      <c r="L41" s="134">
        <f>'Tai chinh'!L184</f>
        <v>266.4060259382477</v>
      </c>
      <c r="M41" s="134">
        <f>'Tai chinh'!M184</f>
        <v>154.38044185779836</v>
      </c>
      <c r="N41" s="134">
        <f>'Tai chinh'!N184</f>
        <v>117.77753122699869</v>
      </c>
      <c r="O41" s="134">
        <f>'Tai chinh'!O184</f>
        <v>120.28619264213285</v>
      </c>
      <c r="P41" s="134">
        <f>'Tai chinh'!P184</f>
        <v>122.84828854541229</v>
      </c>
      <c r="Q41" s="134">
        <f>'Tai chinh'!Q184</f>
        <v>125.36920246343925</v>
      </c>
      <c r="R41" s="134">
        <f>'Tai chinh'!R184</f>
        <v>72.3176001046213</v>
      </c>
      <c r="S41" s="134">
        <f>'Tai chinh'!S184</f>
        <v>54.79254337441762</v>
      </c>
      <c r="T41" s="134">
        <f>'Tai chinh'!T184</f>
        <v>55.2856762647898</v>
      </c>
      <c r="U41" s="134">
        <f>'Tai chinh'!U184</f>
        <v>55.78324735117258</v>
      </c>
      <c r="V41" s="135">
        <f>'Tai chinh'!V184</f>
        <v>56.28529657733361</v>
      </c>
    </row>
    <row r="42" spans="1:22" ht="12">
      <c r="A42" s="85" t="s">
        <v>30</v>
      </c>
      <c r="B42" s="34">
        <f>NPV('Tai chinh'!$B$65,F42:V42)+E42+D42/(1+'Tai chinh'!$B$65)^D$2+C42/(1+'Tai chinh'!$B$65)^C$2</f>
        <v>85897.03198507792</v>
      </c>
      <c r="C42" s="134">
        <f>'Tai chinh'!C185</f>
        <v>1548.3</v>
      </c>
      <c r="D42" s="134">
        <f>'Tai chinh'!D185</f>
        <v>14041.6</v>
      </c>
      <c r="E42" s="134">
        <f>'Tai chinh'!E185</f>
        <v>38585</v>
      </c>
      <c r="F42" s="134">
        <f>'Tai chinh'!F185</f>
        <v>10376</v>
      </c>
      <c r="G42" s="134">
        <f>'Tai chinh'!G185</f>
        <v>1585</v>
      </c>
      <c r="H42" s="134">
        <f>'Tai chinh'!H185</f>
        <v>3306.795</v>
      </c>
      <c r="I42" s="134">
        <f>'Tai chinh'!I185</f>
        <v>3405.99885</v>
      </c>
      <c r="J42" s="134">
        <f>'Tai chinh'!J185</f>
        <v>3508.1788155</v>
      </c>
      <c r="K42" s="134">
        <f>'Tai chinh'!K185</f>
        <v>3613.424179965</v>
      </c>
      <c r="L42" s="134">
        <f>'Tai chinh'!L185</f>
        <v>3721.82690536395</v>
      </c>
      <c r="M42" s="134">
        <f>'Tai chinh'!M185</f>
        <v>3833.4817125248687</v>
      </c>
      <c r="N42" s="134">
        <f>'Tai chinh'!N185</f>
        <v>3948.486163900615</v>
      </c>
      <c r="O42" s="134">
        <f>'Tai chinh'!O185</f>
        <v>4066.9407488176334</v>
      </c>
      <c r="P42" s="134">
        <f>'Tai chinh'!P185</f>
        <v>4188.948971282162</v>
      </c>
      <c r="Q42" s="134">
        <f>'Tai chinh'!Q185</f>
        <v>4314.617440420628</v>
      </c>
      <c r="R42" s="134">
        <f>'Tai chinh'!R185</f>
        <v>4444.055963633246</v>
      </c>
      <c r="S42" s="134">
        <f>'Tai chinh'!S185</f>
        <v>4577.377642542244</v>
      </c>
      <c r="T42" s="134">
        <f>'Tai chinh'!T185</f>
        <v>4714.698971818511</v>
      </c>
      <c r="U42" s="134">
        <f>'Tai chinh'!U185</f>
        <v>4856.139940973067</v>
      </c>
      <c r="V42" s="135">
        <f>'Tai chinh'!V185</f>
        <v>5001.824139202258</v>
      </c>
    </row>
    <row r="43" spans="1:22" ht="12">
      <c r="A43" s="85" t="s">
        <v>31</v>
      </c>
      <c r="B43" s="34">
        <f>NPV('Tai chinh'!$B$65,F43:V43)+E43+D43/(1+'Tai chinh'!$B$65)^D$2+C43/(1+'Tai chinh'!$B$65)^C$2</f>
        <v>210562.75329872387</v>
      </c>
      <c r="C43" s="134">
        <f>SUM(C40:C42)</f>
        <v>1698.3</v>
      </c>
      <c r="D43" s="134">
        <f aca="true" t="shared" si="10" ref="D43:V43">SUM(D40:D42)</f>
        <v>14601.6</v>
      </c>
      <c r="E43" s="134">
        <f t="shared" si="10"/>
        <v>39215</v>
      </c>
      <c r="F43" s="134">
        <f t="shared" si="10"/>
        <v>17941.196969696968</v>
      </c>
      <c r="G43" s="134">
        <f t="shared" si="10"/>
        <v>12091.321482021242</v>
      </c>
      <c r="H43" s="134">
        <f t="shared" si="10"/>
        <v>20898.678952913935</v>
      </c>
      <c r="I43" s="134">
        <f t="shared" si="10"/>
        <v>22611.446718044954</v>
      </c>
      <c r="J43" s="134">
        <f t="shared" si="10"/>
        <v>24043.97263592623</v>
      </c>
      <c r="K43" s="134">
        <f t="shared" si="10"/>
        <v>24506.553315686775</v>
      </c>
      <c r="L43" s="134">
        <f t="shared" si="10"/>
        <v>25247.34718926588</v>
      </c>
      <c r="M43" s="134">
        <f t="shared" si="10"/>
        <v>25884.749840085267</v>
      </c>
      <c r="N43" s="134">
        <f t="shared" si="10"/>
        <v>26620.058011401292</v>
      </c>
      <c r="O43" s="134">
        <f t="shared" si="10"/>
        <v>27417.63508722165</v>
      </c>
      <c r="P43" s="134">
        <f t="shared" si="10"/>
        <v>28239.117649962314</v>
      </c>
      <c r="Q43" s="134">
        <f t="shared" si="10"/>
        <v>29085.12664472285</v>
      </c>
      <c r="R43" s="134">
        <f t="shared" si="10"/>
        <v>29900.867765631818</v>
      </c>
      <c r="S43" s="134">
        <f t="shared" si="10"/>
        <v>30778.19921386743</v>
      </c>
      <c r="T43" s="134">
        <f t="shared" si="10"/>
        <v>31700.394546872598</v>
      </c>
      <c r="U43" s="134">
        <f t="shared" si="10"/>
        <v>32650.245384077214</v>
      </c>
      <c r="V43" s="135">
        <f t="shared" si="10"/>
        <v>33628.58129740516</v>
      </c>
    </row>
    <row r="44" spans="1:22" ht="12">
      <c r="A44" s="85"/>
      <c r="B44" s="34">
        <f>NPV('Tai chinh'!$B$65,F44:V44)+E44+D44/(1+'Tai chinh'!$B$65)^D$2+C44/(1+'Tai chinh'!$B$65)^C$2</f>
        <v>0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5"/>
    </row>
    <row r="45" spans="1:22" ht="12.75" thickBot="1">
      <c r="A45" s="137" t="s">
        <v>33</v>
      </c>
      <c r="B45" s="122">
        <f>NPV('Tai chinh'!$B$65,F45:V45)+E45+D45/(1+'Tai chinh'!$B$65)^D$2+C45/(1+'Tai chinh'!$B$65)^C$2</f>
        <v>57198.0049167401</v>
      </c>
      <c r="C45" s="138">
        <f>C38-C43</f>
        <v>-1679.725</v>
      </c>
      <c r="D45" s="138">
        <f aca="true" t="shared" si="11" ref="D45:V45">D38-D43</f>
        <v>-13804.35</v>
      </c>
      <c r="E45" s="138">
        <f t="shared" si="11"/>
        <v>-37173.38611111111</v>
      </c>
      <c r="F45" s="138">
        <f t="shared" si="11"/>
        <v>-11713.403581406088</v>
      </c>
      <c r="G45" s="138">
        <f t="shared" si="11"/>
        <v>7708.757169877936</v>
      </c>
      <c r="H45" s="138">
        <f t="shared" si="11"/>
        <v>14046.398166892905</v>
      </c>
      <c r="I45" s="138">
        <f t="shared" si="11"/>
        <v>18163.414690087204</v>
      </c>
      <c r="J45" s="138">
        <f t="shared" si="11"/>
        <v>17405.236317488463</v>
      </c>
      <c r="K45" s="138">
        <f t="shared" si="11"/>
        <v>16481.181979046225</v>
      </c>
      <c r="L45" s="138">
        <f t="shared" si="11"/>
        <v>20364.619569563063</v>
      </c>
      <c r="M45" s="138">
        <f t="shared" si="11"/>
        <v>20950.52981337685</v>
      </c>
      <c r="N45" s="138">
        <f t="shared" si="11"/>
        <v>17545.160230464768</v>
      </c>
      <c r="O45" s="138">
        <f t="shared" si="11"/>
        <v>19065.779303423784</v>
      </c>
      <c r="P45" s="138">
        <f t="shared" si="11"/>
        <v>22997.17132957165</v>
      </c>
      <c r="Q45" s="138">
        <f t="shared" si="11"/>
        <v>23899.953339575328</v>
      </c>
      <c r="R45" s="138">
        <f t="shared" si="11"/>
        <v>25343.75016266867</v>
      </c>
      <c r="S45" s="138">
        <f t="shared" si="11"/>
        <v>23387.981094657505</v>
      </c>
      <c r="T45" s="138">
        <f t="shared" si="11"/>
        <v>19544.716111420446</v>
      </c>
      <c r="U45" s="138">
        <f t="shared" si="11"/>
        <v>20531.75043671937</v>
      </c>
      <c r="V45" s="139">
        <f t="shared" si="11"/>
        <v>211362.92302668092</v>
      </c>
    </row>
    <row r="46" spans="1:22" ht="12">
      <c r="A46" s="18" t="s">
        <v>265</v>
      </c>
      <c r="B46" s="19">
        <f>IRR(C45:V45,10%)</f>
        <v>0.21644331937362696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2">
      <c r="A47" s="18" t="s">
        <v>266</v>
      </c>
      <c r="B47" s="19">
        <f>(1+B46)/(1+'Tai chinh'!B5)-1</f>
        <v>0.18101293143070585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3:22" ht="1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3:22" ht="1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3:22" ht="1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3:22" ht="1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</sheetData>
  <sheetProtection/>
  <printOptions gridLines="1" headings="1"/>
  <pageMargins left="0.75" right="0.75" top="1" bottom="1" header="0.5" footer="0.5"/>
  <pageSetup fitToHeight="10" fitToWidth="1" horizontalDpi="600" verticalDpi="600" orientation="landscape" scale="5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2.75"/>
  <cols>
    <col min="1" max="1" width="43.421875" style="2" customWidth="1"/>
    <col min="2" max="2" width="9.140625" style="2" customWidth="1"/>
    <col min="3" max="22" width="7.57421875" style="2" customWidth="1"/>
    <col min="23" max="16384" width="9.140625" style="2" customWidth="1"/>
  </cols>
  <sheetData>
    <row r="1" spans="3:22" ht="12"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2">
        <v>2005</v>
      </c>
      <c r="M1" s="2">
        <v>2006</v>
      </c>
      <c r="N1" s="2">
        <v>2007</v>
      </c>
      <c r="O1" s="2">
        <v>2008</v>
      </c>
      <c r="P1" s="2">
        <v>2009</v>
      </c>
      <c r="Q1" s="2">
        <v>2010</v>
      </c>
      <c r="R1" s="2">
        <v>2011</v>
      </c>
      <c r="S1" s="2">
        <v>2012</v>
      </c>
      <c r="T1" s="2">
        <v>2013</v>
      </c>
      <c r="U1" s="2">
        <v>2014</v>
      </c>
      <c r="V1" s="2">
        <v>2015</v>
      </c>
    </row>
    <row r="2" spans="2:22" ht="12">
      <c r="B2" s="2" t="s">
        <v>32</v>
      </c>
      <c r="C2" s="2">
        <v>-2</v>
      </c>
      <c r="D2" s="2">
        <v>-1</v>
      </c>
      <c r="E2" s="2">
        <v>0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</row>
    <row r="3" ht="12">
      <c r="A3" s="1" t="s">
        <v>241</v>
      </c>
    </row>
    <row r="4" ht="12">
      <c r="A4" s="14" t="s">
        <v>24</v>
      </c>
    </row>
    <row r="5" spans="1:23" ht="12">
      <c r="A5" s="12" t="s">
        <v>13</v>
      </c>
      <c r="B5" s="4">
        <f>NPV('Tai chinh'!$B$65,F5:V5)+E5+D5/(1+'Tai chinh'!$B$65)^D$2+C5/(1+'Tai chinh'!$B$65)^C$2</f>
        <v>316817.9570171998</v>
      </c>
      <c r="C5" s="4">
        <f>'Tai chinh'!C178</f>
        <v>0</v>
      </c>
      <c r="D5" s="4">
        <f>'Tai chinh'!D178</f>
        <v>0</v>
      </c>
      <c r="E5" s="4">
        <f>'Tai chinh'!E178</f>
        <v>0</v>
      </c>
      <c r="F5" s="4">
        <f>'Tai chinh'!F178</f>
        <v>2571.0346061855666</v>
      </c>
      <c r="G5" s="4">
        <f>'Tai chinh'!G178</f>
        <v>16830.470773195873</v>
      </c>
      <c r="H5" s="4">
        <f>'Tai chinh'!H178</f>
        <v>33227.78356828125</v>
      </c>
      <c r="I5" s="4">
        <f>'Tai chinh'!I178</f>
        <v>39622.02747888273</v>
      </c>
      <c r="J5" s="4">
        <f>'Tai chinh'!J178</f>
        <v>44140.57010672448</v>
      </c>
      <c r="K5" s="4">
        <f>'Tai chinh'!K178</f>
        <v>46442.50083779017</v>
      </c>
      <c r="L5" s="4">
        <f>'Tai chinh'!L178</f>
        <v>48864.37380086514</v>
      </c>
      <c r="M5" s="4">
        <f>'Tai chinh'!M178</f>
        <v>50267.83236320877</v>
      </c>
      <c r="N5" s="4">
        <f>'Tai chinh'!N178</f>
        <v>51338.53719254511</v>
      </c>
      <c r="O5" s="4">
        <f>'Tai chinh'!O178</f>
        <v>52432.04803474632</v>
      </c>
      <c r="P5" s="4">
        <f>'Tai chinh'!P178</f>
        <v>53548.85065788643</v>
      </c>
      <c r="Q5" s="4">
        <f>'Tai chinh'!Q178</f>
        <v>54688.57068028134</v>
      </c>
      <c r="R5" s="4">
        <f>'Tai chinh'!R178</f>
        <v>55346.00340850516</v>
      </c>
      <c r="S5" s="4">
        <f>'Tai chinh'!S178</f>
        <v>55844.11743918169</v>
      </c>
      <c r="T5" s="4">
        <f>'Tai chinh'!T178</f>
        <v>56346.71449613433</v>
      </c>
      <c r="U5" s="4">
        <f>'Tai chinh'!U178</f>
        <v>56853.834926599535</v>
      </c>
      <c r="V5" s="4">
        <f>'Tai chinh'!V178+'Tai chinh'!V178*(1+'Tai chinh'!$B$5)/('Tai chinh'!$B$65-'Tai chinh'!$B$5)</f>
        <v>631020.713850327</v>
      </c>
      <c r="W5" s="4"/>
    </row>
    <row r="6" ht="12">
      <c r="A6" s="14" t="s">
        <v>25</v>
      </c>
    </row>
    <row r="7" spans="1:23" ht="12">
      <c r="A7" s="12" t="s">
        <v>26</v>
      </c>
      <c r="B7" s="4">
        <f>NPV('Tai chinh'!$B$65,F7:V7)+E7+D7/(1+'Tai chinh'!$B$65)^D$2+C7/(1+'Tai chinh'!$B$65)^C$2</f>
        <v>154577.4343727725</v>
      </c>
      <c r="C7" s="4">
        <f>'Tai chinh'!C182</f>
        <v>0</v>
      </c>
      <c r="D7" s="4">
        <f>'Tai chinh'!D182</f>
        <v>0</v>
      </c>
      <c r="E7" s="4">
        <f>'Tai chinh'!E182</f>
        <v>0</v>
      </c>
      <c r="F7" s="4">
        <f>'Tai chinh'!F182</f>
        <v>7255.19696969697</v>
      </c>
      <c r="G7" s="4">
        <f>'Tai chinh'!G182</f>
        <v>10304.969696969696</v>
      </c>
      <c r="H7" s="4">
        <f>'Tai chinh'!H182</f>
        <v>15788.179545454546</v>
      </c>
      <c r="I7" s="4">
        <f>'Tai chinh'!I182</f>
        <v>18502.08103787879</v>
      </c>
      <c r="J7" s="4">
        <f>'Tai chinh'!J182</f>
        <v>20038.75413136364</v>
      </c>
      <c r="K7" s="4">
        <f>'Tai chinh'!K182</f>
        <v>20639.916755304548</v>
      </c>
      <c r="L7" s="4">
        <f>'Tai chinh'!L182</f>
        <v>21259.114257963687</v>
      </c>
      <c r="M7" s="4">
        <f>'Tai chinh'!M182</f>
        <v>21896.8876857026</v>
      </c>
      <c r="N7" s="4">
        <f>'Tai chinh'!N182</f>
        <v>22553.794316273677</v>
      </c>
      <c r="O7" s="4">
        <f>'Tai chinh'!O182</f>
        <v>23230.408145761885</v>
      </c>
      <c r="P7" s="4">
        <f>'Tai chinh'!P182</f>
        <v>23927.32039013474</v>
      </c>
      <c r="Q7" s="4">
        <f>'Tai chinh'!Q182</f>
        <v>24645.140001838783</v>
      </c>
      <c r="R7" s="4">
        <f>'Tai chinh'!R182</f>
        <v>25384.49420189395</v>
      </c>
      <c r="S7" s="4">
        <f>'Tai chinh'!S182</f>
        <v>26146.029027950768</v>
      </c>
      <c r="T7" s="4">
        <f>'Tai chinh'!T182</f>
        <v>26930.409898789298</v>
      </c>
      <c r="U7" s="4">
        <f>'Tai chinh'!U182</f>
        <v>27738.322195752975</v>
      </c>
      <c r="V7" s="4">
        <f>'Tai chinh'!V182+'Tai chinh'!V182*(1+'Tai chinh'!$B$5)/('Tai chinh'!$B$65-'Tai chinh'!$B$5)</f>
        <v>314275.1904778806</v>
      </c>
      <c r="W7" s="4"/>
    </row>
    <row r="8" spans="1:23" ht="12">
      <c r="A8" s="12" t="s">
        <v>240</v>
      </c>
      <c r="B8" s="4">
        <f>NPV('Tai chinh'!$B$65,F8:V8)+E8+D8/(1+'Tai chinh'!$B$65)^D$2+C8/(1+'Tai chinh'!$B$65)^C$2</f>
        <v>20098.243818915696</v>
      </c>
      <c r="C8" s="4">
        <f>'Tai chinh'!C183</f>
        <v>0</v>
      </c>
      <c r="D8" s="4">
        <f>'Tai chinh'!D183</f>
        <v>0</v>
      </c>
      <c r="E8" s="4">
        <f>'Tai chinh'!E183</f>
        <v>0</v>
      </c>
      <c r="F8" s="4">
        <f>'Tai chinh'!F183</f>
        <v>0</v>
      </c>
      <c r="G8" s="4">
        <f>'Tai chinh'!G183</f>
        <v>0</v>
      </c>
      <c r="H8" s="4">
        <f>'Tai chinh'!H183</f>
        <v>0</v>
      </c>
      <c r="I8" s="4">
        <f>'Tai chinh'!I183</f>
        <v>0</v>
      </c>
      <c r="J8" s="4">
        <f>'Tai chinh'!J183</f>
        <v>0</v>
      </c>
      <c r="K8" s="4">
        <f>'Tai chinh'!K183</f>
        <v>0</v>
      </c>
      <c r="L8" s="4">
        <f>'Tai chinh'!L183</f>
        <v>0</v>
      </c>
      <c r="M8" s="4">
        <f>'Tai chinh'!M183</f>
        <v>5502.708359864918</v>
      </c>
      <c r="N8" s="4">
        <f>'Tai chinh'!N183</f>
        <v>5830.177519462804</v>
      </c>
      <c r="O8" s="4">
        <f>'Tai chinh'!O183</f>
        <v>6156.983826905429</v>
      </c>
      <c r="P8" s="4">
        <f>'Tai chinh'!P183</f>
        <v>6211.119662237023</v>
      </c>
      <c r="Q8" s="4">
        <f>'Tai chinh'!Q183</f>
        <v>6264.23290276871</v>
      </c>
      <c r="R8" s="4">
        <f>'Tai chinh'!R183</f>
        <v>6189.819816805617</v>
      </c>
      <c r="S8" s="4">
        <f>'Tai chinh'!S183</f>
        <v>6068.413918415129</v>
      </c>
      <c r="T8" s="4">
        <f>'Tai chinh'!T183</f>
        <v>5940.750744411878</v>
      </c>
      <c r="U8" s="4">
        <f>'Tai chinh'!U183</f>
        <v>5806.619040639529</v>
      </c>
      <c r="V8" s="4">
        <f>'Tai chinh'!V183+'Tai chinh'!V183*(1+'Tai chinh'!$B$5)/('Tai chinh'!$B$65-'Tai chinh'!$B$5)</f>
        <v>62323.8110384346</v>
      </c>
      <c r="W8" s="4"/>
    </row>
    <row r="9" spans="1:23" ht="12">
      <c r="A9" s="12" t="s">
        <v>29</v>
      </c>
      <c r="B9" s="4">
        <f>NPV('Tai chinh'!$B$65,F9:V9)+E9+D9/(1+'Tai chinh'!$B$65)^D$2+C9/(1+'Tai chinh'!$B$65)^C$2</f>
        <v>4354.3086906509325</v>
      </c>
      <c r="C9" s="4">
        <f>'Tai chinh'!C184</f>
        <v>150</v>
      </c>
      <c r="D9" s="4">
        <f>'Tai chinh'!D184</f>
        <v>560</v>
      </c>
      <c r="E9" s="4">
        <f>'Tai chinh'!E184</f>
        <v>630</v>
      </c>
      <c r="F9" s="4">
        <f>'Tai chinh'!F184</f>
        <v>310</v>
      </c>
      <c r="G9" s="4">
        <f>'Tai chinh'!G184</f>
        <v>201.35178505154636</v>
      </c>
      <c r="H9" s="4">
        <f>'Tai chinh'!H184</f>
        <v>1803.7044074593914</v>
      </c>
      <c r="I9" s="4">
        <f>'Tai chinh'!I184</f>
        <v>703.3668301661628</v>
      </c>
      <c r="J9" s="4">
        <f>'Tai chinh'!J184</f>
        <v>497.0396890625925</v>
      </c>
      <c r="K9" s="4">
        <f>'Tai chinh'!K184</f>
        <v>253.21238041722518</v>
      </c>
      <c r="L9" s="4">
        <f>'Tai chinh'!L184</f>
        <v>266.4060259382477</v>
      </c>
      <c r="M9" s="4">
        <f>'Tai chinh'!M184</f>
        <v>154.38044185779836</v>
      </c>
      <c r="N9" s="4">
        <f>'Tai chinh'!N184</f>
        <v>117.77753122699869</v>
      </c>
      <c r="O9" s="4">
        <f>'Tai chinh'!O184</f>
        <v>120.28619264213285</v>
      </c>
      <c r="P9" s="4">
        <f>'Tai chinh'!P184</f>
        <v>122.84828854541229</v>
      </c>
      <c r="Q9" s="4">
        <f>'Tai chinh'!Q184</f>
        <v>125.36920246343925</v>
      </c>
      <c r="R9" s="4">
        <f>'Tai chinh'!R184</f>
        <v>72.3176001046213</v>
      </c>
      <c r="S9" s="4">
        <f>'Tai chinh'!S184</f>
        <v>54.79254337441762</v>
      </c>
      <c r="T9" s="4">
        <f>'Tai chinh'!T184</f>
        <v>55.2856762647898</v>
      </c>
      <c r="U9" s="4">
        <f>'Tai chinh'!U184</f>
        <v>55.78324735117258</v>
      </c>
      <c r="V9" s="4">
        <f>'Tai chinh'!V184+'Tai chinh'!V184*(1+'Tai chinh'!$B$5)/('Tai chinh'!$B$65-'Tai chinh'!$B$5)</f>
        <v>619.1382623506685</v>
      </c>
      <c r="W9" s="4"/>
    </row>
    <row r="10" spans="1:23" ht="12">
      <c r="A10" s="12" t="s">
        <v>30</v>
      </c>
      <c r="B10" s="4">
        <f>NPV('Tai chinh'!$B$65,F10:V10)+E10+D10/(1+'Tai chinh'!$B$65)^D$2+C10/(1+'Tai chinh'!$B$65)^C$2</f>
        <v>91884.1793869049</v>
      </c>
      <c r="C10" s="4">
        <f>'Tai chinh'!C185</f>
        <v>1548.3</v>
      </c>
      <c r="D10" s="4">
        <f>'Tai chinh'!D185</f>
        <v>14041.6</v>
      </c>
      <c r="E10" s="4">
        <f>'Tai chinh'!E185</f>
        <v>38585</v>
      </c>
      <c r="F10" s="4">
        <f>'Tai chinh'!F185</f>
        <v>10376</v>
      </c>
      <c r="G10" s="4">
        <f>'Tai chinh'!G185</f>
        <v>1585</v>
      </c>
      <c r="H10" s="4">
        <f>'Tai chinh'!H185</f>
        <v>3306.795</v>
      </c>
      <c r="I10" s="4">
        <f>'Tai chinh'!I185</f>
        <v>3405.99885</v>
      </c>
      <c r="J10" s="4">
        <f>'Tai chinh'!J185</f>
        <v>3508.1788155</v>
      </c>
      <c r="K10" s="4">
        <f>'Tai chinh'!K185</f>
        <v>3613.424179965</v>
      </c>
      <c r="L10" s="4">
        <f>'Tai chinh'!L185</f>
        <v>3721.82690536395</v>
      </c>
      <c r="M10" s="4">
        <f>'Tai chinh'!M185</f>
        <v>3833.4817125248687</v>
      </c>
      <c r="N10" s="4">
        <f>'Tai chinh'!N185</f>
        <v>3948.486163900615</v>
      </c>
      <c r="O10" s="4">
        <f>'Tai chinh'!O185</f>
        <v>4066.9407488176334</v>
      </c>
      <c r="P10" s="4">
        <f>'Tai chinh'!P185</f>
        <v>4188.948971282162</v>
      </c>
      <c r="Q10" s="4">
        <f>'Tai chinh'!Q185</f>
        <v>4314.617440420628</v>
      </c>
      <c r="R10" s="4">
        <f>'Tai chinh'!R185</f>
        <v>4444.055963633246</v>
      </c>
      <c r="S10" s="4">
        <f>'Tai chinh'!S185</f>
        <v>4577.377642542244</v>
      </c>
      <c r="T10" s="4">
        <f>'Tai chinh'!T185</f>
        <v>4714.698971818511</v>
      </c>
      <c r="U10" s="4">
        <f>'Tai chinh'!U185</f>
        <v>4856.139940973067</v>
      </c>
      <c r="V10" s="4">
        <f>'Tai chinh'!V185+'Tai chinh'!V185*(1+'Tai chinh'!$B$5)/('Tai chinh'!$B$65-'Tai chinh'!$B$5)</f>
        <v>55020.06553122473</v>
      </c>
      <c r="W10" s="4"/>
    </row>
    <row r="11" spans="1:23" ht="12">
      <c r="A11" s="1" t="s">
        <v>33</v>
      </c>
      <c r="B11" s="17">
        <f>NPV('Tai chinh'!$B$65,F11:V11)+E11+D11/(1+'Tai chinh'!$B$65)^D$2+C11/(1+'Tai chinh'!$B$65)^C$2</f>
        <v>45903.790747955754</v>
      </c>
      <c r="C11" s="4">
        <f>C5-SUM(C7:C10)</f>
        <v>-1698.3</v>
      </c>
      <c r="D11" s="4">
        <f aca="true" t="shared" si="0" ref="D11:V11">D5-SUM(D7:D10)</f>
        <v>-14601.6</v>
      </c>
      <c r="E11" s="4">
        <f t="shared" si="0"/>
        <v>-39215</v>
      </c>
      <c r="F11" s="4">
        <f t="shared" si="0"/>
        <v>-15370.162363511401</v>
      </c>
      <c r="G11" s="4">
        <f t="shared" si="0"/>
        <v>4739.149291174632</v>
      </c>
      <c r="H11" s="4">
        <f t="shared" si="0"/>
        <v>12329.104615367316</v>
      </c>
      <c r="I11" s="4">
        <f t="shared" si="0"/>
        <v>17010.580760837776</v>
      </c>
      <c r="J11" s="4">
        <f t="shared" si="0"/>
        <v>20096.59747079825</v>
      </c>
      <c r="K11" s="4">
        <f t="shared" si="0"/>
        <v>21935.947522103394</v>
      </c>
      <c r="L11" s="4">
        <f t="shared" si="0"/>
        <v>23617.02661159926</v>
      </c>
      <c r="M11" s="4">
        <f t="shared" si="0"/>
        <v>18880.374163258584</v>
      </c>
      <c r="N11" s="4">
        <f t="shared" si="0"/>
        <v>18888.301661681013</v>
      </c>
      <c r="O11" s="4">
        <f t="shared" si="0"/>
        <v>18857.429120619243</v>
      </c>
      <c r="P11" s="4">
        <f t="shared" si="0"/>
        <v>19098.613345687096</v>
      </c>
      <c r="Q11" s="4">
        <f t="shared" si="0"/>
        <v>19339.211132789773</v>
      </c>
      <c r="R11" s="4">
        <f t="shared" si="0"/>
        <v>19255.315826067723</v>
      </c>
      <c r="S11" s="4">
        <f t="shared" si="0"/>
        <v>18997.504306899136</v>
      </c>
      <c r="T11" s="4">
        <f t="shared" si="0"/>
        <v>18705.569204849853</v>
      </c>
      <c r="U11" s="4">
        <f t="shared" si="0"/>
        <v>18396.970501882788</v>
      </c>
      <c r="V11" s="4">
        <f t="shared" si="0"/>
        <v>198782.50854043633</v>
      </c>
      <c r="W11" s="4"/>
    </row>
    <row r="13" spans="1:22" ht="12">
      <c r="A13" s="1" t="s">
        <v>242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2">
      <c r="A14" s="14" t="s">
        <v>24</v>
      </c>
    </row>
    <row r="15" spans="1:22" ht="12">
      <c r="A15" s="12" t="s">
        <v>13</v>
      </c>
      <c r="B15" s="4">
        <f>NPV('Tai chinh'!$B$65,F15:V15)+E15+D15/(1+'Tai chinh'!$B$65)^D$2+C15/(1+'Tai chinh'!$B$65)^C$2</f>
        <v>243706.1207824613</v>
      </c>
      <c r="C15" s="4">
        <f>'Kinh te'!C33</f>
        <v>0</v>
      </c>
      <c r="D15" s="4">
        <f>'Kinh te'!D33</f>
        <v>0</v>
      </c>
      <c r="E15" s="4">
        <f>'Kinh te'!E33</f>
        <v>0</v>
      </c>
      <c r="F15" s="4">
        <f>'Kinh te'!F33</f>
        <v>1977.7189278350513</v>
      </c>
      <c r="G15" s="4">
        <f>'Kinh te'!G33</f>
        <v>12946.51597938144</v>
      </c>
      <c r="H15" s="4">
        <f>'Kinh te'!H33</f>
        <v>25559.833514062502</v>
      </c>
      <c r="I15" s="4">
        <f>'Kinh te'!I33</f>
        <v>30478.48267606364</v>
      </c>
      <c r="J15" s="4">
        <f>'Kinh te'!J33</f>
        <v>33954.28469748037</v>
      </c>
      <c r="K15" s="4">
        <f>'Kinh te'!K33</f>
        <v>35725.00064445397</v>
      </c>
      <c r="L15" s="4">
        <f>'Kinh te'!L33</f>
        <v>37587.97984681933</v>
      </c>
      <c r="M15" s="4">
        <f>'Kinh te'!M33</f>
        <v>38667.56335631443</v>
      </c>
      <c r="N15" s="4">
        <f>'Kinh te'!N33</f>
        <v>39491.18245580393</v>
      </c>
      <c r="O15" s="4">
        <f>'Kinh te'!O33</f>
        <v>40332.344642112555</v>
      </c>
      <c r="P15" s="4">
        <f>'Kinh te'!P33</f>
        <v>41191.423582989555</v>
      </c>
      <c r="Q15" s="4">
        <f>'Kinh te'!Q33</f>
        <v>42068.13129252409</v>
      </c>
      <c r="R15" s="4">
        <f>'Kinh te'!R33</f>
        <v>42573.84877577319</v>
      </c>
      <c r="S15" s="4">
        <f>'Kinh te'!S33</f>
        <v>42957.01341475514</v>
      </c>
      <c r="T15" s="4">
        <f>'Kinh te'!T33</f>
        <v>43343.626535487936</v>
      </c>
      <c r="U15" s="4">
        <f>'Kinh te'!U33</f>
        <v>43733.71917430733</v>
      </c>
      <c r="V15" s="4">
        <f>'Kinh te'!V33+'Kinh te'!V33*(1+'Tai chinh'!$B$5)/('Tai chinh'!$B$65-'Tai chinh'!$B$5)</f>
        <v>485400.549115636</v>
      </c>
    </row>
    <row r="16" spans="1:22" ht="12">
      <c r="A16" s="12" t="s">
        <v>243</v>
      </c>
      <c r="B16" s="4">
        <f>NPV('Tai chinh'!$B$65,F16:V16)+E16+D16/(1+'Tai chinh'!$B$65)^D$2+C16/(1+'Tai chinh'!$B$65)^C$2</f>
        <v>10291.243557044987</v>
      </c>
      <c r="C16" s="4">
        <f>'Kinh te'!C34</f>
        <v>18.575</v>
      </c>
      <c r="D16" s="4">
        <f>'Kinh te'!D34</f>
        <v>797.25</v>
      </c>
      <c r="E16" s="4">
        <f>'Kinh te'!E34</f>
        <v>1645.525</v>
      </c>
      <c r="F16" s="4">
        <f>'Kinh te'!F34</f>
        <v>1559.6</v>
      </c>
      <c r="G16" s="4">
        <f>'Kinh te'!G34</f>
        <v>660</v>
      </c>
      <c r="H16" s="4">
        <f>'Kinh te'!H34</f>
        <v>634.5</v>
      </c>
      <c r="I16" s="4">
        <f>'Kinh te'!I34</f>
        <v>723.71</v>
      </c>
      <c r="J16" s="4">
        <f>'Kinh te'!J34</f>
        <v>840.5819250000001</v>
      </c>
      <c r="K16" s="4">
        <f>'Kinh te'!K34</f>
        <v>865.79938275</v>
      </c>
      <c r="L16" s="4">
        <f>'Kinh te'!L34</f>
        <v>891.7733642325</v>
      </c>
      <c r="M16" s="4">
        <f>'Kinh te'!M34</f>
        <v>918.526565159475</v>
      </c>
      <c r="N16" s="4">
        <f>'Kinh te'!N34</f>
        <v>946.0823621142592</v>
      </c>
      <c r="O16" s="4">
        <f>'Kinh te'!O34</f>
        <v>974.4648329776871</v>
      </c>
      <c r="P16" s="4">
        <f>'Kinh te'!P34</f>
        <v>1003.6987779670178</v>
      </c>
      <c r="Q16" s="4">
        <f>'Kinh te'!Q34</f>
        <v>1033.8097413060282</v>
      </c>
      <c r="R16" s="4">
        <f>'Kinh te'!R34</f>
        <v>1064.8240335452092</v>
      </c>
      <c r="S16" s="4">
        <f>'Kinh te'!S34</f>
        <v>1096.7687545515655</v>
      </c>
      <c r="T16" s="4">
        <f>'Kinh te'!T34</f>
        <v>1129.6718171881125</v>
      </c>
      <c r="U16" s="4">
        <f>'Kinh te'!U34</f>
        <v>1163.561971703756</v>
      </c>
      <c r="V16" s="4">
        <f>'Kinh te'!V34+'Kinh te'!V34*(1+'Tai chinh'!$B$5)/('Tai chinh'!$B$65-'Tai chinh'!$B$5)</f>
        <v>13183.157139403527</v>
      </c>
    </row>
    <row r="17" spans="1:22" ht="12">
      <c r="A17" s="12" t="s">
        <v>244</v>
      </c>
      <c r="B17" s="4">
        <f>NPV('Tai chinh'!$B$65,F17:V17)+E17+D17/(1+'Tai chinh'!$B$65)^D$2+C17/(1+'Tai chinh'!$B$65)^C$2</f>
        <v>51876.64567965639</v>
      </c>
      <c r="C17" s="4">
        <f>'Kinh te'!C35</f>
        <v>0</v>
      </c>
      <c r="D17" s="4">
        <f>'Kinh te'!D35</f>
        <v>0</v>
      </c>
      <c r="E17" s="4">
        <f>'Kinh te'!E35</f>
        <v>396.08888888888896</v>
      </c>
      <c r="F17" s="4">
        <f>'Kinh te'!F35</f>
        <v>2672.106666666666</v>
      </c>
      <c r="G17" s="4">
        <f>'Kinh te'!G35</f>
        <v>6075.319999999999</v>
      </c>
      <c r="H17" s="4">
        <f>'Kinh te'!H35</f>
        <v>8522.387444444446</v>
      </c>
      <c r="I17" s="4">
        <f>'Kinh te'!I35</f>
        <v>9306.100973111113</v>
      </c>
      <c r="J17" s="4">
        <f>'Kinh te'!J35</f>
        <v>6363.6266691066685</v>
      </c>
      <c r="K17" s="4">
        <f>'Kinh te'!K35</f>
        <v>4097.498135846536</v>
      </c>
      <c r="L17" s="4">
        <f>'Kinh te'!L35</f>
        <v>6823.793302144153</v>
      </c>
      <c r="M17" s="4">
        <f>'Kinh te'!M35</f>
        <v>6931.51687898626</v>
      </c>
      <c r="N17" s="4">
        <f>'Kinh te'!N35</f>
        <v>3400.7503853558483</v>
      </c>
      <c r="O17" s="4">
        <f>'Kinh te'!O35</f>
        <v>4839.585785805411</v>
      </c>
      <c r="P17" s="4">
        <f>'Kinh te'!P35</f>
        <v>8694.036914935128</v>
      </c>
      <c r="Q17" s="4">
        <f>'Kinh te'!Q35</f>
        <v>9525.595355716516</v>
      </c>
      <c r="R17" s="4">
        <f>'Kinh te'!R35</f>
        <v>11237.675216388012</v>
      </c>
      <c r="S17" s="4">
        <f>'Kinh te'!S35</f>
        <v>9733.08013954632</v>
      </c>
      <c r="T17" s="4">
        <f>'Kinh te'!T35</f>
        <v>6381.1147659549315</v>
      </c>
      <c r="U17" s="4">
        <f>'Kinh te'!U35</f>
        <v>7882.2962089335815</v>
      </c>
      <c r="V17" s="4">
        <f>'Kinh te'!V35+'Kinh te'!V35*(1+'Tai chinh'!$B$5)/('Tai chinh'!$B$65-'Tai chinh'!$B$5)</f>
        <v>78134.20982499512</v>
      </c>
    </row>
    <row r="18" spans="1:22" ht="12">
      <c r="A18" s="12" t="s">
        <v>245</v>
      </c>
      <c r="B18" s="4">
        <f>NPV('Tai chinh'!$B$65,F18:V18)+E18+D18/(1+'Tai chinh'!$B$65)^D$2+C18/(1+'Tai chinh'!$B$65)^C$2</f>
        <v>2139.917347905717</v>
      </c>
      <c r="C18" s="4">
        <f>'Kinh te'!C36</f>
        <v>0</v>
      </c>
      <c r="D18" s="4">
        <f>'Kinh te'!D36</f>
        <v>0</v>
      </c>
      <c r="E18" s="4">
        <f>'Kinh te'!E36</f>
        <v>0</v>
      </c>
      <c r="F18" s="4">
        <f>'Kinh te'!F36</f>
        <v>18.36779378916364</v>
      </c>
      <c r="G18" s="4">
        <f>'Kinh te'!G36</f>
        <v>118.24267251774091</v>
      </c>
      <c r="H18" s="4">
        <f>'Kinh te'!H36</f>
        <v>228.35616129988716</v>
      </c>
      <c r="I18" s="4">
        <f>'Kinh te'!I36</f>
        <v>266.5677589574017</v>
      </c>
      <c r="J18" s="4">
        <f>'Kinh te'!J36</f>
        <v>290.71566182766037</v>
      </c>
      <c r="K18" s="4">
        <f>'Kinh te'!K36</f>
        <v>299.4371316824902</v>
      </c>
      <c r="L18" s="4">
        <f>'Kinh te'!L36</f>
        <v>308.42024563296485</v>
      </c>
      <c r="M18" s="4">
        <f>'Kinh te'!M36</f>
        <v>317.6728530019539</v>
      </c>
      <c r="N18" s="4">
        <f>'Kinh te'!N36</f>
        <v>327.20303859201255</v>
      </c>
      <c r="O18" s="4">
        <f>'Kinh te'!O36</f>
        <v>337.0191297497729</v>
      </c>
      <c r="P18" s="4">
        <f>'Kinh te'!P36</f>
        <v>347.12970364226607</v>
      </c>
      <c r="Q18" s="4">
        <f>'Kinh te'!Q36</f>
        <v>357.54359475153404</v>
      </c>
      <c r="R18" s="4">
        <f>'Kinh te'!R36</f>
        <v>368.26990259408007</v>
      </c>
      <c r="S18" s="4">
        <f>'Kinh te'!S36</f>
        <v>379.3179996719025</v>
      </c>
      <c r="T18" s="4">
        <f>'Kinh te'!T36</f>
        <v>390.6975396620596</v>
      </c>
      <c r="U18" s="4">
        <f>'Kinh te'!U36</f>
        <v>402.4184658519214</v>
      </c>
      <c r="V18" s="4">
        <f>'Kinh te'!V36+'Kinh te'!V36*(1+'Tai chinh'!$B$5)/('Tai chinh'!$B$65-'Tai chinh'!$B$5)</f>
        <v>4559.401218102261</v>
      </c>
    </row>
    <row r="19" ht="12">
      <c r="A19" s="14" t="s">
        <v>25</v>
      </c>
    </row>
    <row r="20" spans="1:22" ht="12">
      <c r="A20" s="12" t="s">
        <v>26</v>
      </c>
      <c r="B20" s="4">
        <f>NPV('Tai chinh'!$B$65,F20:V20)+E20+D20/(1+'Tai chinh'!$B$65)^D$2+C20/(1+'Tai chinh'!$B$65)^C$2</f>
        <v>154577.4343727725</v>
      </c>
      <c r="C20" s="4">
        <f>'Kinh te'!C40</f>
        <v>0</v>
      </c>
      <c r="D20" s="4">
        <f>'Kinh te'!D40</f>
        <v>0</v>
      </c>
      <c r="E20" s="4">
        <f>'Kinh te'!E40</f>
        <v>0</v>
      </c>
      <c r="F20" s="4">
        <f>'Kinh te'!F40</f>
        <v>7255.19696969697</v>
      </c>
      <c r="G20" s="4">
        <f>'Kinh te'!G40</f>
        <v>10304.969696969696</v>
      </c>
      <c r="H20" s="4">
        <f>'Kinh te'!H40</f>
        <v>15788.179545454546</v>
      </c>
      <c r="I20" s="4">
        <f>'Kinh te'!I40</f>
        <v>18502.08103787879</v>
      </c>
      <c r="J20" s="4">
        <f>'Kinh te'!J40</f>
        <v>20038.75413136364</v>
      </c>
      <c r="K20" s="4">
        <f>'Kinh te'!K40</f>
        <v>20639.916755304548</v>
      </c>
      <c r="L20" s="4">
        <f>'Kinh te'!L40</f>
        <v>21259.114257963687</v>
      </c>
      <c r="M20" s="4">
        <f>'Kinh te'!M40</f>
        <v>21896.8876857026</v>
      </c>
      <c r="N20" s="4">
        <f>'Kinh te'!N40</f>
        <v>22553.794316273677</v>
      </c>
      <c r="O20" s="4">
        <f>'Kinh te'!O40</f>
        <v>23230.408145761885</v>
      </c>
      <c r="P20" s="4">
        <f>'Kinh te'!P40</f>
        <v>23927.32039013474</v>
      </c>
      <c r="Q20" s="4">
        <f>'Kinh te'!Q40</f>
        <v>24645.140001838783</v>
      </c>
      <c r="R20" s="4">
        <f>'Kinh te'!R40</f>
        <v>25384.49420189395</v>
      </c>
      <c r="S20" s="4">
        <f>'Kinh te'!S40</f>
        <v>26146.029027950768</v>
      </c>
      <c r="T20" s="4">
        <f>'Kinh te'!T40</f>
        <v>26930.409898789298</v>
      </c>
      <c r="U20" s="4">
        <f>'Kinh te'!U40</f>
        <v>27738.322195752975</v>
      </c>
      <c r="V20" s="4">
        <f>'Kinh te'!V40+'Kinh te'!V40*(1+'Tai chinh'!$B$5)/('Tai chinh'!$B$65-'Tai chinh'!$B$5)</f>
        <v>314275.1904778806</v>
      </c>
    </row>
    <row r="21" spans="1:22" ht="12">
      <c r="A21" s="12" t="s">
        <v>29</v>
      </c>
      <c r="B21" s="4">
        <f>NPV('Tai chinh'!$B$65,F21:V21)+E21+D21/(1+'Tai chinh'!$B$65)^D$2+C21/(1+'Tai chinh'!$B$65)^C$2</f>
        <v>4354.3086906509325</v>
      </c>
      <c r="C21" s="4">
        <f>'Kinh te'!C41</f>
        <v>150</v>
      </c>
      <c r="D21" s="4">
        <f>'Kinh te'!D41</f>
        <v>560</v>
      </c>
      <c r="E21" s="4">
        <f>'Kinh te'!E41</f>
        <v>630</v>
      </c>
      <c r="F21" s="4">
        <f>'Kinh te'!F41</f>
        <v>310</v>
      </c>
      <c r="G21" s="4">
        <f>'Kinh te'!G41</f>
        <v>201.35178505154636</v>
      </c>
      <c r="H21" s="4">
        <f>'Kinh te'!H41</f>
        <v>1803.7044074593914</v>
      </c>
      <c r="I21" s="4">
        <f>'Kinh te'!I41</f>
        <v>703.3668301661628</v>
      </c>
      <c r="J21" s="4">
        <f>'Kinh te'!J41</f>
        <v>497.0396890625925</v>
      </c>
      <c r="K21" s="4">
        <f>'Kinh te'!K41</f>
        <v>253.21238041722518</v>
      </c>
      <c r="L21" s="4">
        <f>'Kinh te'!L41</f>
        <v>266.4060259382477</v>
      </c>
      <c r="M21" s="4">
        <f>'Kinh te'!M41</f>
        <v>154.38044185779836</v>
      </c>
      <c r="N21" s="4">
        <f>'Kinh te'!N41</f>
        <v>117.77753122699869</v>
      </c>
      <c r="O21" s="4">
        <f>'Kinh te'!O41</f>
        <v>120.28619264213285</v>
      </c>
      <c r="P21" s="4">
        <f>'Kinh te'!P41</f>
        <v>122.84828854541229</v>
      </c>
      <c r="Q21" s="4">
        <f>'Kinh te'!Q41</f>
        <v>125.36920246343925</v>
      </c>
      <c r="R21" s="4">
        <f>'Kinh te'!R41</f>
        <v>72.3176001046213</v>
      </c>
      <c r="S21" s="4">
        <f>'Kinh te'!S41</f>
        <v>54.79254337441762</v>
      </c>
      <c r="T21" s="4">
        <f>'Kinh te'!T41</f>
        <v>55.2856762647898</v>
      </c>
      <c r="U21" s="4">
        <f>'Kinh te'!U41</f>
        <v>55.78324735117258</v>
      </c>
      <c r="V21" s="4">
        <f>'Kinh te'!V41+'Kinh te'!V41*(1+'Tai chinh'!$B$5)/('Tai chinh'!$B$65-'Tai chinh'!$B$5)</f>
        <v>619.1382623506685</v>
      </c>
    </row>
    <row r="22" spans="1:22" ht="12">
      <c r="A22" s="12" t="s">
        <v>30</v>
      </c>
      <c r="B22" s="4">
        <f>NPV('Tai chinh'!$B$65,F22:V22)+E22+D22/(1+'Tai chinh'!$B$65)^D$2+C22/(1+'Tai chinh'!$B$65)^C$2</f>
        <v>91884.1793869049</v>
      </c>
      <c r="C22" s="4">
        <f>'Kinh te'!C42</f>
        <v>1548.3</v>
      </c>
      <c r="D22" s="4">
        <f>'Kinh te'!D42</f>
        <v>14041.6</v>
      </c>
      <c r="E22" s="4">
        <f>'Kinh te'!E42</f>
        <v>38585</v>
      </c>
      <c r="F22" s="4">
        <f>'Kinh te'!F42</f>
        <v>10376</v>
      </c>
      <c r="G22" s="4">
        <f>'Kinh te'!G42</f>
        <v>1585</v>
      </c>
      <c r="H22" s="4">
        <f>'Kinh te'!H42</f>
        <v>3306.795</v>
      </c>
      <c r="I22" s="4">
        <f>'Kinh te'!I42</f>
        <v>3405.99885</v>
      </c>
      <c r="J22" s="4">
        <f>'Kinh te'!J42</f>
        <v>3508.1788155</v>
      </c>
      <c r="K22" s="4">
        <f>'Kinh te'!K42</f>
        <v>3613.424179965</v>
      </c>
      <c r="L22" s="4">
        <f>'Kinh te'!L42</f>
        <v>3721.82690536395</v>
      </c>
      <c r="M22" s="4">
        <f>'Kinh te'!M42</f>
        <v>3833.4817125248687</v>
      </c>
      <c r="N22" s="4">
        <f>'Kinh te'!N42</f>
        <v>3948.486163900615</v>
      </c>
      <c r="O22" s="4">
        <f>'Kinh te'!O42</f>
        <v>4066.9407488176334</v>
      </c>
      <c r="P22" s="4">
        <f>'Kinh te'!P42</f>
        <v>4188.948971282162</v>
      </c>
      <c r="Q22" s="4">
        <f>'Kinh te'!Q42</f>
        <v>4314.617440420628</v>
      </c>
      <c r="R22" s="4">
        <f>'Kinh te'!R42</f>
        <v>4444.055963633246</v>
      </c>
      <c r="S22" s="4">
        <f>'Kinh te'!S42</f>
        <v>4577.377642542244</v>
      </c>
      <c r="T22" s="4">
        <f>'Kinh te'!T42</f>
        <v>4714.698971818511</v>
      </c>
      <c r="U22" s="4">
        <f>'Kinh te'!U42</f>
        <v>4856.139940973067</v>
      </c>
      <c r="V22" s="4">
        <f>'Kinh te'!V42+'Kinh te'!V42*(1+'Tai chinh'!$B$5)/('Tai chinh'!$B$65-'Tai chinh'!$B$5)</f>
        <v>55020.06553122473</v>
      </c>
    </row>
    <row r="23" spans="1:22" ht="12">
      <c r="A23" s="1" t="s">
        <v>33</v>
      </c>
      <c r="B23" s="17">
        <f>NPV('Tai chinh'!$B$65,F23:V23)+E23+D23/(1+'Tai chinh'!$B$65)^D$2+C23/(1+'Tai chinh'!$B$65)^C$2</f>
        <v>57198.0049167401</v>
      </c>
      <c r="C23" s="4">
        <f aca="true" t="shared" si="1" ref="C23:V23">SUM(C15:C18)-SUM(C20:C22)</f>
        <v>-1679.725</v>
      </c>
      <c r="D23" s="4">
        <f t="shared" si="1"/>
        <v>-13804.35</v>
      </c>
      <c r="E23" s="4">
        <f t="shared" si="1"/>
        <v>-37173.38611111111</v>
      </c>
      <c r="F23" s="4">
        <f t="shared" si="1"/>
        <v>-11713.403581406088</v>
      </c>
      <c r="G23" s="4">
        <f t="shared" si="1"/>
        <v>7708.757169877936</v>
      </c>
      <c r="H23" s="4">
        <f t="shared" si="1"/>
        <v>14046.398166892905</v>
      </c>
      <c r="I23" s="4">
        <f t="shared" si="1"/>
        <v>18163.414690087204</v>
      </c>
      <c r="J23" s="4">
        <f t="shared" si="1"/>
        <v>17405.236317488463</v>
      </c>
      <c r="K23" s="4">
        <f t="shared" si="1"/>
        <v>16481.181979046225</v>
      </c>
      <c r="L23" s="4">
        <f t="shared" si="1"/>
        <v>20364.619569563063</v>
      </c>
      <c r="M23" s="4">
        <f t="shared" si="1"/>
        <v>20950.52981337685</v>
      </c>
      <c r="N23" s="4">
        <f t="shared" si="1"/>
        <v>17545.160230464768</v>
      </c>
      <c r="O23" s="4">
        <f t="shared" si="1"/>
        <v>19065.779303423784</v>
      </c>
      <c r="P23" s="4">
        <f t="shared" si="1"/>
        <v>22997.17132957165</v>
      </c>
      <c r="Q23" s="4">
        <f t="shared" si="1"/>
        <v>23899.953339575328</v>
      </c>
      <c r="R23" s="4">
        <f t="shared" si="1"/>
        <v>25343.75016266867</v>
      </c>
      <c r="S23" s="4">
        <f t="shared" si="1"/>
        <v>23387.981094657505</v>
      </c>
      <c r="T23" s="4">
        <f t="shared" si="1"/>
        <v>19544.716111420446</v>
      </c>
      <c r="U23" s="4">
        <f t="shared" si="1"/>
        <v>20531.75043671937</v>
      </c>
      <c r="V23" s="4">
        <f t="shared" si="1"/>
        <v>211362.9230266809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0.140625" style="2" bestFit="1" customWidth="1"/>
    <col min="2" max="3" width="15.00390625" style="2" customWidth="1"/>
    <col min="4" max="4" width="3.7109375" style="2" customWidth="1"/>
    <col min="5" max="5" width="10.00390625" style="2" customWidth="1"/>
    <col min="6" max="6" width="3.421875" style="2" customWidth="1"/>
    <col min="7" max="7" width="11.57421875" style="42" customWidth="1"/>
    <col min="8" max="10" width="11.57421875" style="2" customWidth="1"/>
    <col min="11" max="16384" width="9.140625" style="2" customWidth="1"/>
  </cols>
  <sheetData>
    <row r="1" spans="1:7" ht="12.75" thickBot="1">
      <c r="A1" s="1" t="s">
        <v>23</v>
      </c>
      <c r="G1" s="30" t="s">
        <v>85</v>
      </c>
    </row>
    <row r="2" spans="1:10" ht="12">
      <c r="A2" s="14" t="s">
        <v>24</v>
      </c>
      <c r="B2" s="60" t="s">
        <v>81</v>
      </c>
      <c r="C2" s="61" t="s">
        <v>82</v>
      </c>
      <c r="E2" s="62" t="s">
        <v>87</v>
      </c>
      <c r="F2" s="63"/>
      <c r="G2" s="60" t="s">
        <v>79</v>
      </c>
      <c r="H2" s="64" t="s">
        <v>83</v>
      </c>
      <c r="I2" s="64" t="s">
        <v>86</v>
      </c>
      <c r="J2" s="65" t="s">
        <v>84</v>
      </c>
    </row>
    <row r="3" spans="1:10" ht="12">
      <c r="A3" s="12" t="s">
        <v>13</v>
      </c>
      <c r="B3" s="45">
        <f>'Tong hop NL'!B5</f>
        <v>316817.9570171998</v>
      </c>
      <c r="C3" s="56">
        <f>'Tong hop NL'!B15</f>
        <v>243706.1207824613</v>
      </c>
      <c r="D3" s="4"/>
      <c r="E3" s="48">
        <f aca="true" t="shared" si="0" ref="E3:E12">C3-B3</f>
        <v>-73111.83623473847</v>
      </c>
      <c r="F3" s="4"/>
      <c r="G3" s="31">
        <f>C3-B3</f>
        <v>-73111.83623473847</v>
      </c>
      <c r="H3" s="43"/>
      <c r="I3" s="43"/>
      <c r="J3" s="32"/>
    </row>
    <row r="4" spans="1:10" ht="12">
      <c r="A4" s="12" t="s">
        <v>83</v>
      </c>
      <c r="B4" s="45">
        <v>0</v>
      </c>
      <c r="C4" s="56">
        <f>'Tong hop NL'!B16</f>
        <v>10291.243557044987</v>
      </c>
      <c r="D4" s="4"/>
      <c r="E4" s="48">
        <f t="shared" si="0"/>
        <v>10291.243557044987</v>
      </c>
      <c r="F4" s="4"/>
      <c r="G4" s="33"/>
      <c r="H4" s="44">
        <f>C4-B4</f>
        <v>10291.243557044987</v>
      </c>
      <c r="I4" s="43"/>
      <c r="J4" s="32"/>
    </row>
    <row r="5" spans="1:10" ht="12">
      <c r="A5" s="12" t="s">
        <v>36</v>
      </c>
      <c r="B5" s="45">
        <v>0</v>
      </c>
      <c r="C5" s="56">
        <f>'Tong hop NL'!B17</f>
        <v>51876.64567965639</v>
      </c>
      <c r="D5" s="4"/>
      <c r="E5" s="48">
        <f t="shared" si="0"/>
        <v>51876.64567965639</v>
      </c>
      <c r="F5" s="4"/>
      <c r="G5" s="33"/>
      <c r="H5" s="43"/>
      <c r="I5" s="44">
        <f>C5-B5</f>
        <v>51876.64567965639</v>
      </c>
      <c r="J5" s="32"/>
    </row>
    <row r="6" spans="1:10" ht="12">
      <c r="A6" s="12" t="s">
        <v>84</v>
      </c>
      <c r="B6" s="45">
        <v>0</v>
      </c>
      <c r="C6" s="56">
        <f>'Tong hop NL'!B18</f>
        <v>2139.917347905717</v>
      </c>
      <c r="D6" s="4"/>
      <c r="E6" s="48">
        <f t="shared" si="0"/>
        <v>2139.917347905717</v>
      </c>
      <c r="F6" s="4"/>
      <c r="G6" s="33"/>
      <c r="H6" s="43"/>
      <c r="I6" s="43"/>
      <c r="J6" s="35">
        <f>C6-B6</f>
        <v>2139.917347905717</v>
      </c>
    </row>
    <row r="7" spans="1:10" ht="12">
      <c r="A7" s="12"/>
      <c r="B7" s="45"/>
      <c r="C7" s="56"/>
      <c r="D7" s="4"/>
      <c r="E7" s="48"/>
      <c r="F7" s="4"/>
      <c r="G7" s="33"/>
      <c r="H7" s="43"/>
      <c r="I7" s="43"/>
      <c r="J7" s="32"/>
    </row>
    <row r="8" spans="1:10" ht="12">
      <c r="A8" s="14" t="s">
        <v>25</v>
      </c>
      <c r="B8" s="45"/>
      <c r="C8" s="56"/>
      <c r="D8" s="4"/>
      <c r="E8" s="48"/>
      <c r="F8" s="4"/>
      <c r="G8" s="33"/>
      <c r="H8" s="43"/>
      <c r="I8" s="43"/>
      <c r="J8" s="32"/>
    </row>
    <row r="9" spans="1:10" ht="12">
      <c r="A9" s="12" t="s">
        <v>26</v>
      </c>
      <c r="B9" s="45">
        <f>'Tong hop NL'!B7</f>
        <v>154577.4343727725</v>
      </c>
      <c r="C9" s="56">
        <f>'Tong hop NL'!B20</f>
        <v>154577.4343727725</v>
      </c>
      <c r="D9" s="4"/>
      <c r="E9" s="48">
        <f t="shared" si="0"/>
        <v>0</v>
      </c>
      <c r="F9" s="4"/>
      <c r="G9" s="33"/>
      <c r="H9" s="43"/>
      <c r="I9" s="43"/>
      <c r="J9" s="32"/>
    </row>
    <row r="10" spans="1:10" ht="12">
      <c r="A10" s="12" t="s">
        <v>28</v>
      </c>
      <c r="B10" s="45">
        <f>'Tong hop NL'!B8</f>
        <v>20098.243818915696</v>
      </c>
      <c r="C10" s="56">
        <v>0</v>
      </c>
      <c r="E10" s="48">
        <f t="shared" si="0"/>
        <v>-20098.243818915696</v>
      </c>
      <c r="F10" s="4"/>
      <c r="G10" s="31">
        <f>C10-B10</f>
        <v>-20098.243818915696</v>
      </c>
      <c r="H10" s="43"/>
      <c r="I10" s="43"/>
      <c r="J10" s="32"/>
    </row>
    <row r="11" spans="1:10" ht="12">
      <c r="A11" s="12" t="s">
        <v>29</v>
      </c>
      <c r="B11" s="45">
        <f>'Tong hop NL'!B9</f>
        <v>4354.3086906509325</v>
      </c>
      <c r="C11" s="56">
        <f>'Tong hop NL'!B21</f>
        <v>4354.3086906509325</v>
      </c>
      <c r="D11" s="4"/>
      <c r="E11" s="48">
        <f t="shared" si="0"/>
        <v>0</v>
      </c>
      <c r="F11" s="4"/>
      <c r="G11" s="33"/>
      <c r="H11" s="43"/>
      <c r="I11" s="43"/>
      <c r="J11" s="32"/>
    </row>
    <row r="12" spans="1:10" ht="12">
      <c r="A12" s="12" t="s">
        <v>30</v>
      </c>
      <c r="B12" s="45">
        <f>'Tong hop NL'!B10</f>
        <v>91884.1793869049</v>
      </c>
      <c r="C12" s="56">
        <f>'Tong hop NL'!B22</f>
        <v>91884.1793869049</v>
      </c>
      <c r="D12" s="4"/>
      <c r="E12" s="48">
        <f t="shared" si="0"/>
        <v>0</v>
      </c>
      <c r="F12" s="4"/>
      <c r="G12" s="33"/>
      <c r="H12" s="43"/>
      <c r="I12" s="43"/>
      <c r="J12" s="32"/>
    </row>
    <row r="13" spans="2:10" ht="12">
      <c r="B13" s="50"/>
      <c r="C13" s="58"/>
      <c r="E13" s="128"/>
      <c r="F13" s="17"/>
      <c r="G13" s="54"/>
      <c r="H13" s="55"/>
      <c r="I13" s="55"/>
      <c r="J13" s="51"/>
    </row>
    <row r="14" spans="1:11" ht="12.75" thickBot="1">
      <c r="A14" s="36" t="s">
        <v>80</v>
      </c>
      <c r="B14" s="46">
        <f>SUM(B3:B6)-SUM(B9:B12)</f>
        <v>45903.79074795573</v>
      </c>
      <c r="C14" s="59">
        <f>SUM(C3:C6)-SUM(C9:C12)</f>
        <v>57198.00491674003</v>
      </c>
      <c r="D14" s="17"/>
      <c r="E14" s="49">
        <f>C14-B14</f>
        <v>11294.214168784296</v>
      </c>
      <c r="F14" s="17"/>
      <c r="G14" s="52">
        <f>SUM(G3:G6)-SUM(G9:G12)</f>
        <v>-53013.59241582277</v>
      </c>
      <c r="H14" s="53">
        <f>SUM(H3:H6)-SUM(H9:H12)</f>
        <v>10291.243557044987</v>
      </c>
      <c r="I14" s="53">
        <f>SUM(I3:I6)-SUM(I9:I12)</f>
        <v>51876.64567965639</v>
      </c>
      <c r="J14" s="47">
        <f>SUM(J3:J6)-SUM(J9:J12)</f>
        <v>2139.917347905717</v>
      </c>
      <c r="K14" s="4"/>
    </row>
    <row r="15" spans="1:10" ht="12">
      <c r="A15" s="1"/>
      <c r="B15" s="1"/>
      <c r="C15" s="1"/>
      <c r="D15" s="1"/>
      <c r="E15" s="17"/>
      <c r="F15" s="17"/>
      <c r="G15" s="30"/>
      <c r="H15" s="1"/>
      <c r="I15" s="1"/>
      <c r="J15" s="1"/>
    </row>
    <row r="22" spans="1:9" ht="12">
      <c r="A22" s="13"/>
      <c r="B22" s="13"/>
      <c r="C22" s="13"/>
      <c r="D22" s="13"/>
      <c r="E22" s="13"/>
      <c r="F22" s="13"/>
      <c r="G22" s="37"/>
      <c r="H22" s="13"/>
      <c r="I22" s="13"/>
    </row>
    <row r="23" spans="1:9" ht="12">
      <c r="A23" s="13"/>
      <c r="B23" s="13"/>
      <c r="C23" s="13"/>
      <c r="D23" s="13"/>
      <c r="E23" s="13"/>
      <c r="F23" s="13"/>
      <c r="G23" s="37"/>
      <c r="H23" s="13"/>
      <c r="I23" s="13"/>
    </row>
    <row r="24" spans="1:9" ht="12">
      <c r="A24" s="38"/>
      <c r="B24" s="13"/>
      <c r="C24" s="13"/>
      <c r="D24" s="13"/>
      <c r="E24" s="13"/>
      <c r="F24" s="13"/>
      <c r="G24" s="37"/>
      <c r="H24" s="13"/>
      <c r="I24" s="13"/>
    </row>
    <row r="25" spans="1:9" ht="12">
      <c r="A25" s="39"/>
      <c r="B25" s="34"/>
      <c r="C25" s="34"/>
      <c r="D25" s="34"/>
      <c r="E25" s="13"/>
      <c r="F25" s="13"/>
      <c r="G25" s="37"/>
      <c r="H25" s="13"/>
      <c r="I25" s="13"/>
    </row>
    <row r="26" spans="1:9" ht="12">
      <c r="A26" s="39"/>
      <c r="B26" s="34"/>
      <c r="C26" s="34"/>
      <c r="D26" s="34"/>
      <c r="E26" s="13"/>
      <c r="F26" s="13"/>
      <c r="G26" s="37"/>
      <c r="H26" s="13"/>
      <c r="I26" s="13"/>
    </row>
    <row r="27" spans="1:9" ht="12">
      <c r="A27" s="39"/>
      <c r="B27" s="34"/>
      <c r="C27" s="34"/>
      <c r="D27" s="34"/>
      <c r="E27" s="13"/>
      <c r="F27" s="13"/>
      <c r="G27" s="37"/>
      <c r="H27" s="13"/>
      <c r="I27" s="13"/>
    </row>
    <row r="28" spans="1:9" ht="12">
      <c r="A28" s="38"/>
      <c r="B28" s="34"/>
      <c r="C28" s="34"/>
      <c r="D28" s="34"/>
      <c r="E28" s="13"/>
      <c r="F28" s="13"/>
      <c r="G28" s="37"/>
      <c r="H28" s="13"/>
      <c r="I28" s="13"/>
    </row>
    <row r="29" spans="1:9" ht="12">
      <c r="A29" s="39"/>
      <c r="B29" s="34"/>
      <c r="C29" s="34"/>
      <c r="D29" s="34"/>
      <c r="E29" s="13"/>
      <c r="F29" s="13"/>
      <c r="G29" s="37"/>
      <c r="H29" s="13"/>
      <c r="I29" s="13"/>
    </row>
    <row r="30" spans="1:9" ht="12">
      <c r="A30" s="39"/>
      <c r="B30" s="34"/>
      <c r="C30" s="34"/>
      <c r="D30" s="34"/>
      <c r="E30" s="13"/>
      <c r="F30" s="13"/>
      <c r="G30" s="37"/>
      <c r="H30" s="13"/>
      <c r="I30" s="13"/>
    </row>
    <row r="31" spans="1:9" ht="12">
      <c r="A31" s="39"/>
      <c r="B31" s="34"/>
      <c r="C31" s="34"/>
      <c r="D31" s="34"/>
      <c r="E31" s="13"/>
      <c r="F31" s="13"/>
      <c r="G31" s="37"/>
      <c r="H31" s="13"/>
      <c r="I31" s="13"/>
    </row>
    <row r="32" spans="1:9" ht="12">
      <c r="A32" s="39"/>
      <c r="B32" s="34"/>
      <c r="C32" s="34"/>
      <c r="D32" s="34"/>
      <c r="E32" s="13"/>
      <c r="F32" s="13"/>
      <c r="G32" s="37"/>
      <c r="H32" s="13"/>
      <c r="I32" s="13"/>
    </row>
    <row r="33" spans="1:9" ht="12">
      <c r="A33" s="39"/>
      <c r="B33" s="34"/>
      <c r="C33" s="34"/>
      <c r="D33" s="34"/>
      <c r="E33" s="13"/>
      <c r="F33" s="13"/>
      <c r="G33" s="37"/>
      <c r="H33" s="13"/>
      <c r="I33" s="13"/>
    </row>
    <row r="34" spans="1:9" ht="12">
      <c r="A34" s="39"/>
      <c r="B34" s="34"/>
      <c r="C34" s="34"/>
      <c r="D34" s="34"/>
      <c r="E34" s="13"/>
      <c r="F34" s="13"/>
      <c r="G34" s="37"/>
      <c r="H34" s="13"/>
      <c r="I34" s="13"/>
    </row>
    <row r="35" spans="1:9" ht="12">
      <c r="A35" s="40"/>
      <c r="B35" s="34"/>
      <c r="C35" s="34"/>
      <c r="D35" s="34"/>
      <c r="E35" s="13"/>
      <c r="F35" s="13"/>
      <c r="G35" s="37"/>
      <c r="H35" s="13"/>
      <c r="I35" s="13"/>
    </row>
    <row r="36" spans="1:9" ht="12">
      <c r="A36" s="40"/>
      <c r="B36" s="34"/>
      <c r="C36" s="34"/>
      <c r="D36" s="34"/>
      <c r="E36" s="13"/>
      <c r="F36" s="13"/>
      <c r="G36" s="37"/>
      <c r="H36" s="13"/>
      <c r="I36" s="13"/>
    </row>
    <row r="37" spans="1:9" ht="12">
      <c r="A37" s="41"/>
      <c r="B37" s="13"/>
      <c r="C37" s="13"/>
      <c r="D37" s="13"/>
      <c r="E37" s="13"/>
      <c r="F37" s="13"/>
      <c r="G37" s="37"/>
      <c r="H37" s="13"/>
      <c r="I37" s="13"/>
    </row>
    <row r="38" spans="1:9" ht="12">
      <c r="A38" s="13"/>
      <c r="B38" s="13"/>
      <c r="C38" s="13"/>
      <c r="D38" s="13"/>
      <c r="E38" s="13"/>
      <c r="F38" s="13"/>
      <c r="G38" s="37"/>
      <c r="H38" s="13"/>
      <c r="I38" s="13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61"/>
  <sheetViews>
    <sheetView zoomScalePageLayoutView="0" workbookViewId="0" topLeftCell="A1">
      <selection activeCell="F122" sqref="F122"/>
    </sheetView>
  </sheetViews>
  <sheetFormatPr defaultColWidth="9.140625" defaultRowHeight="12.75"/>
  <cols>
    <col min="1" max="1" width="38.140625" style="2" bestFit="1" customWidth="1"/>
    <col min="2" max="16384" width="9.140625" style="2" customWidth="1"/>
  </cols>
  <sheetData>
    <row r="1" spans="1:10" ht="12">
      <c r="A1" s="1" t="s">
        <v>208</v>
      </c>
      <c r="B1" s="66" t="s">
        <v>44</v>
      </c>
      <c r="D1" s="66"/>
      <c r="J1" s="5"/>
    </row>
    <row r="2" spans="1:32" ht="12">
      <c r="A2" s="2" t="s">
        <v>39</v>
      </c>
      <c r="B2" s="4">
        <v>18000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">
      <c r="A3" s="2" t="s">
        <v>222</v>
      </c>
      <c r="B3" s="4">
        <f>'Tai chinh'!E6</f>
        <v>15000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">
      <c r="A4" s="2" t="s">
        <v>173</v>
      </c>
      <c r="B4" s="4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thickBot="1">
      <c r="A5" s="2" t="s">
        <v>174</v>
      </c>
      <c r="B5" s="4">
        <f>B4*'Tai chinh'!E6</f>
        <v>15000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">
      <c r="A6" s="101"/>
      <c r="B6" s="102" t="s">
        <v>182</v>
      </c>
      <c r="C6" s="102" t="s">
        <v>183</v>
      </c>
      <c r="D6" s="199" t="s">
        <v>192</v>
      </c>
      <c r="E6" s="199"/>
      <c r="F6" s="199"/>
      <c r="G6" s="199" t="s">
        <v>193</v>
      </c>
      <c r="H6" s="199"/>
      <c r="I6" s="102" t="s">
        <v>204</v>
      </c>
      <c r="J6" s="103" t="s">
        <v>205</v>
      </c>
      <c r="K6" s="104" t="s">
        <v>206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3" customFormat="1" ht="12">
      <c r="A7" s="45" t="s">
        <v>169</v>
      </c>
      <c r="B7" s="88">
        <v>4</v>
      </c>
      <c r="C7" s="88">
        <v>3</v>
      </c>
      <c r="D7" s="91">
        <v>10</v>
      </c>
      <c r="E7" s="75"/>
      <c r="F7" s="92"/>
      <c r="G7" s="75">
        <v>28</v>
      </c>
      <c r="H7" s="75"/>
      <c r="I7" s="100"/>
      <c r="J7" s="112"/>
      <c r="K7" s="11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s="13" customFormat="1" ht="12">
      <c r="A8" s="45" t="s">
        <v>175</v>
      </c>
      <c r="B8" s="89">
        <v>200</v>
      </c>
      <c r="C8" s="89">
        <v>60</v>
      </c>
      <c r="D8" s="93">
        <v>175</v>
      </c>
      <c r="E8" s="81"/>
      <c r="F8" s="94"/>
      <c r="G8" s="81">
        <v>260</v>
      </c>
      <c r="H8" s="81"/>
      <c r="I8" s="43">
        <v>230</v>
      </c>
      <c r="J8" s="34">
        <v>200</v>
      </c>
      <c r="K8" s="56">
        <v>200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s="13" customFormat="1" ht="12">
      <c r="A9" s="45" t="s">
        <v>176</v>
      </c>
      <c r="B9" s="89">
        <v>200</v>
      </c>
      <c r="C9" s="89">
        <v>135</v>
      </c>
      <c r="D9" s="93">
        <v>425</v>
      </c>
      <c r="E9" s="81"/>
      <c r="F9" s="94"/>
      <c r="G9" s="81">
        <v>250</v>
      </c>
      <c r="H9" s="81"/>
      <c r="I9" s="43"/>
      <c r="K9" s="57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48" s="13" customFormat="1" ht="12">
      <c r="A10" s="83" t="s">
        <v>171</v>
      </c>
      <c r="B10" s="89">
        <v>1</v>
      </c>
      <c r="C10" s="89">
        <v>1</v>
      </c>
      <c r="D10" s="93">
        <v>4</v>
      </c>
      <c r="E10" s="81"/>
      <c r="F10" s="94"/>
      <c r="G10" s="81">
        <v>8</v>
      </c>
      <c r="H10" s="81"/>
      <c r="I10" s="43"/>
      <c r="K10" s="57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13" customFormat="1" ht="12">
      <c r="A11" s="45" t="s">
        <v>172</v>
      </c>
      <c r="B11" s="90">
        <v>10000</v>
      </c>
      <c r="C11" s="90">
        <v>14125</v>
      </c>
      <c r="D11" s="95">
        <v>14125</v>
      </c>
      <c r="E11" s="81"/>
      <c r="F11" s="94"/>
      <c r="G11" s="82">
        <v>14125</v>
      </c>
      <c r="H11" s="81"/>
      <c r="I11" s="43"/>
      <c r="K11" s="57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13" customFormat="1" ht="12">
      <c r="A12" s="45" t="s">
        <v>180</v>
      </c>
      <c r="B12" s="90"/>
      <c r="C12" s="89"/>
      <c r="D12" s="96" t="s">
        <v>37</v>
      </c>
      <c r="E12" s="84" t="s">
        <v>146</v>
      </c>
      <c r="F12" s="97" t="s">
        <v>147</v>
      </c>
      <c r="G12" s="84" t="s">
        <v>37</v>
      </c>
      <c r="H12" s="84" t="s">
        <v>209</v>
      </c>
      <c r="I12" s="43"/>
      <c r="J12" s="34"/>
      <c r="K12" s="56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13" customFormat="1" ht="12">
      <c r="A13" s="85" t="s">
        <v>177</v>
      </c>
      <c r="B13" s="44">
        <v>1300</v>
      </c>
      <c r="C13" s="90">
        <v>3700</v>
      </c>
      <c r="D13" s="95">
        <v>7500</v>
      </c>
      <c r="E13" s="34">
        <v>1300</v>
      </c>
      <c r="F13" s="94">
        <v>6800</v>
      </c>
      <c r="G13" s="82">
        <v>6000</v>
      </c>
      <c r="H13" s="34">
        <v>950</v>
      </c>
      <c r="I13" s="43">
        <v>550</v>
      </c>
      <c r="J13" s="34">
        <v>600</v>
      </c>
      <c r="K13" s="56">
        <v>550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13" customFormat="1" ht="12">
      <c r="A14" s="85" t="s">
        <v>178</v>
      </c>
      <c r="B14" s="44">
        <v>1700</v>
      </c>
      <c r="C14" s="43">
        <v>5500</v>
      </c>
      <c r="D14" s="98">
        <v>1500</v>
      </c>
      <c r="E14" s="34"/>
      <c r="F14" s="94"/>
      <c r="G14" s="13">
        <v>1100</v>
      </c>
      <c r="H14" s="34"/>
      <c r="I14" s="43">
        <v>400</v>
      </c>
      <c r="J14" s="34">
        <v>500</v>
      </c>
      <c r="K14" s="56">
        <v>150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13" customFormat="1" ht="12">
      <c r="A15" s="85" t="s">
        <v>179</v>
      </c>
      <c r="B15" s="44">
        <v>1200</v>
      </c>
      <c r="C15" s="43">
        <v>1300</v>
      </c>
      <c r="D15" s="98">
        <v>1500</v>
      </c>
      <c r="E15" s="34"/>
      <c r="F15" s="94"/>
      <c r="G15" s="13">
        <v>0</v>
      </c>
      <c r="H15" s="34"/>
      <c r="I15" s="43">
        <v>300</v>
      </c>
      <c r="J15" s="34">
        <v>500</v>
      </c>
      <c r="K15" s="56">
        <v>500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13" customFormat="1" ht="12">
      <c r="A16" s="86" t="s">
        <v>181</v>
      </c>
      <c r="B16" s="43"/>
      <c r="C16" s="43"/>
      <c r="D16" s="98"/>
      <c r="E16" s="34"/>
      <c r="F16" s="94"/>
      <c r="H16" s="34"/>
      <c r="I16" s="43"/>
      <c r="J16" s="34"/>
      <c r="K16" s="56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13" customFormat="1" ht="12.75">
      <c r="A17" s="85" t="s">
        <v>177</v>
      </c>
      <c r="B17" s="44">
        <v>1300</v>
      </c>
      <c r="C17" s="44">
        <v>3900</v>
      </c>
      <c r="D17" s="99">
        <v>4800</v>
      </c>
      <c r="E17" s="34"/>
      <c r="F17" s="94"/>
      <c r="G17" s="76">
        <v>2500</v>
      </c>
      <c r="H17" s="34"/>
      <c r="I17" s="43"/>
      <c r="J17" s="34"/>
      <c r="K17" s="56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13" customFormat="1" ht="12">
      <c r="A18" s="85" t="s">
        <v>178</v>
      </c>
      <c r="B18" s="43">
        <v>0</v>
      </c>
      <c r="C18" s="44">
        <v>0</v>
      </c>
      <c r="D18" s="99">
        <v>0</v>
      </c>
      <c r="E18" s="34"/>
      <c r="F18" s="94"/>
      <c r="G18" s="34">
        <v>0</v>
      </c>
      <c r="H18" s="34"/>
      <c r="I18" s="44"/>
      <c r="J18" s="80"/>
      <c r="K18" s="5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13" customFormat="1" ht="12">
      <c r="A19" s="85" t="s">
        <v>179</v>
      </c>
      <c r="B19" s="43">
        <v>0</v>
      </c>
      <c r="C19" s="44">
        <v>0</v>
      </c>
      <c r="D19" s="99">
        <v>0</v>
      </c>
      <c r="E19" s="34"/>
      <c r="F19" s="94"/>
      <c r="G19" s="34">
        <v>0</v>
      </c>
      <c r="H19" s="34"/>
      <c r="I19" s="44"/>
      <c r="J19" s="34"/>
      <c r="K19" s="5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s="13" customFormat="1" ht="12">
      <c r="A20" s="110" t="s">
        <v>184</v>
      </c>
      <c r="B20" s="43"/>
      <c r="C20" s="43">
        <v>22.5</v>
      </c>
      <c r="D20" s="98">
        <v>1.5</v>
      </c>
      <c r="E20" s="34"/>
      <c r="F20" s="94"/>
      <c r="G20" s="13">
        <v>10000</v>
      </c>
      <c r="H20" s="34"/>
      <c r="I20" s="115">
        <v>1.75</v>
      </c>
      <c r="J20" s="79">
        <v>1.2</v>
      </c>
      <c r="K20" s="116">
        <v>2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s="13" customFormat="1" ht="12">
      <c r="A21" s="110" t="s">
        <v>186</v>
      </c>
      <c r="B21" s="43"/>
      <c r="C21" s="43">
        <v>550</v>
      </c>
      <c r="D21" s="98">
        <v>12000</v>
      </c>
      <c r="E21" s="34"/>
      <c r="F21" s="94"/>
      <c r="G21" s="13">
        <v>1</v>
      </c>
      <c r="H21" s="34"/>
      <c r="I21" s="44">
        <v>2500</v>
      </c>
      <c r="J21" s="34">
        <v>4000</v>
      </c>
      <c r="K21" s="56">
        <v>1000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s="13" customFormat="1" ht="12.75" thickBot="1">
      <c r="A22" s="111" t="s">
        <v>187</v>
      </c>
      <c r="B22" s="105"/>
      <c r="C22" s="105">
        <v>3500</v>
      </c>
      <c r="D22" s="106"/>
      <c r="E22" s="87"/>
      <c r="F22" s="107"/>
      <c r="G22" s="87"/>
      <c r="H22" s="87"/>
      <c r="I22" s="108"/>
      <c r="J22" s="87"/>
      <c r="K22" s="11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s="13" customFormat="1" ht="12">
      <c r="A23" s="39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ht="12">
      <c r="A24" s="1"/>
      <c r="C24" s="23" t="s">
        <v>37</v>
      </c>
      <c r="D24" s="23" t="s">
        <v>146</v>
      </c>
      <c r="E24" s="23" t="s">
        <v>147</v>
      </c>
      <c r="F24" s="23" t="s">
        <v>148</v>
      </c>
      <c r="G24" s="23" t="s">
        <v>149</v>
      </c>
      <c r="H24" s="23" t="s">
        <v>150</v>
      </c>
      <c r="I24" s="23" t="s">
        <v>151</v>
      </c>
      <c r="J24" s="23" t="s">
        <v>152</v>
      </c>
      <c r="K24" s="23" t="s">
        <v>153</v>
      </c>
      <c r="L24" s="23" t="s">
        <v>154</v>
      </c>
      <c r="M24" s="23" t="s">
        <v>155</v>
      </c>
      <c r="N24" s="23" t="s">
        <v>156</v>
      </c>
      <c r="O24" s="23" t="s">
        <v>157</v>
      </c>
      <c r="P24" s="23" t="s">
        <v>158</v>
      </c>
      <c r="Q24" s="23" t="s">
        <v>159</v>
      </c>
      <c r="R24" s="23" t="s">
        <v>160</v>
      </c>
      <c r="S24" s="23" t="s">
        <v>161</v>
      </c>
      <c r="T24" s="23" t="s">
        <v>162</v>
      </c>
      <c r="U24" s="23" t="s">
        <v>163</v>
      </c>
      <c r="V24" s="23" t="s">
        <v>164</v>
      </c>
      <c r="W24" s="23" t="s">
        <v>194</v>
      </c>
      <c r="X24" s="23" t="s">
        <v>195</v>
      </c>
      <c r="Y24" s="23" t="s">
        <v>196</v>
      </c>
      <c r="Z24" s="23" t="s">
        <v>197</v>
      </c>
      <c r="AA24" s="23" t="s">
        <v>198</v>
      </c>
      <c r="AB24" s="23" t="s">
        <v>199</v>
      </c>
      <c r="AC24" s="23" t="s">
        <v>200</v>
      </c>
      <c r="AD24" s="23" t="s">
        <v>201</v>
      </c>
      <c r="AE24" s="23" t="s">
        <v>202</v>
      </c>
      <c r="AF24" s="23" t="s">
        <v>203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3:48" ht="12.75" thickBot="1">
      <c r="C25" s="15">
        <v>0</v>
      </c>
      <c r="D25" s="15">
        <v>1</v>
      </c>
      <c r="E25" s="15">
        <v>2</v>
      </c>
      <c r="F25" s="15">
        <v>3</v>
      </c>
      <c r="G25" s="15">
        <v>4</v>
      </c>
      <c r="H25" s="15">
        <v>5</v>
      </c>
      <c r="I25" s="15">
        <v>6</v>
      </c>
      <c r="J25" s="15">
        <v>7</v>
      </c>
      <c r="K25" s="15">
        <v>8</v>
      </c>
      <c r="L25" s="15">
        <v>9</v>
      </c>
      <c r="M25" s="15">
        <v>10</v>
      </c>
      <c r="N25" s="15">
        <v>11</v>
      </c>
      <c r="O25" s="15">
        <v>12</v>
      </c>
      <c r="P25" s="15">
        <v>13</v>
      </c>
      <c r="Q25" s="15">
        <v>14</v>
      </c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5">
        <v>22</v>
      </c>
      <c r="Z25" s="15">
        <v>23</v>
      </c>
      <c r="AA25" s="15">
        <v>24</v>
      </c>
      <c r="AB25" s="15">
        <v>25</v>
      </c>
      <c r="AC25" s="15">
        <v>26</v>
      </c>
      <c r="AD25" s="15">
        <v>27</v>
      </c>
      <c r="AE25" s="15">
        <v>28</v>
      </c>
      <c r="AF25" s="15">
        <v>29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 thickTop="1">
      <c r="A26" s="1" t="s">
        <v>210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">
      <c r="A27" s="12" t="s">
        <v>143</v>
      </c>
      <c r="C27" s="4">
        <f aca="true" t="shared" si="0" ref="C27:AF27">IF(MOD(C$25,$B7)=0,$B8*$B$5/1000,$B9*$B$5/1000)</f>
        <v>3000</v>
      </c>
      <c r="D27" s="4">
        <f t="shared" si="0"/>
        <v>3000</v>
      </c>
      <c r="E27" s="4">
        <f t="shared" si="0"/>
        <v>3000</v>
      </c>
      <c r="F27" s="4">
        <f t="shared" si="0"/>
        <v>3000</v>
      </c>
      <c r="G27" s="4">
        <f t="shared" si="0"/>
        <v>3000</v>
      </c>
      <c r="H27" s="4">
        <f t="shared" si="0"/>
        <v>3000</v>
      </c>
      <c r="I27" s="4">
        <f t="shared" si="0"/>
        <v>3000</v>
      </c>
      <c r="J27" s="4">
        <f t="shared" si="0"/>
        <v>3000</v>
      </c>
      <c r="K27" s="4">
        <f t="shared" si="0"/>
        <v>3000</v>
      </c>
      <c r="L27" s="4">
        <f t="shared" si="0"/>
        <v>3000</v>
      </c>
      <c r="M27" s="4">
        <f t="shared" si="0"/>
        <v>3000</v>
      </c>
      <c r="N27" s="4">
        <f t="shared" si="0"/>
        <v>3000</v>
      </c>
      <c r="O27" s="4">
        <f t="shared" si="0"/>
        <v>3000</v>
      </c>
      <c r="P27" s="4">
        <f t="shared" si="0"/>
        <v>3000</v>
      </c>
      <c r="Q27" s="4">
        <f t="shared" si="0"/>
        <v>3000</v>
      </c>
      <c r="R27" s="4">
        <f t="shared" si="0"/>
        <v>3000</v>
      </c>
      <c r="S27" s="4">
        <f t="shared" si="0"/>
        <v>3000</v>
      </c>
      <c r="T27" s="4">
        <f t="shared" si="0"/>
        <v>3000</v>
      </c>
      <c r="U27" s="4">
        <f t="shared" si="0"/>
        <v>3000</v>
      </c>
      <c r="V27" s="4">
        <f t="shared" si="0"/>
        <v>3000</v>
      </c>
      <c r="W27" s="4">
        <f t="shared" si="0"/>
        <v>3000</v>
      </c>
      <c r="X27" s="4">
        <f t="shared" si="0"/>
        <v>3000</v>
      </c>
      <c r="Y27" s="4">
        <f t="shared" si="0"/>
        <v>3000</v>
      </c>
      <c r="Z27" s="4">
        <f t="shared" si="0"/>
        <v>3000</v>
      </c>
      <c r="AA27" s="4">
        <f t="shared" si="0"/>
        <v>3000</v>
      </c>
      <c r="AB27" s="4">
        <f t="shared" si="0"/>
        <v>3000</v>
      </c>
      <c r="AC27" s="4">
        <f t="shared" si="0"/>
        <v>3000</v>
      </c>
      <c r="AD27" s="4">
        <f t="shared" si="0"/>
        <v>3000</v>
      </c>
      <c r="AE27" s="4">
        <f t="shared" si="0"/>
        <v>3000</v>
      </c>
      <c r="AF27" s="4">
        <f t="shared" si="0"/>
        <v>3000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">
      <c r="A28" s="12" t="s">
        <v>40</v>
      </c>
      <c r="C28" s="4">
        <f aca="true" t="shared" si="1" ref="C28:AF28">IF(MOD(C$25,$B7)=0,$B13,$B17)</f>
        <v>1300</v>
      </c>
      <c r="D28" s="4">
        <f t="shared" si="1"/>
        <v>1300</v>
      </c>
      <c r="E28" s="4">
        <f t="shared" si="1"/>
        <v>1300</v>
      </c>
      <c r="F28" s="4">
        <f t="shared" si="1"/>
        <v>1300</v>
      </c>
      <c r="G28" s="4">
        <f t="shared" si="1"/>
        <v>1300</v>
      </c>
      <c r="H28" s="4">
        <f t="shared" si="1"/>
        <v>1300</v>
      </c>
      <c r="I28" s="4">
        <f t="shared" si="1"/>
        <v>1300</v>
      </c>
      <c r="J28" s="4">
        <f t="shared" si="1"/>
        <v>1300</v>
      </c>
      <c r="K28" s="4">
        <f t="shared" si="1"/>
        <v>1300</v>
      </c>
      <c r="L28" s="4">
        <f t="shared" si="1"/>
        <v>1300</v>
      </c>
      <c r="M28" s="4">
        <f t="shared" si="1"/>
        <v>1300</v>
      </c>
      <c r="N28" s="4">
        <f t="shared" si="1"/>
        <v>1300</v>
      </c>
      <c r="O28" s="4">
        <f t="shared" si="1"/>
        <v>1300</v>
      </c>
      <c r="P28" s="4">
        <f t="shared" si="1"/>
        <v>1300</v>
      </c>
      <c r="Q28" s="4">
        <f t="shared" si="1"/>
        <v>1300</v>
      </c>
      <c r="R28" s="4">
        <f t="shared" si="1"/>
        <v>1300</v>
      </c>
      <c r="S28" s="4">
        <f t="shared" si="1"/>
        <v>1300</v>
      </c>
      <c r="T28" s="4">
        <f t="shared" si="1"/>
        <v>1300</v>
      </c>
      <c r="U28" s="4">
        <f t="shared" si="1"/>
        <v>1300</v>
      </c>
      <c r="V28" s="4">
        <f t="shared" si="1"/>
        <v>1300</v>
      </c>
      <c r="W28" s="4">
        <f t="shared" si="1"/>
        <v>1300</v>
      </c>
      <c r="X28" s="4">
        <f t="shared" si="1"/>
        <v>1300</v>
      </c>
      <c r="Y28" s="4">
        <f t="shared" si="1"/>
        <v>1300</v>
      </c>
      <c r="Z28" s="4">
        <f t="shared" si="1"/>
        <v>1300</v>
      </c>
      <c r="AA28" s="4">
        <f t="shared" si="1"/>
        <v>1300</v>
      </c>
      <c r="AB28" s="4">
        <f t="shared" si="1"/>
        <v>1300</v>
      </c>
      <c r="AC28" s="4">
        <f t="shared" si="1"/>
        <v>1300</v>
      </c>
      <c r="AD28" s="4">
        <f t="shared" si="1"/>
        <v>1300</v>
      </c>
      <c r="AE28" s="4">
        <f t="shared" si="1"/>
        <v>1300</v>
      </c>
      <c r="AF28" s="4">
        <f t="shared" si="1"/>
        <v>1300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">
      <c r="A29" s="12" t="s">
        <v>41</v>
      </c>
      <c r="C29" s="4">
        <f aca="true" t="shared" si="2" ref="C29:AF29">IF(MOD(C$25,$B7)=0,$B14,$B18)</f>
        <v>1700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1700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1700</v>
      </c>
      <c r="L29" s="4">
        <f t="shared" si="2"/>
        <v>0</v>
      </c>
      <c r="M29" s="4">
        <f t="shared" si="2"/>
        <v>0</v>
      </c>
      <c r="N29" s="4">
        <f t="shared" si="2"/>
        <v>0</v>
      </c>
      <c r="O29" s="4">
        <f t="shared" si="2"/>
        <v>1700</v>
      </c>
      <c r="P29" s="4">
        <f t="shared" si="2"/>
        <v>0</v>
      </c>
      <c r="Q29" s="4">
        <f t="shared" si="2"/>
        <v>0</v>
      </c>
      <c r="R29" s="4">
        <f t="shared" si="2"/>
        <v>0</v>
      </c>
      <c r="S29" s="4">
        <f t="shared" si="2"/>
        <v>1700</v>
      </c>
      <c r="T29" s="4">
        <f t="shared" si="2"/>
        <v>0</v>
      </c>
      <c r="U29" s="4">
        <f t="shared" si="2"/>
        <v>0</v>
      </c>
      <c r="V29" s="4">
        <f t="shared" si="2"/>
        <v>0</v>
      </c>
      <c r="W29" s="4">
        <f t="shared" si="2"/>
        <v>1700</v>
      </c>
      <c r="X29" s="4">
        <f t="shared" si="2"/>
        <v>0</v>
      </c>
      <c r="Y29" s="4">
        <f t="shared" si="2"/>
        <v>0</v>
      </c>
      <c r="Z29" s="4">
        <f t="shared" si="2"/>
        <v>0</v>
      </c>
      <c r="AA29" s="4">
        <f t="shared" si="2"/>
        <v>1700</v>
      </c>
      <c r="AB29" s="4">
        <f t="shared" si="2"/>
        <v>0</v>
      </c>
      <c r="AC29" s="4">
        <f t="shared" si="2"/>
        <v>0</v>
      </c>
      <c r="AD29" s="4">
        <f t="shared" si="2"/>
        <v>0</v>
      </c>
      <c r="AE29" s="4">
        <f t="shared" si="2"/>
        <v>1700</v>
      </c>
      <c r="AF29" s="4">
        <f t="shared" si="2"/>
        <v>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">
      <c r="A30" s="12" t="s">
        <v>42</v>
      </c>
      <c r="C30" s="4">
        <f aca="true" t="shared" si="3" ref="C30:AF30">IF(MOD(C$25,$B7)=0,$B15,$B19)</f>
        <v>1200</v>
      </c>
      <c r="D30" s="4">
        <f t="shared" si="3"/>
        <v>0</v>
      </c>
      <c r="E30" s="4">
        <f t="shared" si="3"/>
        <v>0</v>
      </c>
      <c r="F30" s="4">
        <f t="shared" si="3"/>
        <v>0</v>
      </c>
      <c r="G30" s="4">
        <f t="shared" si="3"/>
        <v>1200</v>
      </c>
      <c r="H30" s="4">
        <f t="shared" si="3"/>
        <v>0</v>
      </c>
      <c r="I30" s="4">
        <f t="shared" si="3"/>
        <v>0</v>
      </c>
      <c r="J30" s="4">
        <f t="shared" si="3"/>
        <v>0</v>
      </c>
      <c r="K30" s="4">
        <f t="shared" si="3"/>
        <v>1200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4">
        <f t="shared" si="3"/>
        <v>1200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1200</v>
      </c>
      <c r="T30" s="4">
        <f t="shared" si="3"/>
        <v>0</v>
      </c>
      <c r="U30" s="4">
        <f t="shared" si="3"/>
        <v>0</v>
      </c>
      <c r="V30" s="4">
        <f t="shared" si="3"/>
        <v>0</v>
      </c>
      <c r="W30" s="4">
        <f t="shared" si="3"/>
        <v>1200</v>
      </c>
      <c r="X30" s="4">
        <f t="shared" si="3"/>
        <v>0</v>
      </c>
      <c r="Y30" s="4">
        <f t="shared" si="3"/>
        <v>0</v>
      </c>
      <c r="Z30" s="4">
        <f t="shared" si="3"/>
        <v>0</v>
      </c>
      <c r="AA30" s="4">
        <f t="shared" si="3"/>
        <v>1200</v>
      </c>
      <c r="AB30" s="4">
        <f t="shared" si="3"/>
        <v>0</v>
      </c>
      <c r="AC30" s="4">
        <f t="shared" si="3"/>
        <v>0</v>
      </c>
      <c r="AD30" s="4">
        <f t="shared" si="3"/>
        <v>0</v>
      </c>
      <c r="AE30" s="4">
        <f t="shared" si="3"/>
        <v>1200</v>
      </c>
      <c r="AF30" s="4">
        <f t="shared" si="3"/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">
      <c r="A31" s="2" t="s">
        <v>144</v>
      </c>
      <c r="C31" s="4">
        <f>SUM(C27:C30)</f>
        <v>7200</v>
      </c>
      <c r="D31" s="4">
        <f aca="true" t="shared" si="4" ref="D31:V31">SUM(D27:D30)</f>
        <v>4300</v>
      </c>
      <c r="E31" s="4">
        <f t="shared" si="4"/>
        <v>4300</v>
      </c>
      <c r="F31" s="4">
        <f t="shared" si="4"/>
        <v>4300</v>
      </c>
      <c r="G31" s="4">
        <f t="shared" si="4"/>
        <v>7200</v>
      </c>
      <c r="H31" s="4">
        <f t="shared" si="4"/>
        <v>4300</v>
      </c>
      <c r="I31" s="4">
        <f t="shared" si="4"/>
        <v>4300</v>
      </c>
      <c r="J31" s="4">
        <f t="shared" si="4"/>
        <v>4300</v>
      </c>
      <c r="K31" s="4">
        <f t="shared" si="4"/>
        <v>7200</v>
      </c>
      <c r="L31" s="4">
        <f t="shared" si="4"/>
        <v>4300</v>
      </c>
      <c r="M31" s="4">
        <f t="shared" si="4"/>
        <v>4300</v>
      </c>
      <c r="N31" s="4">
        <f t="shared" si="4"/>
        <v>4300</v>
      </c>
      <c r="O31" s="4">
        <f t="shared" si="4"/>
        <v>7200</v>
      </c>
      <c r="P31" s="4">
        <f t="shared" si="4"/>
        <v>4300</v>
      </c>
      <c r="Q31" s="4">
        <f t="shared" si="4"/>
        <v>4300</v>
      </c>
      <c r="R31" s="4">
        <f t="shared" si="4"/>
        <v>4300</v>
      </c>
      <c r="S31" s="4">
        <f t="shared" si="4"/>
        <v>7200</v>
      </c>
      <c r="T31" s="4">
        <f t="shared" si="4"/>
        <v>4300</v>
      </c>
      <c r="U31" s="4">
        <f t="shared" si="4"/>
        <v>4300</v>
      </c>
      <c r="V31" s="4">
        <f t="shared" si="4"/>
        <v>4300</v>
      </c>
      <c r="W31" s="4">
        <f aca="true" t="shared" si="5" ref="W31:AE31">SUM(W27:W30)</f>
        <v>7200</v>
      </c>
      <c r="X31" s="4">
        <f t="shared" si="5"/>
        <v>4300</v>
      </c>
      <c r="Y31" s="4">
        <f t="shared" si="5"/>
        <v>4300</v>
      </c>
      <c r="Z31" s="4">
        <f t="shared" si="5"/>
        <v>4300</v>
      </c>
      <c r="AA31" s="4">
        <f t="shared" si="5"/>
        <v>7200</v>
      </c>
      <c r="AB31" s="4">
        <f t="shared" si="5"/>
        <v>4300</v>
      </c>
      <c r="AC31" s="4">
        <f t="shared" si="5"/>
        <v>4300</v>
      </c>
      <c r="AD31" s="4">
        <f t="shared" si="5"/>
        <v>4300</v>
      </c>
      <c r="AE31" s="4">
        <f t="shared" si="5"/>
        <v>7200</v>
      </c>
      <c r="AF31" s="4">
        <f>SUM(AF27:AF30)</f>
        <v>4300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">
      <c r="A32" s="1" t="s">
        <v>145</v>
      </c>
      <c r="B32" s="1"/>
      <c r="C32" s="17">
        <f>C31/$B$3*1000</f>
        <v>480</v>
      </c>
      <c r="D32" s="17">
        <f aca="true" t="shared" si="6" ref="D32:AF32">D31/$B$3*1000</f>
        <v>286.6666666666667</v>
      </c>
      <c r="E32" s="17">
        <f t="shared" si="6"/>
        <v>286.6666666666667</v>
      </c>
      <c r="F32" s="17">
        <f t="shared" si="6"/>
        <v>286.6666666666667</v>
      </c>
      <c r="G32" s="17">
        <f t="shared" si="6"/>
        <v>480</v>
      </c>
      <c r="H32" s="17">
        <f t="shared" si="6"/>
        <v>286.6666666666667</v>
      </c>
      <c r="I32" s="17">
        <f t="shared" si="6"/>
        <v>286.6666666666667</v>
      </c>
      <c r="J32" s="17">
        <f t="shared" si="6"/>
        <v>286.6666666666667</v>
      </c>
      <c r="K32" s="17">
        <f t="shared" si="6"/>
        <v>480</v>
      </c>
      <c r="L32" s="17">
        <f t="shared" si="6"/>
        <v>286.6666666666667</v>
      </c>
      <c r="M32" s="17">
        <f t="shared" si="6"/>
        <v>286.6666666666667</v>
      </c>
      <c r="N32" s="17">
        <f t="shared" si="6"/>
        <v>286.6666666666667</v>
      </c>
      <c r="O32" s="17">
        <f t="shared" si="6"/>
        <v>480</v>
      </c>
      <c r="P32" s="17">
        <f t="shared" si="6"/>
        <v>286.6666666666667</v>
      </c>
      <c r="Q32" s="17">
        <f t="shared" si="6"/>
        <v>286.6666666666667</v>
      </c>
      <c r="R32" s="17">
        <f t="shared" si="6"/>
        <v>286.6666666666667</v>
      </c>
      <c r="S32" s="17">
        <f t="shared" si="6"/>
        <v>480</v>
      </c>
      <c r="T32" s="17">
        <f t="shared" si="6"/>
        <v>286.6666666666667</v>
      </c>
      <c r="U32" s="17">
        <f t="shared" si="6"/>
        <v>286.6666666666667</v>
      </c>
      <c r="V32" s="17">
        <f t="shared" si="6"/>
        <v>286.6666666666667</v>
      </c>
      <c r="W32" s="17">
        <f t="shared" si="6"/>
        <v>480</v>
      </c>
      <c r="X32" s="17">
        <f t="shared" si="6"/>
        <v>286.6666666666667</v>
      </c>
      <c r="Y32" s="17">
        <f t="shared" si="6"/>
        <v>286.6666666666667</v>
      </c>
      <c r="Z32" s="17">
        <f t="shared" si="6"/>
        <v>286.6666666666667</v>
      </c>
      <c r="AA32" s="17">
        <f t="shared" si="6"/>
        <v>480</v>
      </c>
      <c r="AB32" s="17">
        <f t="shared" si="6"/>
        <v>286.6666666666667</v>
      </c>
      <c r="AC32" s="17">
        <f t="shared" si="6"/>
        <v>286.6666666666667</v>
      </c>
      <c r="AD32" s="17">
        <f t="shared" si="6"/>
        <v>286.6666666666667</v>
      </c>
      <c r="AE32" s="17">
        <f t="shared" si="6"/>
        <v>480</v>
      </c>
      <c r="AF32" s="17">
        <f t="shared" si="6"/>
        <v>286.6666666666667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3:48" ht="1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">
      <c r="A34" s="1" t="s">
        <v>211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">
      <c r="A35" s="12" t="s">
        <v>143</v>
      </c>
      <c r="C35" s="4">
        <f aca="true" t="shared" si="7" ref="C35:AF35">IF(MOD(C$25,$C7)=0,$C8*$B$5/1000,$C9*$B$5/1000)</f>
        <v>900</v>
      </c>
      <c r="D35" s="4">
        <f t="shared" si="7"/>
        <v>2025</v>
      </c>
      <c r="E35" s="4">
        <f t="shared" si="7"/>
        <v>2025</v>
      </c>
      <c r="F35" s="4">
        <f t="shared" si="7"/>
        <v>900</v>
      </c>
      <c r="G35" s="4">
        <f t="shared" si="7"/>
        <v>2025</v>
      </c>
      <c r="H35" s="4">
        <f t="shared" si="7"/>
        <v>2025</v>
      </c>
      <c r="I35" s="4">
        <f t="shared" si="7"/>
        <v>900</v>
      </c>
      <c r="J35" s="4">
        <f t="shared" si="7"/>
        <v>2025</v>
      </c>
      <c r="K35" s="4">
        <f t="shared" si="7"/>
        <v>2025</v>
      </c>
      <c r="L35" s="4">
        <f t="shared" si="7"/>
        <v>900</v>
      </c>
      <c r="M35" s="4">
        <f t="shared" si="7"/>
        <v>2025</v>
      </c>
      <c r="N35" s="4">
        <f t="shared" si="7"/>
        <v>2025</v>
      </c>
      <c r="O35" s="4">
        <f t="shared" si="7"/>
        <v>900</v>
      </c>
      <c r="P35" s="4">
        <f t="shared" si="7"/>
        <v>2025</v>
      </c>
      <c r="Q35" s="4">
        <f t="shared" si="7"/>
        <v>2025</v>
      </c>
      <c r="R35" s="4">
        <f t="shared" si="7"/>
        <v>900</v>
      </c>
      <c r="S35" s="4">
        <f t="shared" si="7"/>
        <v>2025</v>
      </c>
      <c r="T35" s="4">
        <f t="shared" si="7"/>
        <v>2025</v>
      </c>
      <c r="U35" s="4">
        <f t="shared" si="7"/>
        <v>900</v>
      </c>
      <c r="V35" s="4">
        <f t="shared" si="7"/>
        <v>2025</v>
      </c>
      <c r="W35" s="4">
        <f t="shared" si="7"/>
        <v>2025</v>
      </c>
      <c r="X35" s="4">
        <f t="shared" si="7"/>
        <v>900</v>
      </c>
      <c r="Y35" s="4">
        <f t="shared" si="7"/>
        <v>2025</v>
      </c>
      <c r="Z35" s="4">
        <f t="shared" si="7"/>
        <v>2025</v>
      </c>
      <c r="AA35" s="4">
        <f t="shared" si="7"/>
        <v>900</v>
      </c>
      <c r="AB35" s="4">
        <f t="shared" si="7"/>
        <v>2025</v>
      </c>
      <c r="AC35" s="4">
        <f t="shared" si="7"/>
        <v>2025</v>
      </c>
      <c r="AD35" s="4">
        <f t="shared" si="7"/>
        <v>900</v>
      </c>
      <c r="AE35" s="4">
        <f t="shared" si="7"/>
        <v>2025</v>
      </c>
      <c r="AF35" s="4">
        <f t="shared" si="7"/>
        <v>2025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">
      <c r="A36" s="12" t="s">
        <v>40</v>
      </c>
      <c r="C36" s="4">
        <f aca="true" t="shared" si="8" ref="C36:AF36">IF(MOD(C$25,$C7)=0,$C13,$C17)</f>
        <v>3700</v>
      </c>
      <c r="D36" s="4">
        <f t="shared" si="8"/>
        <v>3900</v>
      </c>
      <c r="E36" s="4">
        <f t="shared" si="8"/>
        <v>3900</v>
      </c>
      <c r="F36" s="4">
        <f t="shared" si="8"/>
        <v>3700</v>
      </c>
      <c r="G36" s="4">
        <f t="shared" si="8"/>
        <v>3900</v>
      </c>
      <c r="H36" s="4">
        <f t="shared" si="8"/>
        <v>3900</v>
      </c>
      <c r="I36" s="4">
        <f t="shared" si="8"/>
        <v>3700</v>
      </c>
      <c r="J36" s="4">
        <f t="shared" si="8"/>
        <v>3900</v>
      </c>
      <c r="K36" s="4">
        <f t="shared" si="8"/>
        <v>3900</v>
      </c>
      <c r="L36" s="4">
        <f t="shared" si="8"/>
        <v>3700</v>
      </c>
      <c r="M36" s="4">
        <f t="shared" si="8"/>
        <v>3900</v>
      </c>
      <c r="N36" s="4">
        <f t="shared" si="8"/>
        <v>3900</v>
      </c>
      <c r="O36" s="4">
        <f t="shared" si="8"/>
        <v>3700</v>
      </c>
      <c r="P36" s="4">
        <f t="shared" si="8"/>
        <v>3900</v>
      </c>
      <c r="Q36" s="4">
        <f t="shared" si="8"/>
        <v>3900</v>
      </c>
      <c r="R36" s="4">
        <f t="shared" si="8"/>
        <v>3700</v>
      </c>
      <c r="S36" s="4">
        <f t="shared" si="8"/>
        <v>3900</v>
      </c>
      <c r="T36" s="4">
        <f t="shared" si="8"/>
        <v>3900</v>
      </c>
      <c r="U36" s="4">
        <f t="shared" si="8"/>
        <v>3700</v>
      </c>
      <c r="V36" s="4">
        <f t="shared" si="8"/>
        <v>3900</v>
      </c>
      <c r="W36" s="4">
        <f t="shared" si="8"/>
        <v>3900</v>
      </c>
      <c r="X36" s="4">
        <f t="shared" si="8"/>
        <v>3700</v>
      </c>
      <c r="Y36" s="4">
        <f t="shared" si="8"/>
        <v>3900</v>
      </c>
      <c r="Z36" s="4">
        <f t="shared" si="8"/>
        <v>3900</v>
      </c>
      <c r="AA36" s="4">
        <f t="shared" si="8"/>
        <v>3700</v>
      </c>
      <c r="AB36" s="4">
        <f t="shared" si="8"/>
        <v>3900</v>
      </c>
      <c r="AC36" s="4">
        <f t="shared" si="8"/>
        <v>3900</v>
      </c>
      <c r="AD36" s="4">
        <f t="shared" si="8"/>
        <v>3700</v>
      </c>
      <c r="AE36" s="4">
        <f t="shared" si="8"/>
        <v>3900</v>
      </c>
      <c r="AF36" s="4">
        <f t="shared" si="8"/>
        <v>3900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">
      <c r="A37" s="12" t="s">
        <v>41</v>
      </c>
      <c r="C37" s="4">
        <f aca="true" t="shared" si="9" ref="C37:AF37">IF(MOD(C$25,$C7)=0,$C14,$C18)</f>
        <v>5500</v>
      </c>
      <c r="D37" s="4">
        <f t="shared" si="9"/>
        <v>0</v>
      </c>
      <c r="E37" s="4">
        <f t="shared" si="9"/>
        <v>0</v>
      </c>
      <c r="F37" s="4">
        <f t="shared" si="9"/>
        <v>5500</v>
      </c>
      <c r="G37" s="4">
        <f t="shared" si="9"/>
        <v>0</v>
      </c>
      <c r="H37" s="4">
        <f t="shared" si="9"/>
        <v>0</v>
      </c>
      <c r="I37" s="4">
        <f t="shared" si="9"/>
        <v>5500</v>
      </c>
      <c r="J37" s="4">
        <f t="shared" si="9"/>
        <v>0</v>
      </c>
      <c r="K37" s="4">
        <f t="shared" si="9"/>
        <v>0</v>
      </c>
      <c r="L37" s="4">
        <f t="shared" si="9"/>
        <v>5500</v>
      </c>
      <c r="M37" s="4">
        <f t="shared" si="9"/>
        <v>0</v>
      </c>
      <c r="N37" s="4">
        <f t="shared" si="9"/>
        <v>0</v>
      </c>
      <c r="O37" s="4">
        <f t="shared" si="9"/>
        <v>5500</v>
      </c>
      <c r="P37" s="4">
        <f t="shared" si="9"/>
        <v>0</v>
      </c>
      <c r="Q37" s="4">
        <f t="shared" si="9"/>
        <v>0</v>
      </c>
      <c r="R37" s="4">
        <f t="shared" si="9"/>
        <v>5500</v>
      </c>
      <c r="S37" s="4">
        <f t="shared" si="9"/>
        <v>0</v>
      </c>
      <c r="T37" s="4">
        <f t="shared" si="9"/>
        <v>0</v>
      </c>
      <c r="U37" s="4">
        <f t="shared" si="9"/>
        <v>5500</v>
      </c>
      <c r="V37" s="4">
        <f t="shared" si="9"/>
        <v>0</v>
      </c>
      <c r="W37" s="4">
        <f t="shared" si="9"/>
        <v>0</v>
      </c>
      <c r="X37" s="4">
        <f t="shared" si="9"/>
        <v>5500</v>
      </c>
      <c r="Y37" s="4">
        <f t="shared" si="9"/>
        <v>0</v>
      </c>
      <c r="Z37" s="4">
        <f t="shared" si="9"/>
        <v>0</v>
      </c>
      <c r="AA37" s="4">
        <f t="shared" si="9"/>
        <v>5500</v>
      </c>
      <c r="AB37" s="4">
        <f t="shared" si="9"/>
        <v>0</v>
      </c>
      <c r="AC37" s="4">
        <f t="shared" si="9"/>
        <v>0</v>
      </c>
      <c r="AD37" s="4">
        <f t="shared" si="9"/>
        <v>5500</v>
      </c>
      <c r="AE37" s="4">
        <f t="shared" si="9"/>
        <v>0</v>
      </c>
      <c r="AF37" s="4">
        <f t="shared" si="9"/>
        <v>0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">
      <c r="A38" s="12" t="s">
        <v>42</v>
      </c>
      <c r="C38" s="4">
        <f aca="true" t="shared" si="10" ref="C38:AF38">IF(MOD(C$25,$C7)=0,$C15,$C19)</f>
        <v>1300</v>
      </c>
      <c r="D38" s="4">
        <f t="shared" si="10"/>
        <v>0</v>
      </c>
      <c r="E38" s="4">
        <f t="shared" si="10"/>
        <v>0</v>
      </c>
      <c r="F38" s="4">
        <f t="shared" si="10"/>
        <v>1300</v>
      </c>
      <c r="G38" s="4">
        <f t="shared" si="10"/>
        <v>0</v>
      </c>
      <c r="H38" s="4">
        <f t="shared" si="10"/>
        <v>0</v>
      </c>
      <c r="I38" s="4">
        <f t="shared" si="10"/>
        <v>1300</v>
      </c>
      <c r="J38" s="4">
        <f t="shared" si="10"/>
        <v>0</v>
      </c>
      <c r="K38" s="4">
        <f t="shared" si="10"/>
        <v>0</v>
      </c>
      <c r="L38" s="4">
        <f t="shared" si="10"/>
        <v>1300</v>
      </c>
      <c r="M38" s="4">
        <f t="shared" si="10"/>
        <v>0</v>
      </c>
      <c r="N38" s="4">
        <f t="shared" si="10"/>
        <v>0</v>
      </c>
      <c r="O38" s="4">
        <f t="shared" si="10"/>
        <v>1300</v>
      </c>
      <c r="P38" s="4">
        <f t="shared" si="10"/>
        <v>0</v>
      </c>
      <c r="Q38" s="4">
        <f t="shared" si="10"/>
        <v>0</v>
      </c>
      <c r="R38" s="4">
        <f t="shared" si="10"/>
        <v>1300</v>
      </c>
      <c r="S38" s="4">
        <f t="shared" si="10"/>
        <v>0</v>
      </c>
      <c r="T38" s="4">
        <f t="shared" si="10"/>
        <v>0</v>
      </c>
      <c r="U38" s="4">
        <f t="shared" si="10"/>
        <v>1300</v>
      </c>
      <c r="V38" s="4">
        <f t="shared" si="10"/>
        <v>0</v>
      </c>
      <c r="W38" s="4">
        <f t="shared" si="10"/>
        <v>0</v>
      </c>
      <c r="X38" s="4">
        <f t="shared" si="10"/>
        <v>1300</v>
      </c>
      <c r="Y38" s="4">
        <f t="shared" si="10"/>
        <v>0</v>
      </c>
      <c r="Z38" s="4">
        <f t="shared" si="10"/>
        <v>0</v>
      </c>
      <c r="AA38" s="4">
        <f t="shared" si="10"/>
        <v>1300</v>
      </c>
      <c r="AB38" s="4">
        <f t="shared" si="10"/>
        <v>0</v>
      </c>
      <c r="AC38" s="4">
        <f t="shared" si="10"/>
        <v>0</v>
      </c>
      <c r="AD38" s="4">
        <f t="shared" si="10"/>
        <v>1300</v>
      </c>
      <c r="AE38" s="4">
        <f t="shared" si="10"/>
        <v>0</v>
      </c>
      <c r="AF38" s="4">
        <f t="shared" si="10"/>
        <v>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">
      <c r="A39" s="2" t="s">
        <v>189</v>
      </c>
      <c r="C39" s="4">
        <f>SUM(C35:C38)</f>
        <v>11400</v>
      </c>
      <c r="D39" s="4">
        <f aca="true" t="shared" si="11" ref="D39:V39">SUM(D35:D38)</f>
        <v>5925</v>
      </c>
      <c r="E39" s="4">
        <f t="shared" si="11"/>
        <v>5925</v>
      </c>
      <c r="F39" s="4">
        <f t="shared" si="11"/>
        <v>11400</v>
      </c>
      <c r="G39" s="4">
        <f t="shared" si="11"/>
        <v>5925</v>
      </c>
      <c r="H39" s="4">
        <f t="shared" si="11"/>
        <v>5925</v>
      </c>
      <c r="I39" s="4">
        <f t="shared" si="11"/>
        <v>11400</v>
      </c>
      <c r="J39" s="4">
        <f t="shared" si="11"/>
        <v>5925</v>
      </c>
      <c r="K39" s="4">
        <f t="shared" si="11"/>
        <v>5925</v>
      </c>
      <c r="L39" s="4">
        <f t="shared" si="11"/>
        <v>11400</v>
      </c>
      <c r="M39" s="4">
        <f t="shared" si="11"/>
        <v>5925</v>
      </c>
      <c r="N39" s="4">
        <f t="shared" si="11"/>
        <v>5925</v>
      </c>
      <c r="O39" s="4">
        <f t="shared" si="11"/>
        <v>11400</v>
      </c>
      <c r="P39" s="4">
        <f t="shared" si="11"/>
        <v>5925</v>
      </c>
      <c r="Q39" s="4">
        <f t="shared" si="11"/>
        <v>5925</v>
      </c>
      <c r="R39" s="4">
        <f t="shared" si="11"/>
        <v>11400</v>
      </c>
      <c r="S39" s="4">
        <f t="shared" si="11"/>
        <v>5925</v>
      </c>
      <c r="T39" s="4">
        <f t="shared" si="11"/>
        <v>5925</v>
      </c>
      <c r="U39" s="4">
        <f t="shared" si="11"/>
        <v>11400</v>
      </c>
      <c r="V39" s="4">
        <f t="shared" si="11"/>
        <v>5925</v>
      </c>
      <c r="W39" s="4">
        <f aca="true" t="shared" si="12" ref="W39:AF39">SUM(W35:W38)</f>
        <v>5925</v>
      </c>
      <c r="X39" s="4">
        <f t="shared" si="12"/>
        <v>11400</v>
      </c>
      <c r="Y39" s="4">
        <f t="shared" si="12"/>
        <v>5925</v>
      </c>
      <c r="Z39" s="4">
        <f t="shared" si="12"/>
        <v>5925</v>
      </c>
      <c r="AA39" s="4">
        <f t="shared" si="12"/>
        <v>11400</v>
      </c>
      <c r="AB39" s="4">
        <f t="shared" si="12"/>
        <v>5925</v>
      </c>
      <c r="AC39" s="4">
        <f t="shared" si="12"/>
        <v>5925</v>
      </c>
      <c r="AD39" s="4">
        <f t="shared" si="12"/>
        <v>11400</v>
      </c>
      <c r="AE39" s="4">
        <f t="shared" si="12"/>
        <v>5925</v>
      </c>
      <c r="AF39" s="4">
        <f t="shared" si="12"/>
        <v>5925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">
      <c r="A40" s="2" t="s">
        <v>190</v>
      </c>
      <c r="C40" s="4">
        <f>C39/$B$3*1000</f>
        <v>760</v>
      </c>
      <c r="D40" s="4">
        <f aca="true" t="shared" si="13" ref="D40:AF40">D39/$B$3*1000</f>
        <v>395</v>
      </c>
      <c r="E40" s="4">
        <f t="shared" si="13"/>
        <v>395</v>
      </c>
      <c r="F40" s="4">
        <f t="shared" si="13"/>
        <v>760</v>
      </c>
      <c r="G40" s="4">
        <f t="shared" si="13"/>
        <v>395</v>
      </c>
      <c r="H40" s="4">
        <f t="shared" si="13"/>
        <v>395</v>
      </c>
      <c r="I40" s="4">
        <f t="shared" si="13"/>
        <v>760</v>
      </c>
      <c r="J40" s="4">
        <f t="shared" si="13"/>
        <v>395</v>
      </c>
      <c r="K40" s="4">
        <f t="shared" si="13"/>
        <v>395</v>
      </c>
      <c r="L40" s="4">
        <f t="shared" si="13"/>
        <v>760</v>
      </c>
      <c r="M40" s="4">
        <f t="shared" si="13"/>
        <v>395</v>
      </c>
      <c r="N40" s="4">
        <f t="shared" si="13"/>
        <v>395</v>
      </c>
      <c r="O40" s="4">
        <f t="shared" si="13"/>
        <v>760</v>
      </c>
      <c r="P40" s="4">
        <f t="shared" si="13"/>
        <v>395</v>
      </c>
      <c r="Q40" s="4">
        <f t="shared" si="13"/>
        <v>395</v>
      </c>
      <c r="R40" s="4">
        <f t="shared" si="13"/>
        <v>760</v>
      </c>
      <c r="S40" s="4">
        <f t="shared" si="13"/>
        <v>395</v>
      </c>
      <c r="T40" s="4">
        <f t="shared" si="13"/>
        <v>395</v>
      </c>
      <c r="U40" s="4">
        <f t="shared" si="13"/>
        <v>760</v>
      </c>
      <c r="V40" s="4">
        <f t="shared" si="13"/>
        <v>395</v>
      </c>
      <c r="W40" s="4">
        <f t="shared" si="13"/>
        <v>395</v>
      </c>
      <c r="X40" s="4">
        <f t="shared" si="13"/>
        <v>760</v>
      </c>
      <c r="Y40" s="4">
        <f t="shared" si="13"/>
        <v>395</v>
      </c>
      <c r="Z40" s="4">
        <f t="shared" si="13"/>
        <v>395</v>
      </c>
      <c r="AA40" s="4">
        <f t="shared" si="13"/>
        <v>760</v>
      </c>
      <c r="AB40" s="4">
        <f t="shared" si="13"/>
        <v>395</v>
      </c>
      <c r="AC40" s="4">
        <f t="shared" si="13"/>
        <v>395</v>
      </c>
      <c r="AD40" s="4">
        <f t="shared" si="13"/>
        <v>760</v>
      </c>
      <c r="AE40" s="4">
        <f t="shared" si="13"/>
        <v>395</v>
      </c>
      <c r="AF40" s="4">
        <f t="shared" si="13"/>
        <v>395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3:48" ht="1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2">
      <c r="A42" s="2" t="s">
        <v>184</v>
      </c>
      <c r="C42" s="29">
        <f aca="true" t="shared" si="14" ref="C42:AF42">IF(MOD(C$25,$C7)&lt;$C10,0,$C20)</f>
        <v>0</v>
      </c>
      <c r="D42" s="29">
        <f t="shared" si="14"/>
        <v>22.5</v>
      </c>
      <c r="E42" s="29">
        <f t="shared" si="14"/>
        <v>22.5</v>
      </c>
      <c r="F42" s="29">
        <f t="shared" si="14"/>
        <v>0</v>
      </c>
      <c r="G42" s="29">
        <f t="shared" si="14"/>
        <v>22.5</v>
      </c>
      <c r="H42" s="29">
        <f t="shared" si="14"/>
        <v>22.5</v>
      </c>
      <c r="I42" s="29">
        <f t="shared" si="14"/>
        <v>0</v>
      </c>
      <c r="J42" s="29">
        <f t="shared" si="14"/>
        <v>22.5</v>
      </c>
      <c r="K42" s="29">
        <f t="shared" si="14"/>
        <v>22.5</v>
      </c>
      <c r="L42" s="29">
        <f t="shared" si="14"/>
        <v>0</v>
      </c>
      <c r="M42" s="29">
        <f t="shared" si="14"/>
        <v>22.5</v>
      </c>
      <c r="N42" s="29">
        <f t="shared" si="14"/>
        <v>22.5</v>
      </c>
      <c r="O42" s="29">
        <f t="shared" si="14"/>
        <v>0</v>
      </c>
      <c r="P42" s="29">
        <f t="shared" si="14"/>
        <v>22.5</v>
      </c>
      <c r="Q42" s="29">
        <f t="shared" si="14"/>
        <v>22.5</v>
      </c>
      <c r="R42" s="29">
        <f t="shared" si="14"/>
        <v>0</v>
      </c>
      <c r="S42" s="29">
        <f t="shared" si="14"/>
        <v>22.5</v>
      </c>
      <c r="T42" s="29">
        <f t="shared" si="14"/>
        <v>22.5</v>
      </c>
      <c r="U42" s="29">
        <f t="shared" si="14"/>
        <v>0</v>
      </c>
      <c r="V42" s="29">
        <f t="shared" si="14"/>
        <v>22.5</v>
      </c>
      <c r="W42" s="29">
        <f t="shared" si="14"/>
        <v>22.5</v>
      </c>
      <c r="X42" s="29">
        <f t="shared" si="14"/>
        <v>0</v>
      </c>
      <c r="Y42" s="29">
        <f t="shared" si="14"/>
        <v>22.5</v>
      </c>
      <c r="Z42" s="29">
        <f t="shared" si="14"/>
        <v>22.5</v>
      </c>
      <c r="AA42" s="29">
        <f t="shared" si="14"/>
        <v>0</v>
      </c>
      <c r="AB42" s="29">
        <f t="shared" si="14"/>
        <v>22.5</v>
      </c>
      <c r="AC42" s="29">
        <f t="shared" si="14"/>
        <v>22.5</v>
      </c>
      <c r="AD42" s="29">
        <f t="shared" si="14"/>
        <v>0</v>
      </c>
      <c r="AE42" s="29">
        <f t="shared" si="14"/>
        <v>22.5</v>
      </c>
      <c r="AF42" s="29">
        <f t="shared" si="14"/>
        <v>22.5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2">
      <c r="A43" s="2" t="s">
        <v>186</v>
      </c>
      <c r="C43" s="4">
        <f aca="true" t="shared" si="15" ref="C43:AF43">$C21</f>
        <v>550</v>
      </c>
      <c r="D43" s="4">
        <f t="shared" si="15"/>
        <v>550</v>
      </c>
      <c r="E43" s="4">
        <f t="shared" si="15"/>
        <v>550</v>
      </c>
      <c r="F43" s="4">
        <f t="shared" si="15"/>
        <v>550</v>
      </c>
      <c r="G43" s="4">
        <f t="shared" si="15"/>
        <v>550</v>
      </c>
      <c r="H43" s="4">
        <f t="shared" si="15"/>
        <v>550</v>
      </c>
      <c r="I43" s="4">
        <f t="shared" si="15"/>
        <v>550</v>
      </c>
      <c r="J43" s="4">
        <f t="shared" si="15"/>
        <v>550</v>
      </c>
      <c r="K43" s="4">
        <f t="shared" si="15"/>
        <v>550</v>
      </c>
      <c r="L43" s="4">
        <f t="shared" si="15"/>
        <v>550</v>
      </c>
      <c r="M43" s="4">
        <f t="shared" si="15"/>
        <v>550</v>
      </c>
      <c r="N43" s="4">
        <f t="shared" si="15"/>
        <v>550</v>
      </c>
      <c r="O43" s="4">
        <f t="shared" si="15"/>
        <v>550</v>
      </c>
      <c r="P43" s="4">
        <f t="shared" si="15"/>
        <v>550</v>
      </c>
      <c r="Q43" s="4">
        <f t="shared" si="15"/>
        <v>550</v>
      </c>
      <c r="R43" s="4">
        <f t="shared" si="15"/>
        <v>550</v>
      </c>
      <c r="S43" s="4">
        <f t="shared" si="15"/>
        <v>550</v>
      </c>
      <c r="T43" s="4">
        <f t="shared" si="15"/>
        <v>550</v>
      </c>
      <c r="U43" s="4">
        <f t="shared" si="15"/>
        <v>550</v>
      </c>
      <c r="V43" s="4">
        <f t="shared" si="15"/>
        <v>550</v>
      </c>
      <c r="W43" s="4">
        <f t="shared" si="15"/>
        <v>550</v>
      </c>
      <c r="X43" s="4">
        <f t="shared" si="15"/>
        <v>550</v>
      </c>
      <c r="Y43" s="4">
        <f t="shared" si="15"/>
        <v>550</v>
      </c>
      <c r="Z43" s="4">
        <f t="shared" si="15"/>
        <v>550</v>
      </c>
      <c r="AA43" s="4">
        <f t="shared" si="15"/>
        <v>550</v>
      </c>
      <c r="AB43" s="4">
        <f t="shared" si="15"/>
        <v>550</v>
      </c>
      <c r="AC43" s="4">
        <f t="shared" si="15"/>
        <v>550</v>
      </c>
      <c r="AD43" s="4">
        <f t="shared" si="15"/>
        <v>550</v>
      </c>
      <c r="AE43" s="4">
        <f t="shared" si="15"/>
        <v>550</v>
      </c>
      <c r="AF43" s="4">
        <f t="shared" si="15"/>
        <v>550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2">
      <c r="A44" s="2" t="s">
        <v>187</v>
      </c>
      <c r="C44" s="4">
        <f aca="true" t="shared" si="16" ref="C44:AF44">IF(MOD(C$25,$C7)=2,$C22,0)</f>
        <v>0</v>
      </c>
      <c r="D44" s="4">
        <f t="shared" si="16"/>
        <v>0</v>
      </c>
      <c r="E44" s="4">
        <f t="shared" si="16"/>
        <v>3500</v>
      </c>
      <c r="F44" s="4">
        <f t="shared" si="16"/>
        <v>0</v>
      </c>
      <c r="G44" s="4">
        <f t="shared" si="16"/>
        <v>0</v>
      </c>
      <c r="H44" s="4">
        <f t="shared" si="16"/>
        <v>3500</v>
      </c>
      <c r="I44" s="4">
        <f t="shared" si="16"/>
        <v>0</v>
      </c>
      <c r="J44" s="4">
        <f t="shared" si="16"/>
        <v>0</v>
      </c>
      <c r="K44" s="4">
        <f t="shared" si="16"/>
        <v>3500</v>
      </c>
      <c r="L44" s="4">
        <f t="shared" si="16"/>
        <v>0</v>
      </c>
      <c r="M44" s="4">
        <f t="shared" si="16"/>
        <v>0</v>
      </c>
      <c r="N44" s="4">
        <f t="shared" si="16"/>
        <v>3500</v>
      </c>
      <c r="O44" s="4">
        <f t="shared" si="16"/>
        <v>0</v>
      </c>
      <c r="P44" s="4">
        <f t="shared" si="16"/>
        <v>0</v>
      </c>
      <c r="Q44" s="4">
        <f t="shared" si="16"/>
        <v>3500</v>
      </c>
      <c r="R44" s="4">
        <f t="shared" si="16"/>
        <v>0</v>
      </c>
      <c r="S44" s="4">
        <f t="shared" si="16"/>
        <v>0</v>
      </c>
      <c r="T44" s="4">
        <f t="shared" si="16"/>
        <v>3500</v>
      </c>
      <c r="U44" s="4">
        <f t="shared" si="16"/>
        <v>0</v>
      </c>
      <c r="V44" s="4">
        <f t="shared" si="16"/>
        <v>0</v>
      </c>
      <c r="W44" s="4">
        <f t="shared" si="16"/>
        <v>3500</v>
      </c>
      <c r="X44" s="4">
        <f t="shared" si="16"/>
        <v>0</v>
      </c>
      <c r="Y44" s="4">
        <f t="shared" si="16"/>
        <v>0</v>
      </c>
      <c r="Z44" s="4">
        <f t="shared" si="16"/>
        <v>3500</v>
      </c>
      <c r="AA44" s="4">
        <f t="shared" si="16"/>
        <v>0</v>
      </c>
      <c r="AB44" s="4">
        <f t="shared" si="16"/>
        <v>0</v>
      </c>
      <c r="AC44" s="4">
        <f t="shared" si="16"/>
        <v>3500</v>
      </c>
      <c r="AD44" s="4">
        <f t="shared" si="16"/>
        <v>0</v>
      </c>
      <c r="AE44" s="4">
        <f t="shared" si="16"/>
        <v>0</v>
      </c>
      <c r="AF44" s="4">
        <f t="shared" si="16"/>
        <v>3500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">
      <c r="A45" s="2" t="s">
        <v>185</v>
      </c>
      <c r="C45" s="4">
        <f>C43*C42+C44</f>
        <v>0</v>
      </c>
      <c r="D45" s="4">
        <f aca="true" t="shared" si="17" ref="D45:V45">D43*D42+D44</f>
        <v>12375</v>
      </c>
      <c r="E45" s="4">
        <f t="shared" si="17"/>
        <v>15875</v>
      </c>
      <c r="F45" s="4">
        <f t="shared" si="17"/>
        <v>0</v>
      </c>
      <c r="G45" s="4">
        <f t="shared" si="17"/>
        <v>12375</v>
      </c>
      <c r="H45" s="4">
        <f t="shared" si="17"/>
        <v>15875</v>
      </c>
      <c r="I45" s="4">
        <f t="shared" si="17"/>
        <v>0</v>
      </c>
      <c r="J45" s="4">
        <f t="shared" si="17"/>
        <v>12375</v>
      </c>
      <c r="K45" s="4">
        <f t="shared" si="17"/>
        <v>15875</v>
      </c>
      <c r="L45" s="4">
        <f t="shared" si="17"/>
        <v>0</v>
      </c>
      <c r="M45" s="4">
        <f t="shared" si="17"/>
        <v>12375</v>
      </c>
      <c r="N45" s="4">
        <f t="shared" si="17"/>
        <v>15875</v>
      </c>
      <c r="O45" s="4">
        <f t="shared" si="17"/>
        <v>0</v>
      </c>
      <c r="P45" s="4">
        <f t="shared" si="17"/>
        <v>12375</v>
      </c>
      <c r="Q45" s="4">
        <f t="shared" si="17"/>
        <v>15875</v>
      </c>
      <c r="R45" s="4">
        <f t="shared" si="17"/>
        <v>0</v>
      </c>
      <c r="S45" s="4">
        <f t="shared" si="17"/>
        <v>12375</v>
      </c>
      <c r="T45" s="4">
        <f t="shared" si="17"/>
        <v>15875</v>
      </c>
      <c r="U45" s="4">
        <f t="shared" si="17"/>
        <v>0</v>
      </c>
      <c r="V45" s="4">
        <f t="shared" si="17"/>
        <v>12375</v>
      </c>
      <c r="W45" s="4">
        <f aca="true" t="shared" si="18" ref="W45:AF45">W43*W42+W44</f>
        <v>15875</v>
      </c>
      <c r="X45" s="4">
        <f t="shared" si="18"/>
        <v>0</v>
      </c>
      <c r="Y45" s="4">
        <f t="shared" si="18"/>
        <v>12375</v>
      </c>
      <c r="Z45" s="4">
        <f t="shared" si="18"/>
        <v>15875</v>
      </c>
      <c r="AA45" s="4">
        <f t="shared" si="18"/>
        <v>0</v>
      </c>
      <c r="AB45" s="4">
        <f t="shared" si="18"/>
        <v>12375</v>
      </c>
      <c r="AC45" s="4">
        <f t="shared" si="18"/>
        <v>15875</v>
      </c>
      <c r="AD45" s="4">
        <f t="shared" si="18"/>
        <v>0</v>
      </c>
      <c r="AE45" s="4">
        <f t="shared" si="18"/>
        <v>12375</v>
      </c>
      <c r="AF45" s="4">
        <f t="shared" si="18"/>
        <v>15875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">
      <c r="A46" s="2" t="s">
        <v>188</v>
      </c>
      <c r="C46" s="4">
        <f>C45-C39</f>
        <v>-11400</v>
      </c>
      <c r="D46" s="4">
        <f aca="true" t="shared" si="19" ref="D46:V46">D45-D39</f>
        <v>6450</v>
      </c>
      <c r="E46" s="4">
        <f t="shared" si="19"/>
        <v>9950</v>
      </c>
      <c r="F46" s="4">
        <f t="shared" si="19"/>
        <v>-11400</v>
      </c>
      <c r="G46" s="4">
        <f t="shared" si="19"/>
        <v>6450</v>
      </c>
      <c r="H46" s="4">
        <f t="shared" si="19"/>
        <v>9950</v>
      </c>
      <c r="I46" s="4">
        <f t="shared" si="19"/>
        <v>-11400</v>
      </c>
      <c r="J46" s="4">
        <f t="shared" si="19"/>
        <v>6450</v>
      </c>
      <c r="K46" s="4">
        <f t="shared" si="19"/>
        <v>9950</v>
      </c>
      <c r="L46" s="4">
        <f t="shared" si="19"/>
        <v>-11400</v>
      </c>
      <c r="M46" s="4">
        <f t="shared" si="19"/>
        <v>6450</v>
      </c>
      <c r="N46" s="4">
        <f t="shared" si="19"/>
        <v>9950</v>
      </c>
      <c r="O46" s="4">
        <f t="shared" si="19"/>
        <v>-11400</v>
      </c>
      <c r="P46" s="4">
        <f t="shared" si="19"/>
        <v>6450</v>
      </c>
      <c r="Q46" s="4">
        <f t="shared" si="19"/>
        <v>9950</v>
      </c>
      <c r="R46" s="4">
        <f t="shared" si="19"/>
        <v>-11400</v>
      </c>
      <c r="S46" s="4">
        <f t="shared" si="19"/>
        <v>6450</v>
      </c>
      <c r="T46" s="4">
        <f t="shared" si="19"/>
        <v>9950</v>
      </c>
      <c r="U46" s="4">
        <f t="shared" si="19"/>
        <v>-11400</v>
      </c>
      <c r="V46" s="4">
        <f t="shared" si="19"/>
        <v>6450</v>
      </c>
      <c r="W46" s="4">
        <f aca="true" t="shared" si="20" ref="W46:AF46">W45-W39</f>
        <v>9950</v>
      </c>
      <c r="X46" s="4">
        <f t="shared" si="20"/>
        <v>-11400</v>
      </c>
      <c r="Y46" s="4">
        <f t="shared" si="20"/>
        <v>6450</v>
      </c>
      <c r="Z46" s="4">
        <f t="shared" si="20"/>
        <v>9950</v>
      </c>
      <c r="AA46" s="4">
        <f t="shared" si="20"/>
        <v>-11400</v>
      </c>
      <c r="AB46" s="4">
        <f t="shared" si="20"/>
        <v>6450</v>
      </c>
      <c r="AC46" s="4">
        <f t="shared" si="20"/>
        <v>9950</v>
      </c>
      <c r="AD46" s="4">
        <f t="shared" si="20"/>
        <v>-11400</v>
      </c>
      <c r="AE46" s="4">
        <f t="shared" si="20"/>
        <v>6450</v>
      </c>
      <c r="AF46" s="4">
        <f t="shared" si="20"/>
        <v>9950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">
      <c r="A47" s="1" t="s">
        <v>191</v>
      </c>
      <c r="C47" s="17">
        <f>C46/$B$3*1000</f>
        <v>-760</v>
      </c>
      <c r="D47" s="17">
        <f aca="true" t="shared" si="21" ref="D47:AF47">D46/$B$3*1000</f>
        <v>430</v>
      </c>
      <c r="E47" s="17">
        <f t="shared" si="21"/>
        <v>663.3333333333334</v>
      </c>
      <c r="F47" s="17">
        <f t="shared" si="21"/>
        <v>-760</v>
      </c>
      <c r="G47" s="17">
        <f t="shared" si="21"/>
        <v>430</v>
      </c>
      <c r="H47" s="17">
        <f t="shared" si="21"/>
        <v>663.3333333333334</v>
      </c>
      <c r="I47" s="17">
        <f t="shared" si="21"/>
        <v>-760</v>
      </c>
      <c r="J47" s="17">
        <f t="shared" si="21"/>
        <v>430</v>
      </c>
      <c r="K47" s="17">
        <f t="shared" si="21"/>
        <v>663.3333333333334</v>
      </c>
      <c r="L47" s="17">
        <f t="shared" si="21"/>
        <v>-760</v>
      </c>
      <c r="M47" s="17">
        <f t="shared" si="21"/>
        <v>430</v>
      </c>
      <c r="N47" s="17">
        <f t="shared" si="21"/>
        <v>663.3333333333334</v>
      </c>
      <c r="O47" s="17">
        <f t="shared" si="21"/>
        <v>-760</v>
      </c>
      <c r="P47" s="17">
        <f t="shared" si="21"/>
        <v>430</v>
      </c>
      <c r="Q47" s="17">
        <f t="shared" si="21"/>
        <v>663.3333333333334</v>
      </c>
      <c r="R47" s="17">
        <f t="shared" si="21"/>
        <v>-760</v>
      </c>
      <c r="S47" s="17">
        <f t="shared" si="21"/>
        <v>430</v>
      </c>
      <c r="T47" s="17">
        <f t="shared" si="21"/>
        <v>663.3333333333334</v>
      </c>
      <c r="U47" s="17">
        <f t="shared" si="21"/>
        <v>-760</v>
      </c>
      <c r="V47" s="17">
        <f t="shared" si="21"/>
        <v>430</v>
      </c>
      <c r="W47" s="17">
        <f t="shared" si="21"/>
        <v>663.3333333333334</v>
      </c>
      <c r="X47" s="17">
        <f t="shared" si="21"/>
        <v>-760</v>
      </c>
      <c r="Y47" s="17">
        <f t="shared" si="21"/>
        <v>430</v>
      </c>
      <c r="Z47" s="17">
        <f t="shared" si="21"/>
        <v>663.3333333333334</v>
      </c>
      <c r="AA47" s="17">
        <f t="shared" si="21"/>
        <v>-760</v>
      </c>
      <c r="AB47" s="17">
        <f t="shared" si="21"/>
        <v>430</v>
      </c>
      <c r="AC47" s="17">
        <f t="shared" si="21"/>
        <v>663.3333333333334</v>
      </c>
      <c r="AD47" s="17">
        <f t="shared" si="21"/>
        <v>-760</v>
      </c>
      <c r="AE47" s="17">
        <f t="shared" si="21"/>
        <v>430</v>
      </c>
      <c r="AF47" s="17">
        <f t="shared" si="21"/>
        <v>663.3333333333334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3:48" ht="12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">
      <c r="A49" s="1" t="s">
        <v>212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">
      <c r="A50" s="12" t="s">
        <v>143</v>
      </c>
      <c r="C50" s="4">
        <f aca="true" t="shared" si="22" ref="C50:AF50">IF(MOD(C$25,$D7)=0,$D8*$B$5/1000,$D9*$B$5/1000)</f>
        <v>2625</v>
      </c>
      <c r="D50" s="4">
        <f t="shared" si="22"/>
        <v>6375</v>
      </c>
      <c r="E50" s="4">
        <f t="shared" si="22"/>
        <v>6375</v>
      </c>
      <c r="F50" s="4">
        <f t="shared" si="22"/>
        <v>6375</v>
      </c>
      <c r="G50" s="4">
        <f t="shared" si="22"/>
        <v>6375</v>
      </c>
      <c r="H50" s="4">
        <f t="shared" si="22"/>
        <v>6375</v>
      </c>
      <c r="I50" s="4">
        <f t="shared" si="22"/>
        <v>6375</v>
      </c>
      <c r="J50" s="4">
        <f t="shared" si="22"/>
        <v>6375</v>
      </c>
      <c r="K50" s="4">
        <f t="shared" si="22"/>
        <v>6375</v>
      </c>
      <c r="L50" s="4">
        <f t="shared" si="22"/>
        <v>6375</v>
      </c>
      <c r="M50" s="4">
        <f t="shared" si="22"/>
        <v>2625</v>
      </c>
      <c r="N50" s="4">
        <f t="shared" si="22"/>
        <v>6375</v>
      </c>
      <c r="O50" s="4">
        <f t="shared" si="22"/>
        <v>6375</v>
      </c>
      <c r="P50" s="4">
        <f t="shared" si="22"/>
        <v>6375</v>
      </c>
      <c r="Q50" s="4">
        <f t="shared" si="22"/>
        <v>6375</v>
      </c>
      <c r="R50" s="4">
        <f t="shared" si="22"/>
        <v>6375</v>
      </c>
      <c r="S50" s="4">
        <f t="shared" si="22"/>
        <v>6375</v>
      </c>
      <c r="T50" s="4">
        <f t="shared" si="22"/>
        <v>6375</v>
      </c>
      <c r="U50" s="4">
        <f t="shared" si="22"/>
        <v>6375</v>
      </c>
      <c r="V50" s="4">
        <f t="shared" si="22"/>
        <v>6375</v>
      </c>
      <c r="W50" s="4">
        <f t="shared" si="22"/>
        <v>2625</v>
      </c>
      <c r="X50" s="4">
        <f t="shared" si="22"/>
        <v>6375</v>
      </c>
      <c r="Y50" s="4">
        <f t="shared" si="22"/>
        <v>6375</v>
      </c>
      <c r="Z50" s="4">
        <f t="shared" si="22"/>
        <v>6375</v>
      </c>
      <c r="AA50" s="4">
        <f t="shared" si="22"/>
        <v>6375</v>
      </c>
      <c r="AB50" s="4">
        <f t="shared" si="22"/>
        <v>6375</v>
      </c>
      <c r="AC50" s="4">
        <f t="shared" si="22"/>
        <v>6375</v>
      </c>
      <c r="AD50" s="4">
        <f t="shared" si="22"/>
        <v>6375</v>
      </c>
      <c r="AE50" s="4">
        <f t="shared" si="22"/>
        <v>6375</v>
      </c>
      <c r="AF50" s="4">
        <f t="shared" si="22"/>
        <v>6375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">
      <c r="A51" s="12" t="s">
        <v>40</v>
      </c>
      <c r="C51" s="4">
        <f aca="true" t="shared" si="23" ref="C51:AF51">IF(MOD(C$25,$D7)=0,$D13,IF(MOD(C$25,$D7)=1,$E13,IF(MOD(C$25,$D7)=2,$F13,$D17)))</f>
        <v>7500</v>
      </c>
      <c r="D51" s="4">
        <f t="shared" si="23"/>
        <v>1300</v>
      </c>
      <c r="E51" s="4">
        <f t="shared" si="23"/>
        <v>6800</v>
      </c>
      <c r="F51" s="4">
        <f t="shared" si="23"/>
        <v>4800</v>
      </c>
      <c r="G51" s="4">
        <f t="shared" si="23"/>
        <v>4800</v>
      </c>
      <c r="H51" s="4">
        <f t="shared" si="23"/>
        <v>4800</v>
      </c>
      <c r="I51" s="4">
        <f t="shared" si="23"/>
        <v>4800</v>
      </c>
      <c r="J51" s="4">
        <f t="shared" si="23"/>
        <v>4800</v>
      </c>
      <c r="K51" s="4">
        <f t="shared" si="23"/>
        <v>4800</v>
      </c>
      <c r="L51" s="4">
        <f t="shared" si="23"/>
        <v>4800</v>
      </c>
      <c r="M51" s="4">
        <f t="shared" si="23"/>
        <v>7500</v>
      </c>
      <c r="N51" s="4">
        <f t="shared" si="23"/>
        <v>1300</v>
      </c>
      <c r="O51" s="4">
        <f t="shared" si="23"/>
        <v>6800</v>
      </c>
      <c r="P51" s="4">
        <f t="shared" si="23"/>
        <v>4800</v>
      </c>
      <c r="Q51" s="4">
        <f t="shared" si="23"/>
        <v>4800</v>
      </c>
      <c r="R51" s="4">
        <f t="shared" si="23"/>
        <v>4800</v>
      </c>
      <c r="S51" s="4">
        <f t="shared" si="23"/>
        <v>4800</v>
      </c>
      <c r="T51" s="4">
        <f t="shared" si="23"/>
        <v>4800</v>
      </c>
      <c r="U51" s="4">
        <f t="shared" si="23"/>
        <v>4800</v>
      </c>
      <c r="V51" s="4">
        <f t="shared" si="23"/>
        <v>4800</v>
      </c>
      <c r="W51" s="4">
        <f t="shared" si="23"/>
        <v>7500</v>
      </c>
      <c r="X51" s="4">
        <f t="shared" si="23"/>
        <v>1300</v>
      </c>
      <c r="Y51" s="4">
        <f t="shared" si="23"/>
        <v>6800</v>
      </c>
      <c r="Z51" s="4">
        <f t="shared" si="23"/>
        <v>4800</v>
      </c>
      <c r="AA51" s="4">
        <f t="shared" si="23"/>
        <v>4800</v>
      </c>
      <c r="AB51" s="4">
        <f t="shared" si="23"/>
        <v>4800</v>
      </c>
      <c r="AC51" s="4">
        <f t="shared" si="23"/>
        <v>4800</v>
      </c>
      <c r="AD51" s="4">
        <f t="shared" si="23"/>
        <v>4800</v>
      </c>
      <c r="AE51" s="4">
        <f t="shared" si="23"/>
        <v>4800</v>
      </c>
      <c r="AF51" s="4">
        <f t="shared" si="23"/>
        <v>4800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">
      <c r="A52" s="12" t="s">
        <v>41</v>
      </c>
      <c r="C52" s="4">
        <f aca="true" t="shared" si="24" ref="C52:AF52">IF(MOD(C$25,$D7)=0,$D14,$D18)</f>
        <v>1500</v>
      </c>
      <c r="D52" s="4">
        <f t="shared" si="24"/>
        <v>0</v>
      </c>
      <c r="E52" s="4">
        <f t="shared" si="24"/>
        <v>0</v>
      </c>
      <c r="F52" s="4">
        <f t="shared" si="24"/>
        <v>0</v>
      </c>
      <c r="G52" s="4">
        <f t="shared" si="24"/>
        <v>0</v>
      </c>
      <c r="H52" s="4">
        <f t="shared" si="24"/>
        <v>0</v>
      </c>
      <c r="I52" s="4">
        <f t="shared" si="24"/>
        <v>0</v>
      </c>
      <c r="J52" s="4">
        <f t="shared" si="24"/>
        <v>0</v>
      </c>
      <c r="K52" s="4">
        <f t="shared" si="24"/>
        <v>0</v>
      </c>
      <c r="L52" s="4">
        <f t="shared" si="24"/>
        <v>0</v>
      </c>
      <c r="M52" s="4">
        <f t="shared" si="24"/>
        <v>1500</v>
      </c>
      <c r="N52" s="4">
        <f t="shared" si="24"/>
        <v>0</v>
      </c>
      <c r="O52" s="4">
        <f t="shared" si="24"/>
        <v>0</v>
      </c>
      <c r="P52" s="4">
        <f t="shared" si="24"/>
        <v>0</v>
      </c>
      <c r="Q52" s="4">
        <f t="shared" si="24"/>
        <v>0</v>
      </c>
      <c r="R52" s="4">
        <f t="shared" si="24"/>
        <v>0</v>
      </c>
      <c r="S52" s="4">
        <f t="shared" si="24"/>
        <v>0</v>
      </c>
      <c r="T52" s="4">
        <f t="shared" si="24"/>
        <v>0</v>
      </c>
      <c r="U52" s="4">
        <f t="shared" si="24"/>
        <v>0</v>
      </c>
      <c r="V52" s="4">
        <f t="shared" si="24"/>
        <v>0</v>
      </c>
      <c r="W52" s="4">
        <f t="shared" si="24"/>
        <v>1500</v>
      </c>
      <c r="X52" s="4">
        <f t="shared" si="24"/>
        <v>0</v>
      </c>
      <c r="Y52" s="4">
        <f t="shared" si="24"/>
        <v>0</v>
      </c>
      <c r="Z52" s="4">
        <f t="shared" si="24"/>
        <v>0</v>
      </c>
      <c r="AA52" s="4">
        <f t="shared" si="24"/>
        <v>0</v>
      </c>
      <c r="AB52" s="4">
        <f t="shared" si="24"/>
        <v>0</v>
      </c>
      <c r="AC52" s="4">
        <f t="shared" si="24"/>
        <v>0</v>
      </c>
      <c r="AD52" s="4">
        <f t="shared" si="24"/>
        <v>0</v>
      </c>
      <c r="AE52" s="4">
        <f t="shared" si="24"/>
        <v>0</v>
      </c>
      <c r="AF52" s="4">
        <f t="shared" si="24"/>
        <v>0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">
      <c r="A53" s="12" t="s">
        <v>42</v>
      </c>
      <c r="C53" s="4">
        <f aca="true" t="shared" si="25" ref="C53:AF53">IF(MOD(C$25,$D7)=0,$D15,$D19)</f>
        <v>1500</v>
      </c>
      <c r="D53" s="4">
        <f t="shared" si="25"/>
        <v>0</v>
      </c>
      <c r="E53" s="4">
        <f t="shared" si="25"/>
        <v>0</v>
      </c>
      <c r="F53" s="4">
        <f t="shared" si="25"/>
        <v>0</v>
      </c>
      <c r="G53" s="4">
        <f t="shared" si="25"/>
        <v>0</v>
      </c>
      <c r="H53" s="4">
        <f t="shared" si="25"/>
        <v>0</v>
      </c>
      <c r="I53" s="4">
        <f t="shared" si="25"/>
        <v>0</v>
      </c>
      <c r="J53" s="4">
        <f t="shared" si="25"/>
        <v>0</v>
      </c>
      <c r="K53" s="4">
        <f t="shared" si="25"/>
        <v>0</v>
      </c>
      <c r="L53" s="4">
        <f t="shared" si="25"/>
        <v>0</v>
      </c>
      <c r="M53" s="4">
        <f t="shared" si="25"/>
        <v>1500</v>
      </c>
      <c r="N53" s="4">
        <f t="shared" si="25"/>
        <v>0</v>
      </c>
      <c r="O53" s="4">
        <f t="shared" si="25"/>
        <v>0</v>
      </c>
      <c r="P53" s="4">
        <f t="shared" si="25"/>
        <v>0</v>
      </c>
      <c r="Q53" s="4">
        <f t="shared" si="25"/>
        <v>0</v>
      </c>
      <c r="R53" s="4">
        <f t="shared" si="25"/>
        <v>0</v>
      </c>
      <c r="S53" s="4">
        <f t="shared" si="25"/>
        <v>0</v>
      </c>
      <c r="T53" s="4">
        <f t="shared" si="25"/>
        <v>0</v>
      </c>
      <c r="U53" s="4">
        <f t="shared" si="25"/>
        <v>0</v>
      </c>
      <c r="V53" s="4">
        <f t="shared" si="25"/>
        <v>0</v>
      </c>
      <c r="W53" s="4">
        <f t="shared" si="25"/>
        <v>1500</v>
      </c>
      <c r="X53" s="4">
        <f t="shared" si="25"/>
        <v>0</v>
      </c>
      <c r="Y53" s="4">
        <f t="shared" si="25"/>
        <v>0</v>
      </c>
      <c r="Z53" s="4">
        <f t="shared" si="25"/>
        <v>0</v>
      </c>
      <c r="AA53" s="4">
        <f t="shared" si="25"/>
        <v>0</v>
      </c>
      <c r="AB53" s="4">
        <f t="shared" si="25"/>
        <v>0</v>
      </c>
      <c r="AC53" s="4">
        <f t="shared" si="25"/>
        <v>0</v>
      </c>
      <c r="AD53" s="4">
        <f t="shared" si="25"/>
        <v>0</v>
      </c>
      <c r="AE53" s="4">
        <f t="shared" si="25"/>
        <v>0</v>
      </c>
      <c r="AF53" s="4">
        <f t="shared" si="25"/>
        <v>0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">
      <c r="A54" s="2" t="s">
        <v>189</v>
      </c>
      <c r="C54" s="4">
        <f aca="true" t="shared" si="26" ref="C54:AF54">SUM(C50:C53)</f>
        <v>13125</v>
      </c>
      <c r="D54" s="4">
        <f t="shared" si="26"/>
        <v>7675</v>
      </c>
      <c r="E54" s="4">
        <f t="shared" si="26"/>
        <v>13175</v>
      </c>
      <c r="F54" s="4">
        <f t="shared" si="26"/>
        <v>11175</v>
      </c>
      <c r="G54" s="4">
        <f t="shared" si="26"/>
        <v>11175</v>
      </c>
      <c r="H54" s="4">
        <f t="shared" si="26"/>
        <v>11175</v>
      </c>
      <c r="I54" s="4">
        <f t="shared" si="26"/>
        <v>11175</v>
      </c>
      <c r="J54" s="4">
        <f t="shared" si="26"/>
        <v>11175</v>
      </c>
      <c r="K54" s="4">
        <f t="shared" si="26"/>
        <v>11175</v>
      </c>
      <c r="L54" s="4">
        <f t="shared" si="26"/>
        <v>11175</v>
      </c>
      <c r="M54" s="4">
        <f t="shared" si="26"/>
        <v>13125</v>
      </c>
      <c r="N54" s="4">
        <f t="shared" si="26"/>
        <v>7675</v>
      </c>
      <c r="O54" s="4">
        <f t="shared" si="26"/>
        <v>13175</v>
      </c>
      <c r="P54" s="4">
        <f t="shared" si="26"/>
        <v>11175</v>
      </c>
      <c r="Q54" s="4">
        <f t="shared" si="26"/>
        <v>11175</v>
      </c>
      <c r="R54" s="4">
        <f t="shared" si="26"/>
        <v>11175</v>
      </c>
      <c r="S54" s="4">
        <f t="shared" si="26"/>
        <v>11175</v>
      </c>
      <c r="T54" s="4">
        <f t="shared" si="26"/>
        <v>11175</v>
      </c>
      <c r="U54" s="4">
        <f t="shared" si="26"/>
        <v>11175</v>
      </c>
      <c r="V54" s="4">
        <f t="shared" si="26"/>
        <v>11175</v>
      </c>
      <c r="W54" s="4">
        <f t="shared" si="26"/>
        <v>13125</v>
      </c>
      <c r="X54" s="4">
        <f t="shared" si="26"/>
        <v>7675</v>
      </c>
      <c r="Y54" s="4">
        <f t="shared" si="26"/>
        <v>13175</v>
      </c>
      <c r="Z54" s="4">
        <f t="shared" si="26"/>
        <v>11175</v>
      </c>
      <c r="AA54" s="4">
        <f t="shared" si="26"/>
        <v>11175</v>
      </c>
      <c r="AB54" s="4">
        <f t="shared" si="26"/>
        <v>11175</v>
      </c>
      <c r="AC54" s="4">
        <f t="shared" si="26"/>
        <v>11175</v>
      </c>
      <c r="AD54" s="4">
        <f t="shared" si="26"/>
        <v>11175</v>
      </c>
      <c r="AE54" s="4">
        <f t="shared" si="26"/>
        <v>11175</v>
      </c>
      <c r="AF54" s="4">
        <f t="shared" si="26"/>
        <v>11175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">
      <c r="A55" s="2" t="s">
        <v>190</v>
      </c>
      <c r="C55" s="4">
        <f>C54/$B$3*1000</f>
        <v>875</v>
      </c>
      <c r="D55" s="4">
        <f aca="true" t="shared" si="27" ref="D55:AF55">D54/$B$3*1000</f>
        <v>511.66666666666674</v>
      </c>
      <c r="E55" s="4">
        <f t="shared" si="27"/>
        <v>878.3333333333333</v>
      </c>
      <c r="F55" s="4">
        <f t="shared" si="27"/>
        <v>745</v>
      </c>
      <c r="G55" s="4">
        <f t="shared" si="27"/>
        <v>745</v>
      </c>
      <c r="H55" s="4">
        <f t="shared" si="27"/>
        <v>745</v>
      </c>
      <c r="I55" s="4">
        <f t="shared" si="27"/>
        <v>745</v>
      </c>
      <c r="J55" s="4">
        <f t="shared" si="27"/>
        <v>745</v>
      </c>
      <c r="K55" s="4">
        <f t="shared" si="27"/>
        <v>745</v>
      </c>
      <c r="L55" s="4">
        <f t="shared" si="27"/>
        <v>745</v>
      </c>
      <c r="M55" s="4">
        <f t="shared" si="27"/>
        <v>875</v>
      </c>
      <c r="N55" s="4">
        <f t="shared" si="27"/>
        <v>511.66666666666674</v>
      </c>
      <c r="O55" s="4">
        <f t="shared" si="27"/>
        <v>878.3333333333333</v>
      </c>
      <c r="P55" s="4">
        <f t="shared" si="27"/>
        <v>745</v>
      </c>
      <c r="Q55" s="4">
        <f t="shared" si="27"/>
        <v>745</v>
      </c>
      <c r="R55" s="4">
        <f t="shared" si="27"/>
        <v>745</v>
      </c>
      <c r="S55" s="4">
        <f t="shared" si="27"/>
        <v>745</v>
      </c>
      <c r="T55" s="4">
        <f t="shared" si="27"/>
        <v>745</v>
      </c>
      <c r="U55" s="4">
        <f t="shared" si="27"/>
        <v>745</v>
      </c>
      <c r="V55" s="4">
        <f t="shared" si="27"/>
        <v>745</v>
      </c>
      <c r="W55" s="4">
        <f t="shared" si="27"/>
        <v>875</v>
      </c>
      <c r="X55" s="4">
        <f t="shared" si="27"/>
        <v>511.66666666666674</v>
      </c>
      <c r="Y55" s="4">
        <f t="shared" si="27"/>
        <v>878.3333333333333</v>
      </c>
      <c r="Z55" s="4">
        <f t="shared" si="27"/>
        <v>745</v>
      </c>
      <c r="AA55" s="4">
        <f t="shared" si="27"/>
        <v>745</v>
      </c>
      <c r="AB55" s="4">
        <f t="shared" si="27"/>
        <v>745</v>
      </c>
      <c r="AC55" s="4">
        <f t="shared" si="27"/>
        <v>745</v>
      </c>
      <c r="AD55" s="4">
        <f t="shared" si="27"/>
        <v>745</v>
      </c>
      <c r="AE55" s="4">
        <f t="shared" si="27"/>
        <v>745</v>
      </c>
      <c r="AF55" s="4">
        <f t="shared" si="27"/>
        <v>745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3:48" ht="1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">
      <c r="A57" s="2" t="s">
        <v>184</v>
      </c>
      <c r="C57" s="29">
        <f>IF(MOD(C$25,$D7)&lt;$D10-1,0,$D20)</f>
        <v>0</v>
      </c>
      <c r="D57" s="29">
        <f aca="true" t="shared" si="28" ref="D57:AF57">IF(MOD(D$25,$D7)&lt;$D10-1,0,$D20)</f>
        <v>0</v>
      </c>
      <c r="E57" s="29">
        <f t="shared" si="28"/>
        <v>0</v>
      </c>
      <c r="F57" s="29">
        <f t="shared" si="28"/>
        <v>1.5</v>
      </c>
      <c r="G57" s="29">
        <f t="shared" si="28"/>
        <v>1.5</v>
      </c>
      <c r="H57" s="29">
        <f t="shared" si="28"/>
        <v>1.5</v>
      </c>
      <c r="I57" s="29">
        <f t="shared" si="28"/>
        <v>1.5</v>
      </c>
      <c r="J57" s="29">
        <f t="shared" si="28"/>
        <v>1.5</v>
      </c>
      <c r="K57" s="29">
        <f t="shared" si="28"/>
        <v>1.5</v>
      </c>
      <c r="L57" s="29">
        <f t="shared" si="28"/>
        <v>1.5</v>
      </c>
      <c r="M57" s="29">
        <f t="shared" si="28"/>
        <v>0</v>
      </c>
      <c r="N57" s="29">
        <f t="shared" si="28"/>
        <v>0</v>
      </c>
      <c r="O57" s="29">
        <f t="shared" si="28"/>
        <v>0</v>
      </c>
      <c r="P57" s="29">
        <f t="shared" si="28"/>
        <v>1.5</v>
      </c>
      <c r="Q57" s="29">
        <f t="shared" si="28"/>
        <v>1.5</v>
      </c>
      <c r="R57" s="29">
        <f t="shared" si="28"/>
        <v>1.5</v>
      </c>
      <c r="S57" s="29">
        <f t="shared" si="28"/>
        <v>1.5</v>
      </c>
      <c r="T57" s="29">
        <f t="shared" si="28"/>
        <v>1.5</v>
      </c>
      <c r="U57" s="29">
        <f t="shared" si="28"/>
        <v>1.5</v>
      </c>
      <c r="V57" s="29">
        <f t="shared" si="28"/>
        <v>1.5</v>
      </c>
      <c r="W57" s="29">
        <f t="shared" si="28"/>
        <v>0</v>
      </c>
      <c r="X57" s="29">
        <f t="shared" si="28"/>
        <v>0</v>
      </c>
      <c r="Y57" s="29">
        <f t="shared" si="28"/>
        <v>0</v>
      </c>
      <c r="Z57" s="29">
        <f t="shared" si="28"/>
        <v>1.5</v>
      </c>
      <c r="AA57" s="29">
        <f t="shared" si="28"/>
        <v>1.5</v>
      </c>
      <c r="AB57" s="29">
        <f t="shared" si="28"/>
        <v>1.5</v>
      </c>
      <c r="AC57" s="29">
        <f t="shared" si="28"/>
        <v>1.5</v>
      </c>
      <c r="AD57" s="29">
        <f t="shared" si="28"/>
        <v>1.5</v>
      </c>
      <c r="AE57" s="29">
        <f t="shared" si="28"/>
        <v>1.5</v>
      </c>
      <c r="AF57" s="29">
        <f t="shared" si="28"/>
        <v>1.5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">
      <c r="A58" s="2" t="s">
        <v>186</v>
      </c>
      <c r="C58" s="4">
        <f aca="true" t="shared" si="29" ref="C58:AF58">$D21</f>
        <v>12000</v>
      </c>
      <c r="D58" s="4">
        <f t="shared" si="29"/>
        <v>12000</v>
      </c>
      <c r="E58" s="4">
        <f t="shared" si="29"/>
        <v>12000</v>
      </c>
      <c r="F58" s="4">
        <f t="shared" si="29"/>
        <v>12000</v>
      </c>
      <c r="G58" s="4">
        <f t="shared" si="29"/>
        <v>12000</v>
      </c>
      <c r="H58" s="4">
        <f t="shared" si="29"/>
        <v>12000</v>
      </c>
      <c r="I58" s="4">
        <f t="shared" si="29"/>
        <v>12000</v>
      </c>
      <c r="J58" s="4">
        <f t="shared" si="29"/>
        <v>12000</v>
      </c>
      <c r="K58" s="4">
        <f t="shared" si="29"/>
        <v>12000</v>
      </c>
      <c r="L58" s="4">
        <f t="shared" si="29"/>
        <v>12000</v>
      </c>
      <c r="M58" s="4">
        <f t="shared" si="29"/>
        <v>12000</v>
      </c>
      <c r="N58" s="4">
        <f t="shared" si="29"/>
        <v>12000</v>
      </c>
      <c r="O58" s="4">
        <f t="shared" si="29"/>
        <v>12000</v>
      </c>
      <c r="P58" s="4">
        <f t="shared" si="29"/>
        <v>12000</v>
      </c>
      <c r="Q58" s="4">
        <f t="shared" si="29"/>
        <v>12000</v>
      </c>
      <c r="R58" s="4">
        <f t="shared" si="29"/>
        <v>12000</v>
      </c>
      <c r="S58" s="4">
        <f t="shared" si="29"/>
        <v>12000</v>
      </c>
      <c r="T58" s="4">
        <f t="shared" si="29"/>
        <v>12000</v>
      </c>
      <c r="U58" s="4">
        <f t="shared" si="29"/>
        <v>12000</v>
      </c>
      <c r="V58" s="4">
        <f t="shared" si="29"/>
        <v>12000</v>
      </c>
      <c r="W58" s="4">
        <f t="shared" si="29"/>
        <v>12000</v>
      </c>
      <c r="X58" s="4">
        <f t="shared" si="29"/>
        <v>12000</v>
      </c>
      <c r="Y58" s="4">
        <f t="shared" si="29"/>
        <v>12000</v>
      </c>
      <c r="Z58" s="4">
        <f t="shared" si="29"/>
        <v>12000</v>
      </c>
      <c r="AA58" s="4">
        <f t="shared" si="29"/>
        <v>12000</v>
      </c>
      <c r="AB58" s="4">
        <f t="shared" si="29"/>
        <v>12000</v>
      </c>
      <c r="AC58" s="4">
        <f t="shared" si="29"/>
        <v>12000</v>
      </c>
      <c r="AD58" s="4">
        <f t="shared" si="29"/>
        <v>12000</v>
      </c>
      <c r="AE58" s="4">
        <f t="shared" si="29"/>
        <v>12000</v>
      </c>
      <c r="AF58" s="4">
        <f t="shared" si="29"/>
        <v>12000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">
      <c r="A59" s="2" t="s">
        <v>185</v>
      </c>
      <c r="C59" s="4">
        <f>C58*C57</f>
        <v>0</v>
      </c>
      <c r="D59" s="4">
        <f aca="true" t="shared" si="30" ref="D59:V59">D58*D57</f>
        <v>0</v>
      </c>
      <c r="E59" s="4">
        <f t="shared" si="30"/>
        <v>0</v>
      </c>
      <c r="F59" s="4">
        <f t="shared" si="30"/>
        <v>18000</v>
      </c>
      <c r="G59" s="4">
        <f t="shared" si="30"/>
        <v>18000</v>
      </c>
      <c r="H59" s="4">
        <f t="shared" si="30"/>
        <v>18000</v>
      </c>
      <c r="I59" s="4">
        <f t="shared" si="30"/>
        <v>18000</v>
      </c>
      <c r="J59" s="4">
        <f t="shared" si="30"/>
        <v>18000</v>
      </c>
      <c r="K59" s="4">
        <f t="shared" si="30"/>
        <v>18000</v>
      </c>
      <c r="L59" s="4">
        <f t="shared" si="30"/>
        <v>18000</v>
      </c>
      <c r="M59" s="4">
        <f t="shared" si="30"/>
        <v>0</v>
      </c>
      <c r="N59" s="4">
        <f t="shared" si="30"/>
        <v>0</v>
      </c>
      <c r="O59" s="4">
        <f t="shared" si="30"/>
        <v>0</v>
      </c>
      <c r="P59" s="4">
        <f t="shared" si="30"/>
        <v>18000</v>
      </c>
      <c r="Q59" s="4">
        <f t="shared" si="30"/>
        <v>18000</v>
      </c>
      <c r="R59" s="4">
        <f t="shared" si="30"/>
        <v>18000</v>
      </c>
      <c r="S59" s="4">
        <f t="shared" si="30"/>
        <v>18000</v>
      </c>
      <c r="T59" s="4">
        <f t="shared" si="30"/>
        <v>18000</v>
      </c>
      <c r="U59" s="4">
        <f t="shared" si="30"/>
        <v>18000</v>
      </c>
      <c r="V59" s="4">
        <f t="shared" si="30"/>
        <v>18000</v>
      </c>
      <c r="W59" s="4">
        <f aca="true" t="shared" si="31" ref="W59:AE59">W58*W57</f>
        <v>0</v>
      </c>
      <c r="X59" s="4">
        <f t="shared" si="31"/>
        <v>0</v>
      </c>
      <c r="Y59" s="4">
        <f t="shared" si="31"/>
        <v>0</v>
      </c>
      <c r="Z59" s="4">
        <f t="shared" si="31"/>
        <v>18000</v>
      </c>
      <c r="AA59" s="4">
        <f t="shared" si="31"/>
        <v>18000</v>
      </c>
      <c r="AB59" s="4">
        <f t="shared" si="31"/>
        <v>18000</v>
      </c>
      <c r="AC59" s="4">
        <f t="shared" si="31"/>
        <v>18000</v>
      </c>
      <c r="AD59" s="4">
        <f t="shared" si="31"/>
        <v>18000</v>
      </c>
      <c r="AE59" s="4">
        <f t="shared" si="31"/>
        <v>18000</v>
      </c>
      <c r="AF59" s="4">
        <f>AF58*AF57</f>
        <v>18000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">
      <c r="A60" s="2" t="s">
        <v>188</v>
      </c>
      <c r="C60" s="4">
        <f aca="true" t="shared" si="32" ref="C60:V60">C59-C54</f>
        <v>-13125</v>
      </c>
      <c r="D60" s="4">
        <f t="shared" si="32"/>
        <v>-7675</v>
      </c>
      <c r="E60" s="4">
        <f t="shared" si="32"/>
        <v>-13175</v>
      </c>
      <c r="F60" s="4">
        <f t="shared" si="32"/>
        <v>6825</v>
      </c>
      <c r="G60" s="4">
        <f t="shared" si="32"/>
        <v>6825</v>
      </c>
      <c r="H60" s="4">
        <f t="shared" si="32"/>
        <v>6825</v>
      </c>
      <c r="I60" s="4">
        <f t="shared" si="32"/>
        <v>6825</v>
      </c>
      <c r="J60" s="4">
        <f t="shared" si="32"/>
        <v>6825</v>
      </c>
      <c r="K60" s="4">
        <f t="shared" si="32"/>
        <v>6825</v>
      </c>
      <c r="L60" s="4">
        <f t="shared" si="32"/>
        <v>6825</v>
      </c>
      <c r="M60" s="4">
        <f t="shared" si="32"/>
        <v>-13125</v>
      </c>
      <c r="N60" s="4">
        <f t="shared" si="32"/>
        <v>-7675</v>
      </c>
      <c r="O60" s="4">
        <f t="shared" si="32"/>
        <v>-13175</v>
      </c>
      <c r="P60" s="4">
        <f t="shared" si="32"/>
        <v>6825</v>
      </c>
      <c r="Q60" s="4">
        <f t="shared" si="32"/>
        <v>6825</v>
      </c>
      <c r="R60" s="4">
        <f t="shared" si="32"/>
        <v>6825</v>
      </c>
      <c r="S60" s="4">
        <f t="shared" si="32"/>
        <v>6825</v>
      </c>
      <c r="T60" s="4">
        <f t="shared" si="32"/>
        <v>6825</v>
      </c>
      <c r="U60" s="4">
        <f t="shared" si="32"/>
        <v>6825</v>
      </c>
      <c r="V60" s="4">
        <f t="shared" si="32"/>
        <v>6825</v>
      </c>
      <c r="W60" s="4">
        <f aca="true" t="shared" si="33" ref="W60:AD60">W59-W54</f>
        <v>-13125</v>
      </c>
      <c r="X60" s="4">
        <f t="shared" si="33"/>
        <v>-7675</v>
      </c>
      <c r="Y60" s="4">
        <f t="shared" si="33"/>
        <v>-13175</v>
      </c>
      <c r="Z60" s="4">
        <f t="shared" si="33"/>
        <v>6825</v>
      </c>
      <c r="AA60" s="4">
        <f t="shared" si="33"/>
        <v>6825</v>
      </c>
      <c r="AB60" s="4">
        <f t="shared" si="33"/>
        <v>6825</v>
      </c>
      <c r="AC60" s="4">
        <f t="shared" si="33"/>
        <v>6825</v>
      </c>
      <c r="AD60" s="4">
        <f t="shared" si="33"/>
        <v>6825</v>
      </c>
      <c r="AE60" s="4">
        <f>AE59-AE54</f>
        <v>6825</v>
      </c>
      <c r="AF60" s="4">
        <f>AF59-AF54</f>
        <v>6825</v>
      </c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">
      <c r="A61" s="1" t="s">
        <v>191</v>
      </c>
      <c r="C61" s="17">
        <f>C60/$B$3*1000</f>
        <v>-875</v>
      </c>
      <c r="D61" s="17">
        <f aca="true" t="shared" si="34" ref="D61:AF61">D60/$B$3*1000</f>
        <v>-511.66666666666674</v>
      </c>
      <c r="E61" s="17">
        <f t="shared" si="34"/>
        <v>-878.3333333333333</v>
      </c>
      <c r="F61" s="17">
        <f t="shared" si="34"/>
        <v>455</v>
      </c>
      <c r="G61" s="17">
        <f t="shared" si="34"/>
        <v>455</v>
      </c>
      <c r="H61" s="17">
        <f t="shared" si="34"/>
        <v>455</v>
      </c>
      <c r="I61" s="17">
        <f t="shared" si="34"/>
        <v>455</v>
      </c>
      <c r="J61" s="17">
        <f t="shared" si="34"/>
        <v>455</v>
      </c>
      <c r="K61" s="17">
        <f t="shared" si="34"/>
        <v>455</v>
      </c>
      <c r="L61" s="17">
        <f t="shared" si="34"/>
        <v>455</v>
      </c>
      <c r="M61" s="17">
        <f t="shared" si="34"/>
        <v>-875</v>
      </c>
      <c r="N61" s="17">
        <f t="shared" si="34"/>
        <v>-511.66666666666674</v>
      </c>
      <c r="O61" s="17">
        <f t="shared" si="34"/>
        <v>-878.3333333333333</v>
      </c>
      <c r="P61" s="17">
        <f t="shared" si="34"/>
        <v>455</v>
      </c>
      <c r="Q61" s="17">
        <f t="shared" si="34"/>
        <v>455</v>
      </c>
      <c r="R61" s="17">
        <f t="shared" si="34"/>
        <v>455</v>
      </c>
      <c r="S61" s="17">
        <f t="shared" si="34"/>
        <v>455</v>
      </c>
      <c r="T61" s="17">
        <f t="shared" si="34"/>
        <v>455</v>
      </c>
      <c r="U61" s="17">
        <f t="shared" si="34"/>
        <v>455</v>
      </c>
      <c r="V61" s="17">
        <f t="shared" si="34"/>
        <v>455</v>
      </c>
      <c r="W61" s="17">
        <f t="shared" si="34"/>
        <v>-875</v>
      </c>
      <c r="X61" s="17">
        <f t="shared" si="34"/>
        <v>-511.66666666666674</v>
      </c>
      <c r="Y61" s="17">
        <f t="shared" si="34"/>
        <v>-878.3333333333333</v>
      </c>
      <c r="Z61" s="17">
        <f t="shared" si="34"/>
        <v>455</v>
      </c>
      <c r="AA61" s="17">
        <f t="shared" si="34"/>
        <v>455</v>
      </c>
      <c r="AB61" s="17">
        <f t="shared" si="34"/>
        <v>455</v>
      </c>
      <c r="AC61" s="17">
        <f t="shared" si="34"/>
        <v>455</v>
      </c>
      <c r="AD61" s="17">
        <f t="shared" si="34"/>
        <v>455</v>
      </c>
      <c r="AE61" s="17">
        <f t="shared" si="34"/>
        <v>455</v>
      </c>
      <c r="AF61" s="17">
        <f t="shared" si="34"/>
        <v>455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3:48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">
      <c r="A63" s="1" t="s">
        <v>213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">
      <c r="A64" s="12" t="s">
        <v>143</v>
      </c>
      <c r="C64" s="4">
        <f aca="true" t="shared" si="35" ref="C64:AF64">IF(MOD(C$25,$G7)=0,$G8*$B$5/1000,$G9*$B$5/1000)</f>
        <v>3900</v>
      </c>
      <c r="D64" s="4">
        <f t="shared" si="35"/>
        <v>3750</v>
      </c>
      <c r="E64" s="4">
        <f t="shared" si="35"/>
        <v>3750</v>
      </c>
      <c r="F64" s="4">
        <f t="shared" si="35"/>
        <v>3750</v>
      </c>
      <c r="G64" s="4">
        <f t="shared" si="35"/>
        <v>3750</v>
      </c>
      <c r="H64" s="4">
        <f t="shared" si="35"/>
        <v>3750</v>
      </c>
      <c r="I64" s="4">
        <f t="shared" si="35"/>
        <v>3750</v>
      </c>
      <c r="J64" s="4">
        <f t="shared" si="35"/>
        <v>3750</v>
      </c>
      <c r="K64" s="4">
        <f t="shared" si="35"/>
        <v>3750</v>
      </c>
      <c r="L64" s="4">
        <f t="shared" si="35"/>
        <v>3750</v>
      </c>
      <c r="M64" s="4">
        <f t="shared" si="35"/>
        <v>3750</v>
      </c>
      <c r="N64" s="4">
        <f t="shared" si="35"/>
        <v>3750</v>
      </c>
      <c r="O64" s="4">
        <f t="shared" si="35"/>
        <v>3750</v>
      </c>
      <c r="P64" s="4">
        <f t="shared" si="35"/>
        <v>3750</v>
      </c>
      <c r="Q64" s="4">
        <f t="shared" si="35"/>
        <v>3750</v>
      </c>
      <c r="R64" s="4">
        <f t="shared" si="35"/>
        <v>3750</v>
      </c>
      <c r="S64" s="4">
        <f t="shared" si="35"/>
        <v>3750</v>
      </c>
      <c r="T64" s="4">
        <f t="shared" si="35"/>
        <v>3750</v>
      </c>
      <c r="U64" s="4">
        <f t="shared" si="35"/>
        <v>3750</v>
      </c>
      <c r="V64" s="4">
        <f t="shared" si="35"/>
        <v>3750</v>
      </c>
      <c r="W64" s="4">
        <f t="shared" si="35"/>
        <v>3750</v>
      </c>
      <c r="X64" s="4">
        <f t="shared" si="35"/>
        <v>3750</v>
      </c>
      <c r="Y64" s="4">
        <f t="shared" si="35"/>
        <v>3750</v>
      </c>
      <c r="Z64" s="4">
        <f t="shared" si="35"/>
        <v>3750</v>
      </c>
      <c r="AA64" s="4">
        <f t="shared" si="35"/>
        <v>3750</v>
      </c>
      <c r="AB64" s="4">
        <f t="shared" si="35"/>
        <v>3750</v>
      </c>
      <c r="AC64" s="4">
        <f t="shared" si="35"/>
        <v>3750</v>
      </c>
      <c r="AD64" s="4">
        <f t="shared" si="35"/>
        <v>3750</v>
      </c>
      <c r="AE64" s="4">
        <f t="shared" si="35"/>
        <v>3900</v>
      </c>
      <c r="AF64" s="4">
        <f t="shared" si="35"/>
        <v>3750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">
      <c r="A65" s="12" t="s">
        <v>40</v>
      </c>
      <c r="C65" s="4">
        <f aca="true" t="shared" si="36" ref="C65:AF65">IF(MOD(C$25,$G7)=0,$G13,IF(MOD(C$25,$G7)&gt;$G10-1,$G17,$H13))</f>
        <v>6000</v>
      </c>
      <c r="D65" s="4">
        <f t="shared" si="36"/>
        <v>950</v>
      </c>
      <c r="E65" s="4">
        <f t="shared" si="36"/>
        <v>950</v>
      </c>
      <c r="F65" s="4">
        <f t="shared" si="36"/>
        <v>950</v>
      </c>
      <c r="G65" s="4">
        <f t="shared" si="36"/>
        <v>950</v>
      </c>
      <c r="H65" s="4">
        <f t="shared" si="36"/>
        <v>950</v>
      </c>
      <c r="I65" s="4">
        <f t="shared" si="36"/>
        <v>950</v>
      </c>
      <c r="J65" s="4">
        <f t="shared" si="36"/>
        <v>950</v>
      </c>
      <c r="K65" s="4">
        <f t="shared" si="36"/>
        <v>2500</v>
      </c>
      <c r="L65" s="4">
        <f t="shared" si="36"/>
        <v>2500</v>
      </c>
      <c r="M65" s="4">
        <f t="shared" si="36"/>
        <v>2500</v>
      </c>
      <c r="N65" s="4">
        <f t="shared" si="36"/>
        <v>2500</v>
      </c>
      <c r="O65" s="4">
        <f t="shared" si="36"/>
        <v>2500</v>
      </c>
      <c r="P65" s="4">
        <f t="shared" si="36"/>
        <v>2500</v>
      </c>
      <c r="Q65" s="4">
        <f t="shared" si="36"/>
        <v>2500</v>
      </c>
      <c r="R65" s="4">
        <f t="shared" si="36"/>
        <v>2500</v>
      </c>
      <c r="S65" s="4">
        <f t="shared" si="36"/>
        <v>2500</v>
      </c>
      <c r="T65" s="4">
        <f t="shared" si="36"/>
        <v>2500</v>
      </c>
      <c r="U65" s="4">
        <f t="shared" si="36"/>
        <v>2500</v>
      </c>
      <c r="V65" s="4">
        <f t="shared" si="36"/>
        <v>2500</v>
      </c>
      <c r="W65" s="4">
        <f t="shared" si="36"/>
        <v>2500</v>
      </c>
      <c r="X65" s="4">
        <f t="shared" si="36"/>
        <v>2500</v>
      </c>
      <c r="Y65" s="4">
        <f t="shared" si="36"/>
        <v>2500</v>
      </c>
      <c r="Z65" s="4">
        <f t="shared" si="36"/>
        <v>2500</v>
      </c>
      <c r="AA65" s="4">
        <f t="shared" si="36"/>
        <v>2500</v>
      </c>
      <c r="AB65" s="4">
        <f t="shared" si="36"/>
        <v>2500</v>
      </c>
      <c r="AC65" s="4">
        <f t="shared" si="36"/>
        <v>2500</v>
      </c>
      <c r="AD65" s="4">
        <f t="shared" si="36"/>
        <v>2500</v>
      </c>
      <c r="AE65" s="4">
        <f t="shared" si="36"/>
        <v>6000</v>
      </c>
      <c r="AF65" s="4">
        <f t="shared" si="36"/>
        <v>950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">
      <c r="A66" s="12" t="s">
        <v>41</v>
      </c>
      <c r="C66" s="4">
        <f aca="true" t="shared" si="37" ref="C66:AF66">IF(MOD(C$25,$G7)=0,$G14,$G18)</f>
        <v>1100</v>
      </c>
      <c r="D66" s="4">
        <f t="shared" si="37"/>
        <v>0</v>
      </c>
      <c r="E66" s="4">
        <f t="shared" si="37"/>
        <v>0</v>
      </c>
      <c r="F66" s="4">
        <f t="shared" si="37"/>
        <v>0</v>
      </c>
      <c r="G66" s="4">
        <f t="shared" si="37"/>
        <v>0</v>
      </c>
      <c r="H66" s="4">
        <f t="shared" si="37"/>
        <v>0</v>
      </c>
      <c r="I66" s="4">
        <f t="shared" si="37"/>
        <v>0</v>
      </c>
      <c r="J66" s="4">
        <f t="shared" si="37"/>
        <v>0</v>
      </c>
      <c r="K66" s="4">
        <f t="shared" si="37"/>
        <v>0</v>
      </c>
      <c r="L66" s="4">
        <f t="shared" si="37"/>
        <v>0</v>
      </c>
      <c r="M66" s="4">
        <f t="shared" si="37"/>
        <v>0</v>
      </c>
      <c r="N66" s="4">
        <f t="shared" si="37"/>
        <v>0</v>
      </c>
      <c r="O66" s="4">
        <f t="shared" si="37"/>
        <v>0</v>
      </c>
      <c r="P66" s="4">
        <f t="shared" si="37"/>
        <v>0</v>
      </c>
      <c r="Q66" s="4">
        <f t="shared" si="37"/>
        <v>0</v>
      </c>
      <c r="R66" s="4">
        <f t="shared" si="37"/>
        <v>0</v>
      </c>
      <c r="S66" s="4">
        <f t="shared" si="37"/>
        <v>0</v>
      </c>
      <c r="T66" s="4">
        <f t="shared" si="37"/>
        <v>0</v>
      </c>
      <c r="U66" s="4">
        <f t="shared" si="37"/>
        <v>0</v>
      </c>
      <c r="V66" s="4">
        <f t="shared" si="37"/>
        <v>0</v>
      </c>
      <c r="W66" s="4">
        <f t="shared" si="37"/>
        <v>0</v>
      </c>
      <c r="X66" s="4">
        <f t="shared" si="37"/>
        <v>0</v>
      </c>
      <c r="Y66" s="4">
        <f t="shared" si="37"/>
        <v>0</v>
      </c>
      <c r="Z66" s="4">
        <f t="shared" si="37"/>
        <v>0</v>
      </c>
      <c r="AA66" s="4">
        <f t="shared" si="37"/>
        <v>0</v>
      </c>
      <c r="AB66" s="4">
        <f t="shared" si="37"/>
        <v>0</v>
      </c>
      <c r="AC66" s="4">
        <f t="shared" si="37"/>
        <v>0</v>
      </c>
      <c r="AD66" s="4">
        <f t="shared" si="37"/>
        <v>0</v>
      </c>
      <c r="AE66" s="4">
        <f t="shared" si="37"/>
        <v>1100</v>
      </c>
      <c r="AF66" s="4">
        <f t="shared" si="37"/>
        <v>0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">
      <c r="A67" s="12" t="s">
        <v>42</v>
      </c>
      <c r="C67" s="4">
        <f aca="true" t="shared" si="38" ref="C67:AF67">IF(MOD(C$25,$G7)=0,$G15,$G19)</f>
        <v>0</v>
      </c>
      <c r="D67" s="4">
        <f t="shared" si="38"/>
        <v>0</v>
      </c>
      <c r="E67" s="4">
        <f t="shared" si="38"/>
        <v>0</v>
      </c>
      <c r="F67" s="4">
        <f t="shared" si="38"/>
        <v>0</v>
      </c>
      <c r="G67" s="4">
        <f t="shared" si="38"/>
        <v>0</v>
      </c>
      <c r="H67" s="4">
        <f t="shared" si="38"/>
        <v>0</v>
      </c>
      <c r="I67" s="4">
        <f t="shared" si="38"/>
        <v>0</v>
      </c>
      <c r="J67" s="4">
        <f t="shared" si="38"/>
        <v>0</v>
      </c>
      <c r="K67" s="4">
        <f t="shared" si="38"/>
        <v>0</v>
      </c>
      <c r="L67" s="4">
        <f t="shared" si="38"/>
        <v>0</v>
      </c>
      <c r="M67" s="4">
        <f t="shared" si="38"/>
        <v>0</v>
      </c>
      <c r="N67" s="4">
        <f t="shared" si="38"/>
        <v>0</v>
      </c>
      <c r="O67" s="4">
        <f t="shared" si="38"/>
        <v>0</v>
      </c>
      <c r="P67" s="4">
        <f t="shared" si="38"/>
        <v>0</v>
      </c>
      <c r="Q67" s="4">
        <f t="shared" si="38"/>
        <v>0</v>
      </c>
      <c r="R67" s="4">
        <f t="shared" si="38"/>
        <v>0</v>
      </c>
      <c r="S67" s="4">
        <f t="shared" si="38"/>
        <v>0</v>
      </c>
      <c r="T67" s="4">
        <f t="shared" si="38"/>
        <v>0</v>
      </c>
      <c r="U67" s="4">
        <f t="shared" si="38"/>
        <v>0</v>
      </c>
      <c r="V67" s="4">
        <f t="shared" si="38"/>
        <v>0</v>
      </c>
      <c r="W67" s="4">
        <f t="shared" si="38"/>
        <v>0</v>
      </c>
      <c r="X67" s="4">
        <f t="shared" si="38"/>
        <v>0</v>
      </c>
      <c r="Y67" s="4">
        <f t="shared" si="38"/>
        <v>0</v>
      </c>
      <c r="Z67" s="4">
        <f t="shared" si="38"/>
        <v>0</v>
      </c>
      <c r="AA67" s="4">
        <f t="shared" si="38"/>
        <v>0</v>
      </c>
      <c r="AB67" s="4">
        <f t="shared" si="38"/>
        <v>0</v>
      </c>
      <c r="AC67" s="4">
        <f t="shared" si="38"/>
        <v>0</v>
      </c>
      <c r="AD67" s="4">
        <f t="shared" si="38"/>
        <v>0</v>
      </c>
      <c r="AE67" s="4">
        <f t="shared" si="38"/>
        <v>0</v>
      </c>
      <c r="AF67" s="4">
        <f t="shared" si="38"/>
        <v>0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">
      <c r="A68" s="2" t="s">
        <v>189</v>
      </c>
      <c r="C68" s="4">
        <f aca="true" t="shared" si="39" ref="C68:AF68">SUM(C64:C67)</f>
        <v>11000</v>
      </c>
      <c r="D68" s="4">
        <f t="shared" si="39"/>
        <v>4700</v>
      </c>
      <c r="E68" s="4">
        <f t="shared" si="39"/>
        <v>4700</v>
      </c>
      <c r="F68" s="4">
        <f t="shared" si="39"/>
        <v>4700</v>
      </c>
      <c r="G68" s="4">
        <f t="shared" si="39"/>
        <v>4700</v>
      </c>
      <c r="H68" s="4">
        <f t="shared" si="39"/>
        <v>4700</v>
      </c>
      <c r="I68" s="4">
        <f t="shared" si="39"/>
        <v>4700</v>
      </c>
      <c r="J68" s="4">
        <f t="shared" si="39"/>
        <v>4700</v>
      </c>
      <c r="K68" s="4">
        <f t="shared" si="39"/>
        <v>6250</v>
      </c>
      <c r="L68" s="4">
        <f t="shared" si="39"/>
        <v>6250</v>
      </c>
      <c r="M68" s="4">
        <f t="shared" si="39"/>
        <v>6250</v>
      </c>
      <c r="N68" s="4">
        <f t="shared" si="39"/>
        <v>6250</v>
      </c>
      <c r="O68" s="4">
        <f t="shared" si="39"/>
        <v>6250</v>
      </c>
      <c r="P68" s="4">
        <f t="shared" si="39"/>
        <v>6250</v>
      </c>
      <c r="Q68" s="4">
        <f t="shared" si="39"/>
        <v>6250</v>
      </c>
      <c r="R68" s="4">
        <f t="shared" si="39"/>
        <v>6250</v>
      </c>
      <c r="S68" s="4">
        <f t="shared" si="39"/>
        <v>6250</v>
      </c>
      <c r="T68" s="4">
        <f t="shared" si="39"/>
        <v>6250</v>
      </c>
      <c r="U68" s="4">
        <f t="shared" si="39"/>
        <v>6250</v>
      </c>
      <c r="V68" s="4">
        <f t="shared" si="39"/>
        <v>6250</v>
      </c>
      <c r="W68" s="4">
        <f t="shared" si="39"/>
        <v>6250</v>
      </c>
      <c r="X68" s="4">
        <f t="shared" si="39"/>
        <v>6250</v>
      </c>
      <c r="Y68" s="4">
        <f t="shared" si="39"/>
        <v>6250</v>
      </c>
      <c r="Z68" s="4">
        <f t="shared" si="39"/>
        <v>6250</v>
      </c>
      <c r="AA68" s="4">
        <f t="shared" si="39"/>
        <v>6250</v>
      </c>
      <c r="AB68" s="4">
        <f t="shared" si="39"/>
        <v>6250</v>
      </c>
      <c r="AC68" s="4">
        <f t="shared" si="39"/>
        <v>6250</v>
      </c>
      <c r="AD68" s="4">
        <f t="shared" si="39"/>
        <v>6250</v>
      </c>
      <c r="AE68" s="4">
        <f t="shared" si="39"/>
        <v>11000</v>
      </c>
      <c r="AF68" s="4">
        <f t="shared" si="39"/>
        <v>4700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">
      <c r="A69" s="2" t="s">
        <v>190</v>
      </c>
      <c r="C69" s="4">
        <f>C68/$B$3*1000</f>
        <v>733.3333333333333</v>
      </c>
      <c r="D69" s="4">
        <f aca="true" t="shared" si="40" ref="D69:AF69">D68/$B$3*1000</f>
        <v>313.33333333333337</v>
      </c>
      <c r="E69" s="4">
        <f t="shared" si="40"/>
        <v>313.33333333333337</v>
      </c>
      <c r="F69" s="4">
        <f t="shared" si="40"/>
        <v>313.33333333333337</v>
      </c>
      <c r="G69" s="4">
        <f t="shared" si="40"/>
        <v>313.33333333333337</v>
      </c>
      <c r="H69" s="4">
        <f t="shared" si="40"/>
        <v>313.33333333333337</v>
      </c>
      <c r="I69" s="4">
        <f t="shared" si="40"/>
        <v>313.33333333333337</v>
      </c>
      <c r="J69" s="4">
        <f t="shared" si="40"/>
        <v>313.33333333333337</v>
      </c>
      <c r="K69" s="4">
        <f t="shared" si="40"/>
        <v>416.6666666666667</v>
      </c>
      <c r="L69" s="4">
        <f t="shared" si="40"/>
        <v>416.6666666666667</v>
      </c>
      <c r="M69" s="4">
        <f t="shared" si="40"/>
        <v>416.6666666666667</v>
      </c>
      <c r="N69" s="4">
        <f t="shared" si="40"/>
        <v>416.6666666666667</v>
      </c>
      <c r="O69" s="4">
        <f t="shared" si="40"/>
        <v>416.6666666666667</v>
      </c>
      <c r="P69" s="4">
        <f t="shared" si="40"/>
        <v>416.6666666666667</v>
      </c>
      <c r="Q69" s="4">
        <f t="shared" si="40"/>
        <v>416.6666666666667</v>
      </c>
      <c r="R69" s="4">
        <f t="shared" si="40"/>
        <v>416.6666666666667</v>
      </c>
      <c r="S69" s="4">
        <f t="shared" si="40"/>
        <v>416.6666666666667</v>
      </c>
      <c r="T69" s="4">
        <f t="shared" si="40"/>
        <v>416.6666666666667</v>
      </c>
      <c r="U69" s="4">
        <f t="shared" si="40"/>
        <v>416.6666666666667</v>
      </c>
      <c r="V69" s="4">
        <f t="shared" si="40"/>
        <v>416.6666666666667</v>
      </c>
      <c r="W69" s="4">
        <f t="shared" si="40"/>
        <v>416.6666666666667</v>
      </c>
      <c r="X69" s="4">
        <f t="shared" si="40"/>
        <v>416.6666666666667</v>
      </c>
      <c r="Y69" s="4">
        <f t="shared" si="40"/>
        <v>416.6666666666667</v>
      </c>
      <c r="Z69" s="4">
        <f t="shared" si="40"/>
        <v>416.6666666666667</v>
      </c>
      <c r="AA69" s="4">
        <f t="shared" si="40"/>
        <v>416.6666666666667</v>
      </c>
      <c r="AB69" s="4">
        <f t="shared" si="40"/>
        <v>416.6666666666667</v>
      </c>
      <c r="AC69" s="4">
        <f t="shared" si="40"/>
        <v>416.6666666666667</v>
      </c>
      <c r="AD69" s="4">
        <f t="shared" si="40"/>
        <v>416.6666666666667</v>
      </c>
      <c r="AE69" s="4">
        <f t="shared" si="40"/>
        <v>733.3333333333333</v>
      </c>
      <c r="AF69" s="4">
        <f t="shared" si="40"/>
        <v>313.33333333333337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3:48" ht="1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">
      <c r="A71" s="2" t="s">
        <v>184</v>
      </c>
      <c r="C71" s="29">
        <f aca="true" t="shared" si="41" ref="C71:AF71">IF(MOD(C$25,$G7)&lt;$G10,0,$G20)</f>
        <v>0</v>
      </c>
      <c r="D71" s="29">
        <f t="shared" si="41"/>
        <v>0</v>
      </c>
      <c r="E71" s="29">
        <f t="shared" si="41"/>
        <v>0</v>
      </c>
      <c r="F71" s="29">
        <f t="shared" si="41"/>
        <v>0</v>
      </c>
      <c r="G71" s="29">
        <f t="shared" si="41"/>
        <v>0</v>
      </c>
      <c r="H71" s="29">
        <f t="shared" si="41"/>
        <v>0</v>
      </c>
      <c r="I71" s="29">
        <f t="shared" si="41"/>
        <v>0</v>
      </c>
      <c r="J71" s="29">
        <f t="shared" si="41"/>
        <v>0</v>
      </c>
      <c r="K71" s="29">
        <f t="shared" si="41"/>
        <v>10000</v>
      </c>
      <c r="L71" s="29">
        <f t="shared" si="41"/>
        <v>10000</v>
      </c>
      <c r="M71" s="29">
        <f t="shared" si="41"/>
        <v>10000</v>
      </c>
      <c r="N71" s="29">
        <f t="shared" si="41"/>
        <v>10000</v>
      </c>
      <c r="O71" s="29">
        <f t="shared" si="41"/>
        <v>10000</v>
      </c>
      <c r="P71" s="29">
        <f t="shared" si="41"/>
        <v>10000</v>
      </c>
      <c r="Q71" s="29">
        <f t="shared" si="41"/>
        <v>10000</v>
      </c>
      <c r="R71" s="29">
        <f t="shared" si="41"/>
        <v>10000</v>
      </c>
      <c r="S71" s="29">
        <f t="shared" si="41"/>
        <v>10000</v>
      </c>
      <c r="T71" s="29">
        <f t="shared" si="41"/>
        <v>10000</v>
      </c>
      <c r="U71" s="29">
        <f t="shared" si="41"/>
        <v>10000</v>
      </c>
      <c r="V71" s="29">
        <f t="shared" si="41"/>
        <v>10000</v>
      </c>
      <c r="W71" s="29">
        <f t="shared" si="41"/>
        <v>10000</v>
      </c>
      <c r="X71" s="29">
        <f t="shared" si="41"/>
        <v>10000</v>
      </c>
      <c r="Y71" s="29">
        <f t="shared" si="41"/>
        <v>10000</v>
      </c>
      <c r="Z71" s="29">
        <f t="shared" si="41"/>
        <v>10000</v>
      </c>
      <c r="AA71" s="29">
        <f t="shared" si="41"/>
        <v>10000</v>
      </c>
      <c r="AB71" s="29">
        <f t="shared" si="41"/>
        <v>10000</v>
      </c>
      <c r="AC71" s="29">
        <f t="shared" si="41"/>
        <v>10000</v>
      </c>
      <c r="AD71" s="29">
        <f t="shared" si="41"/>
        <v>10000</v>
      </c>
      <c r="AE71" s="29">
        <f t="shared" si="41"/>
        <v>0</v>
      </c>
      <c r="AF71" s="29">
        <f t="shared" si="41"/>
        <v>0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2">
      <c r="A72" s="2" t="s">
        <v>186</v>
      </c>
      <c r="C72" s="4">
        <f aca="true" t="shared" si="42" ref="C72:AF72">$G21</f>
        <v>1</v>
      </c>
      <c r="D72" s="4">
        <f t="shared" si="42"/>
        <v>1</v>
      </c>
      <c r="E72" s="4">
        <f t="shared" si="42"/>
        <v>1</v>
      </c>
      <c r="F72" s="4">
        <f t="shared" si="42"/>
        <v>1</v>
      </c>
      <c r="G72" s="4">
        <f t="shared" si="42"/>
        <v>1</v>
      </c>
      <c r="H72" s="4">
        <f t="shared" si="42"/>
        <v>1</v>
      </c>
      <c r="I72" s="4">
        <f t="shared" si="42"/>
        <v>1</v>
      </c>
      <c r="J72" s="4">
        <f t="shared" si="42"/>
        <v>1</v>
      </c>
      <c r="K72" s="4">
        <f t="shared" si="42"/>
        <v>1</v>
      </c>
      <c r="L72" s="4">
        <f t="shared" si="42"/>
        <v>1</v>
      </c>
      <c r="M72" s="4">
        <f t="shared" si="42"/>
        <v>1</v>
      </c>
      <c r="N72" s="4">
        <f t="shared" si="42"/>
        <v>1</v>
      </c>
      <c r="O72" s="4">
        <f t="shared" si="42"/>
        <v>1</v>
      </c>
      <c r="P72" s="4">
        <f t="shared" si="42"/>
        <v>1</v>
      </c>
      <c r="Q72" s="4">
        <f t="shared" si="42"/>
        <v>1</v>
      </c>
      <c r="R72" s="4">
        <f t="shared" si="42"/>
        <v>1</v>
      </c>
      <c r="S72" s="4">
        <f t="shared" si="42"/>
        <v>1</v>
      </c>
      <c r="T72" s="4">
        <f t="shared" si="42"/>
        <v>1</v>
      </c>
      <c r="U72" s="4">
        <f t="shared" si="42"/>
        <v>1</v>
      </c>
      <c r="V72" s="4">
        <f t="shared" si="42"/>
        <v>1</v>
      </c>
      <c r="W72" s="4">
        <f t="shared" si="42"/>
        <v>1</v>
      </c>
      <c r="X72" s="4">
        <f t="shared" si="42"/>
        <v>1</v>
      </c>
      <c r="Y72" s="4">
        <f t="shared" si="42"/>
        <v>1</v>
      </c>
      <c r="Z72" s="4">
        <f t="shared" si="42"/>
        <v>1</v>
      </c>
      <c r="AA72" s="4">
        <f t="shared" si="42"/>
        <v>1</v>
      </c>
      <c r="AB72" s="4">
        <f t="shared" si="42"/>
        <v>1</v>
      </c>
      <c r="AC72" s="4">
        <f t="shared" si="42"/>
        <v>1</v>
      </c>
      <c r="AD72" s="4">
        <f t="shared" si="42"/>
        <v>1</v>
      </c>
      <c r="AE72" s="4">
        <f t="shared" si="42"/>
        <v>1</v>
      </c>
      <c r="AF72" s="4">
        <f t="shared" si="42"/>
        <v>1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">
      <c r="A73" s="2" t="s">
        <v>185</v>
      </c>
      <c r="C73" s="4">
        <f>C72*C71</f>
        <v>0</v>
      </c>
      <c r="D73" s="4">
        <f aca="true" t="shared" si="43" ref="D73:V73">D72*D71</f>
        <v>0</v>
      </c>
      <c r="E73" s="4">
        <f t="shared" si="43"/>
        <v>0</v>
      </c>
      <c r="F73" s="4">
        <f t="shared" si="43"/>
        <v>0</v>
      </c>
      <c r="G73" s="4">
        <f t="shared" si="43"/>
        <v>0</v>
      </c>
      <c r="H73" s="4">
        <f t="shared" si="43"/>
        <v>0</v>
      </c>
      <c r="I73" s="4">
        <f t="shared" si="43"/>
        <v>0</v>
      </c>
      <c r="J73" s="4">
        <f t="shared" si="43"/>
        <v>0</v>
      </c>
      <c r="K73" s="4">
        <f t="shared" si="43"/>
        <v>10000</v>
      </c>
      <c r="L73" s="4">
        <f t="shared" si="43"/>
        <v>10000</v>
      </c>
      <c r="M73" s="4">
        <f t="shared" si="43"/>
        <v>10000</v>
      </c>
      <c r="N73" s="4">
        <f t="shared" si="43"/>
        <v>10000</v>
      </c>
      <c r="O73" s="4">
        <f t="shared" si="43"/>
        <v>10000</v>
      </c>
      <c r="P73" s="4">
        <f t="shared" si="43"/>
        <v>10000</v>
      </c>
      <c r="Q73" s="4">
        <f t="shared" si="43"/>
        <v>10000</v>
      </c>
      <c r="R73" s="4">
        <f t="shared" si="43"/>
        <v>10000</v>
      </c>
      <c r="S73" s="4">
        <f t="shared" si="43"/>
        <v>10000</v>
      </c>
      <c r="T73" s="4">
        <f t="shared" si="43"/>
        <v>10000</v>
      </c>
      <c r="U73" s="4">
        <f t="shared" si="43"/>
        <v>10000</v>
      </c>
      <c r="V73" s="4">
        <f t="shared" si="43"/>
        <v>10000</v>
      </c>
      <c r="W73" s="4">
        <f aca="true" t="shared" si="44" ref="W73:AE73">W72*W71</f>
        <v>10000</v>
      </c>
      <c r="X73" s="4">
        <f t="shared" si="44"/>
        <v>10000</v>
      </c>
      <c r="Y73" s="4">
        <f t="shared" si="44"/>
        <v>10000</v>
      </c>
      <c r="Z73" s="4">
        <f t="shared" si="44"/>
        <v>10000</v>
      </c>
      <c r="AA73" s="4">
        <f t="shared" si="44"/>
        <v>10000</v>
      </c>
      <c r="AB73" s="4">
        <f t="shared" si="44"/>
        <v>10000</v>
      </c>
      <c r="AC73" s="4">
        <f t="shared" si="44"/>
        <v>10000</v>
      </c>
      <c r="AD73" s="4">
        <f t="shared" si="44"/>
        <v>10000</v>
      </c>
      <c r="AE73" s="4">
        <f t="shared" si="44"/>
        <v>0</v>
      </c>
      <c r="AF73" s="4">
        <f>AF72*AF71</f>
        <v>0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">
      <c r="A74" s="2" t="s">
        <v>188</v>
      </c>
      <c r="C74" s="4">
        <f aca="true" t="shared" si="45" ref="C74:V74">C73-C68</f>
        <v>-11000</v>
      </c>
      <c r="D74" s="4">
        <f t="shared" si="45"/>
        <v>-4700</v>
      </c>
      <c r="E74" s="4">
        <f t="shared" si="45"/>
        <v>-4700</v>
      </c>
      <c r="F74" s="4">
        <f t="shared" si="45"/>
        <v>-4700</v>
      </c>
      <c r="G74" s="4">
        <f t="shared" si="45"/>
        <v>-4700</v>
      </c>
      <c r="H74" s="4">
        <f t="shared" si="45"/>
        <v>-4700</v>
      </c>
      <c r="I74" s="4">
        <f t="shared" si="45"/>
        <v>-4700</v>
      </c>
      <c r="J74" s="4">
        <f t="shared" si="45"/>
        <v>-4700</v>
      </c>
      <c r="K74" s="4">
        <f t="shared" si="45"/>
        <v>3750</v>
      </c>
      <c r="L74" s="4">
        <f t="shared" si="45"/>
        <v>3750</v>
      </c>
      <c r="M74" s="4">
        <f t="shared" si="45"/>
        <v>3750</v>
      </c>
      <c r="N74" s="4">
        <f t="shared" si="45"/>
        <v>3750</v>
      </c>
      <c r="O74" s="4">
        <f t="shared" si="45"/>
        <v>3750</v>
      </c>
      <c r="P74" s="4">
        <f t="shared" si="45"/>
        <v>3750</v>
      </c>
      <c r="Q74" s="4">
        <f t="shared" si="45"/>
        <v>3750</v>
      </c>
      <c r="R74" s="4">
        <f t="shared" si="45"/>
        <v>3750</v>
      </c>
      <c r="S74" s="4">
        <f t="shared" si="45"/>
        <v>3750</v>
      </c>
      <c r="T74" s="4">
        <f t="shared" si="45"/>
        <v>3750</v>
      </c>
      <c r="U74" s="4">
        <f t="shared" si="45"/>
        <v>3750</v>
      </c>
      <c r="V74" s="4">
        <f t="shared" si="45"/>
        <v>3750</v>
      </c>
      <c r="W74" s="4">
        <f aca="true" t="shared" si="46" ref="W74:AD74">W73-W68</f>
        <v>3750</v>
      </c>
      <c r="X74" s="4">
        <f t="shared" si="46"/>
        <v>3750</v>
      </c>
      <c r="Y74" s="4">
        <f t="shared" si="46"/>
        <v>3750</v>
      </c>
      <c r="Z74" s="4">
        <f t="shared" si="46"/>
        <v>3750</v>
      </c>
      <c r="AA74" s="4">
        <f t="shared" si="46"/>
        <v>3750</v>
      </c>
      <c r="AB74" s="4">
        <f t="shared" si="46"/>
        <v>3750</v>
      </c>
      <c r="AC74" s="4">
        <f t="shared" si="46"/>
        <v>3750</v>
      </c>
      <c r="AD74" s="4">
        <f t="shared" si="46"/>
        <v>3750</v>
      </c>
      <c r="AE74" s="4">
        <f>AE73-AE68</f>
        <v>-11000</v>
      </c>
      <c r="AF74" s="4">
        <f>AF73-AF68</f>
        <v>-4700</v>
      </c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2">
      <c r="A75" s="1" t="s">
        <v>191</v>
      </c>
      <c r="C75" s="17">
        <f>C74/$B$3*1000</f>
        <v>-733.3333333333333</v>
      </c>
      <c r="D75" s="17">
        <f aca="true" t="shared" si="47" ref="D75:AF75">D74/$B$3*1000</f>
        <v>-313.33333333333337</v>
      </c>
      <c r="E75" s="17">
        <f t="shared" si="47"/>
        <v>-313.33333333333337</v>
      </c>
      <c r="F75" s="17">
        <f t="shared" si="47"/>
        <v>-313.33333333333337</v>
      </c>
      <c r="G75" s="17">
        <f t="shared" si="47"/>
        <v>-313.33333333333337</v>
      </c>
      <c r="H75" s="17">
        <f t="shared" si="47"/>
        <v>-313.33333333333337</v>
      </c>
      <c r="I75" s="17">
        <f t="shared" si="47"/>
        <v>-313.33333333333337</v>
      </c>
      <c r="J75" s="17">
        <f t="shared" si="47"/>
        <v>-313.33333333333337</v>
      </c>
      <c r="K75" s="17">
        <f t="shared" si="47"/>
        <v>250</v>
      </c>
      <c r="L75" s="17">
        <f t="shared" si="47"/>
        <v>250</v>
      </c>
      <c r="M75" s="17">
        <f t="shared" si="47"/>
        <v>250</v>
      </c>
      <c r="N75" s="17">
        <f t="shared" si="47"/>
        <v>250</v>
      </c>
      <c r="O75" s="17">
        <f t="shared" si="47"/>
        <v>250</v>
      </c>
      <c r="P75" s="17">
        <f t="shared" si="47"/>
        <v>250</v>
      </c>
      <c r="Q75" s="17">
        <f t="shared" si="47"/>
        <v>250</v>
      </c>
      <c r="R75" s="17">
        <f t="shared" si="47"/>
        <v>250</v>
      </c>
      <c r="S75" s="17">
        <f t="shared" si="47"/>
        <v>250</v>
      </c>
      <c r="T75" s="17">
        <f t="shared" si="47"/>
        <v>250</v>
      </c>
      <c r="U75" s="17">
        <f t="shared" si="47"/>
        <v>250</v>
      </c>
      <c r="V75" s="17">
        <f t="shared" si="47"/>
        <v>250</v>
      </c>
      <c r="W75" s="17">
        <f t="shared" si="47"/>
        <v>250</v>
      </c>
      <c r="X75" s="17">
        <f t="shared" si="47"/>
        <v>250</v>
      </c>
      <c r="Y75" s="17">
        <f t="shared" si="47"/>
        <v>250</v>
      </c>
      <c r="Z75" s="17">
        <f t="shared" si="47"/>
        <v>250</v>
      </c>
      <c r="AA75" s="17">
        <f t="shared" si="47"/>
        <v>250</v>
      </c>
      <c r="AB75" s="17">
        <f t="shared" si="47"/>
        <v>250</v>
      </c>
      <c r="AC75" s="17">
        <f t="shared" si="47"/>
        <v>250</v>
      </c>
      <c r="AD75" s="17">
        <f t="shared" si="47"/>
        <v>250</v>
      </c>
      <c r="AE75" s="17">
        <f t="shared" si="47"/>
        <v>-733.3333333333333</v>
      </c>
      <c r="AF75" s="17">
        <f t="shared" si="47"/>
        <v>-313.33333333333337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3:48" ht="1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3:48" ht="12">
      <c r="C77" s="77" t="s">
        <v>204</v>
      </c>
      <c r="D77" s="78" t="s">
        <v>205</v>
      </c>
      <c r="E77" s="78" t="s">
        <v>206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2">
      <c r="A78" s="4" t="s">
        <v>170</v>
      </c>
      <c r="C78" s="2">
        <v>230</v>
      </c>
      <c r="D78" s="4">
        <v>200</v>
      </c>
      <c r="E78" s="4">
        <v>200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2">
      <c r="A79" s="4" t="s">
        <v>207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2">
      <c r="A80" s="12" t="s">
        <v>177</v>
      </c>
      <c r="C80" s="2">
        <v>550</v>
      </c>
      <c r="D80" s="4">
        <v>600</v>
      </c>
      <c r="E80" s="4">
        <v>550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2">
      <c r="A81" s="12" t="s">
        <v>178</v>
      </c>
      <c r="C81" s="2">
        <v>400</v>
      </c>
      <c r="D81" s="4">
        <v>500</v>
      </c>
      <c r="E81" s="4">
        <v>150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2">
      <c r="A82" s="12" t="s">
        <v>179</v>
      </c>
      <c r="C82" s="2">
        <v>300</v>
      </c>
      <c r="D82" s="4">
        <v>500</v>
      </c>
      <c r="E82" s="4">
        <v>500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6:48" ht="12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2">
      <c r="A84" s="1" t="s">
        <v>214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2">
      <c r="A85" s="12" t="s">
        <v>143</v>
      </c>
      <c r="C85" s="4">
        <f>I8*$B$5/1000</f>
        <v>3450</v>
      </c>
      <c r="D85" s="4">
        <f>J8*$B$5/1000</f>
        <v>3000</v>
      </c>
      <c r="E85" s="4">
        <f>K8*$B$5/1000</f>
        <v>3000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2">
      <c r="A86" s="12" t="s">
        <v>40</v>
      </c>
      <c r="C86" s="4">
        <f aca="true" t="shared" si="48" ref="C86:E88">I13</f>
        <v>550</v>
      </c>
      <c r="D86" s="4">
        <f t="shared" si="48"/>
        <v>600</v>
      </c>
      <c r="E86" s="4">
        <f t="shared" si="48"/>
        <v>550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">
      <c r="A87" s="12" t="s">
        <v>41</v>
      </c>
      <c r="C87" s="4">
        <f t="shared" si="48"/>
        <v>400</v>
      </c>
      <c r="D87" s="4">
        <f t="shared" si="48"/>
        <v>500</v>
      </c>
      <c r="E87" s="4">
        <f t="shared" si="48"/>
        <v>150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2">
      <c r="A88" s="12" t="s">
        <v>42</v>
      </c>
      <c r="C88" s="4">
        <f t="shared" si="48"/>
        <v>300</v>
      </c>
      <c r="D88" s="4">
        <f t="shared" si="48"/>
        <v>500</v>
      </c>
      <c r="E88" s="4">
        <f t="shared" si="48"/>
        <v>500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2">
      <c r="A89" s="2" t="s">
        <v>189</v>
      </c>
      <c r="C89" s="4">
        <f>SUM(C85:C88)</f>
        <v>4700</v>
      </c>
      <c r="D89" s="4">
        <f>SUM(D85:D88)</f>
        <v>4600</v>
      </c>
      <c r="E89" s="4">
        <f>SUM(E85:E88)</f>
        <v>4200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">
      <c r="A90" s="2" t="s">
        <v>190</v>
      </c>
      <c r="C90" s="4">
        <f>C89/$B$3*1000</f>
        <v>313.33333333333337</v>
      </c>
      <c r="D90" s="4">
        <f>D89/$B$3*1000</f>
        <v>306.66666666666663</v>
      </c>
      <c r="E90" s="4">
        <f>E89/$B$3*1000</f>
        <v>280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2:48" ht="1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">
      <c r="A92" s="2" t="s">
        <v>185</v>
      </c>
      <c r="B92" s="4"/>
      <c r="C92" s="4">
        <f>I21*I20</f>
        <v>4375</v>
      </c>
      <c r="D92" s="4">
        <f>J21*J20</f>
        <v>4800</v>
      </c>
      <c r="E92" s="4">
        <f>K21*K20</f>
        <v>2000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2">
      <c r="A93" s="2" t="s">
        <v>188</v>
      </c>
      <c r="B93" s="4"/>
      <c r="C93" s="4">
        <f>C92-C89</f>
        <v>-325</v>
      </c>
      <c r="D93" s="4">
        <f>D92-D89</f>
        <v>200</v>
      </c>
      <c r="E93" s="4">
        <f>E92-E89</f>
        <v>-2200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">
      <c r="A94" s="1" t="s">
        <v>191</v>
      </c>
      <c r="B94" s="4"/>
      <c r="C94" s="17">
        <f>C93/$B$3*1000</f>
        <v>-21.666666666666668</v>
      </c>
      <c r="D94" s="17">
        <f>D93/$B$3*1000</f>
        <v>13.333333333333334</v>
      </c>
      <c r="E94" s="17">
        <f>E93/$B$3*1000</f>
        <v>-146.66666666666666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3:48" ht="1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3:48" ht="1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3:48" ht="12">
      <c r="C97" s="4"/>
      <c r="D97" s="4"/>
      <c r="E97" s="4"/>
      <c r="F97" s="4">
        <f>'Tai chinh'!F104/'Cay trong'!E99</f>
        <v>50</v>
      </c>
      <c r="G97" s="4">
        <f>'Tai chinh'!G104/'Cay trong'!F99</f>
        <v>50</v>
      </c>
      <c r="H97" s="4">
        <f>'Tai chinh'!H104/'Cay trong'!G99</f>
        <v>50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3:48" ht="12.75" thickBot="1">
      <c r="C98" s="15">
        <v>1996</v>
      </c>
      <c r="D98" s="15">
        <f>C98+1</f>
        <v>1997</v>
      </c>
      <c r="E98" s="15">
        <f aca="true" t="shared" si="49" ref="E98:V98">D98+1</f>
        <v>1998</v>
      </c>
      <c r="F98" s="15">
        <f t="shared" si="49"/>
        <v>1999</v>
      </c>
      <c r="G98" s="15">
        <f t="shared" si="49"/>
        <v>2000</v>
      </c>
      <c r="H98" s="15">
        <f t="shared" si="49"/>
        <v>2001</v>
      </c>
      <c r="I98" s="15">
        <f t="shared" si="49"/>
        <v>2002</v>
      </c>
      <c r="J98" s="15">
        <f t="shared" si="49"/>
        <v>2003</v>
      </c>
      <c r="K98" s="15">
        <f t="shared" si="49"/>
        <v>2004</v>
      </c>
      <c r="L98" s="15">
        <f t="shared" si="49"/>
        <v>2005</v>
      </c>
      <c r="M98" s="15">
        <f t="shared" si="49"/>
        <v>2006</v>
      </c>
      <c r="N98" s="15">
        <f t="shared" si="49"/>
        <v>2007</v>
      </c>
      <c r="O98" s="15">
        <f t="shared" si="49"/>
        <v>2008</v>
      </c>
      <c r="P98" s="15">
        <f t="shared" si="49"/>
        <v>2009</v>
      </c>
      <c r="Q98" s="15">
        <f t="shared" si="49"/>
        <v>2010</v>
      </c>
      <c r="R98" s="15">
        <f t="shared" si="49"/>
        <v>2011</v>
      </c>
      <c r="S98" s="15">
        <f t="shared" si="49"/>
        <v>2012</v>
      </c>
      <c r="T98" s="15">
        <f t="shared" si="49"/>
        <v>2013</v>
      </c>
      <c r="U98" s="15">
        <f>T98+1</f>
        <v>2014</v>
      </c>
      <c r="V98" s="15">
        <f t="shared" si="49"/>
        <v>2015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.75" thickTop="1">
      <c r="A99" s="24" t="s">
        <v>165</v>
      </c>
      <c r="C99" s="2">
        <v>0</v>
      </c>
      <c r="D99" s="2">
        <v>0</v>
      </c>
      <c r="E99" s="67">
        <v>1.28</v>
      </c>
      <c r="F99" s="67">
        <v>8</v>
      </c>
      <c r="G99" s="67">
        <v>15</v>
      </c>
      <c r="H99" s="67">
        <v>17</v>
      </c>
      <c r="I99" s="67">
        <v>18</v>
      </c>
      <c r="J99" s="67">
        <v>18</v>
      </c>
      <c r="K99" s="67">
        <v>18</v>
      </c>
      <c r="L99" s="67">
        <v>18</v>
      </c>
      <c r="M99" s="67">
        <v>18</v>
      </c>
      <c r="N99" s="67">
        <v>18</v>
      </c>
      <c r="O99" s="67">
        <v>18</v>
      </c>
      <c r="P99" s="67">
        <v>18</v>
      </c>
      <c r="Q99" s="67">
        <v>18</v>
      </c>
      <c r="R99" s="67">
        <v>18</v>
      </c>
      <c r="S99" s="67">
        <v>18</v>
      </c>
      <c r="T99" s="67">
        <v>18</v>
      </c>
      <c r="U99" s="67">
        <v>18</v>
      </c>
      <c r="V99" s="67">
        <v>18</v>
      </c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2:48" ht="12.75" thickBot="1">
      <c r="B100" s="118" t="s">
        <v>215</v>
      </c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">
      <c r="A101" s="117">
        <v>1996</v>
      </c>
      <c r="B101" s="10">
        <f>C99</f>
        <v>0</v>
      </c>
      <c r="C101" s="119">
        <f>$B$101*C32</f>
        <v>0</v>
      </c>
      <c r="D101" s="120">
        <f aca="true" t="shared" si="50" ref="D101:V101">$B$101*D32</f>
        <v>0</v>
      </c>
      <c r="E101" s="120">
        <f t="shared" si="50"/>
        <v>0</v>
      </c>
      <c r="F101" s="120">
        <f t="shared" si="50"/>
        <v>0</v>
      </c>
      <c r="G101" s="120">
        <f t="shared" si="50"/>
        <v>0</v>
      </c>
      <c r="H101" s="120">
        <f t="shared" si="50"/>
        <v>0</v>
      </c>
      <c r="I101" s="120">
        <f t="shared" si="50"/>
        <v>0</v>
      </c>
      <c r="J101" s="120">
        <f t="shared" si="50"/>
        <v>0</v>
      </c>
      <c r="K101" s="120">
        <f t="shared" si="50"/>
        <v>0</v>
      </c>
      <c r="L101" s="120">
        <f t="shared" si="50"/>
        <v>0</v>
      </c>
      <c r="M101" s="120">
        <f t="shared" si="50"/>
        <v>0</v>
      </c>
      <c r="N101" s="120">
        <f t="shared" si="50"/>
        <v>0</v>
      </c>
      <c r="O101" s="120">
        <f t="shared" si="50"/>
        <v>0</v>
      </c>
      <c r="P101" s="120">
        <f t="shared" si="50"/>
        <v>0</v>
      </c>
      <c r="Q101" s="120">
        <f t="shared" si="50"/>
        <v>0</v>
      </c>
      <c r="R101" s="120">
        <f t="shared" si="50"/>
        <v>0</v>
      </c>
      <c r="S101" s="120">
        <f t="shared" si="50"/>
        <v>0</v>
      </c>
      <c r="T101" s="120">
        <f t="shared" si="50"/>
        <v>0</v>
      </c>
      <c r="U101" s="120">
        <f t="shared" si="50"/>
        <v>0</v>
      </c>
      <c r="V101" s="121">
        <f t="shared" si="50"/>
        <v>0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2">
      <c r="A102" s="117">
        <v>1997</v>
      </c>
      <c r="B102" s="10">
        <f>D99-C99</f>
        <v>0</v>
      </c>
      <c r="C102" s="45"/>
      <c r="D102" s="34">
        <f>$B$102*C32</f>
        <v>0</v>
      </c>
      <c r="E102" s="34">
        <f aca="true" t="shared" si="51" ref="E102:V102">$B$102*D32</f>
        <v>0</v>
      </c>
      <c r="F102" s="34">
        <f t="shared" si="51"/>
        <v>0</v>
      </c>
      <c r="G102" s="34">
        <f t="shared" si="51"/>
        <v>0</v>
      </c>
      <c r="H102" s="34">
        <f t="shared" si="51"/>
        <v>0</v>
      </c>
      <c r="I102" s="34">
        <f t="shared" si="51"/>
        <v>0</v>
      </c>
      <c r="J102" s="34">
        <f t="shared" si="51"/>
        <v>0</v>
      </c>
      <c r="K102" s="34">
        <f t="shared" si="51"/>
        <v>0</v>
      </c>
      <c r="L102" s="34">
        <f t="shared" si="51"/>
        <v>0</v>
      </c>
      <c r="M102" s="34">
        <f t="shared" si="51"/>
        <v>0</v>
      </c>
      <c r="N102" s="34">
        <f t="shared" si="51"/>
        <v>0</v>
      </c>
      <c r="O102" s="34">
        <f t="shared" si="51"/>
        <v>0</v>
      </c>
      <c r="P102" s="34">
        <f t="shared" si="51"/>
        <v>0</v>
      </c>
      <c r="Q102" s="34">
        <f t="shared" si="51"/>
        <v>0</v>
      </c>
      <c r="R102" s="34">
        <f t="shared" si="51"/>
        <v>0</v>
      </c>
      <c r="S102" s="34">
        <f t="shared" si="51"/>
        <v>0</v>
      </c>
      <c r="T102" s="34">
        <f t="shared" si="51"/>
        <v>0</v>
      </c>
      <c r="U102" s="34">
        <f t="shared" si="51"/>
        <v>0</v>
      </c>
      <c r="V102" s="35">
        <f t="shared" si="51"/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2">
      <c r="A103" s="117">
        <v>1998</v>
      </c>
      <c r="B103" s="10">
        <f>E99</f>
        <v>1.28</v>
      </c>
      <c r="C103" s="45"/>
      <c r="D103" s="34"/>
      <c r="E103" s="34">
        <f>$B$103*C32</f>
        <v>614.4</v>
      </c>
      <c r="F103" s="34">
        <f aca="true" t="shared" si="52" ref="F103:V103">$B$103*D32</f>
        <v>366.93333333333334</v>
      </c>
      <c r="G103" s="34">
        <f t="shared" si="52"/>
        <v>366.93333333333334</v>
      </c>
      <c r="H103" s="34">
        <f t="shared" si="52"/>
        <v>366.93333333333334</v>
      </c>
      <c r="I103" s="34">
        <f t="shared" si="52"/>
        <v>614.4</v>
      </c>
      <c r="J103" s="34">
        <f t="shared" si="52"/>
        <v>366.93333333333334</v>
      </c>
      <c r="K103" s="34">
        <f t="shared" si="52"/>
        <v>366.93333333333334</v>
      </c>
      <c r="L103" s="34">
        <f t="shared" si="52"/>
        <v>366.93333333333334</v>
      </c>
      <c r="M103" s="34">
        <f t="shared" si="52"/>
        <v>614.4</v>
      </c>
      <c r="N103" s="34">
        <f t="shared" si="52"/>
        <v>366.93333333333334</v>
      </c>
      <c r="O103" s="34">
        <f t="shared" si="52"/>
        <v>366.93333333333334</v>
      </c>
      <c r="P103" s="34">
        <f t="shared" si="52"/>
        <v>366.93333333333334</v>
      </c>
      <c r="Q103" s="34">
        <f t="shared" si="52"/>
        <v>614.4</v>
      </c>
      <c r="R103" s="34">
        <f t="shared" si="52"/>
        <v>366.93333333333334</v>
      </c>
      <c r="S103" s="34">
        <f t="shared" si="52"/>
        <v>366.93333333333334</v>
      </c>
      <c r="T103" s="34">
        <f t="shared" si="52"/>
        <v>366.93333333333334</v>
      </c>
      <c r="U103" s="34">
        <f t="shared" si="52"/>
        <v>614.4</v>
      </c>
      <c r="V103" s="35">
        <f t="shared" si="52"/>
        <v>366.93333333333334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">
      <c r="A104" s="117">
        <v>1999</v>
      </c>
      <c r="B104" s="10">
        <f>F99-E99</f>
        <v>6.72</v>
      </c>
      <c r="C104" s="45"/>
      <c r="D104" s="34"/>
      <c r="E104" s="34"/>
      <c r="F104" s="34">
        <f>$B$104*C32</f>
        <v>3225.6</v>
      </c>
      <c r="G104" s="34">
        <f aca="true" t="shared" si="53" ref="G104:V104">$B$104*D32</f>
        <v>1926.4</v>
      </c>
      <c r="H104" s="34">
        <f t="shared" si="53"/>
        <v>1926.4</v>
      </c>
      <c r="I104" s="34">
        <f t="shared" si="53"/>
        <v>1926.4</v>
      </c>
      <c r="J104" s="34">
        <f t="shared" si="53"/>
        <v>3225.6</v>
      </c>
      <c r="K104" s="34">
        <f t="shared" si="53"/>
        <v>1926.4</v>
      </c>
      <c r="L104" s="34">
        <f t="shared" si="53"/>
        <v>1926.4</v>
      </c>
      <c r="M104" s="34">
        <f t="shared" si="53"/>
        <v>1926.4</v>
      </c>
      <c r="N104" s="34">
        <f t="shared" si="53"/>
        <v>3225.6</v>
      </c>
      <c r="O104" s="34">
        <f t="shared" si="53"/>
        <v>1926.4</v>
      </c>
      <c r="P104" s="34">
        <f t="shared" si="53"/>
        <v>1926.4</v>
      </c>
      <c r="Q104" s="34">
        <f t="shared" si="53"/>
        <v>1926.4</v>
      </c>
      <c r="R104" s="34">
        <f t="shared" si="53"/>
        <v>3225.6</v>
      </c>
      <c r="S104" s="34">
        <f t="shared" si="53"/>
        <v>1926.4</v>
      </c>
      <c r="T104" s="34">
        <f t="shared" si="53"/>
        <v>1926.4</v>
      </c>
      <c r="U104" s="34">
        <f t="shared" si="53"/>
        <v>1926.4</v>
      </c>
      <c r="V104" s="35">
        <f t="shared" si="53"/>
        <v>3225.6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2">
      <c r="A105" s="117">
        <v>2000</v>
      </c>
      <c r="B105" s="10">
        <f>G99-F99</f>
        <v>7</v>
      </c>
      <c r="C105" s="45"/>
      <c r="D105" s="34"/>
      <c r="E105" s="34"/>
      <c r="F105" s="34"/>
      <c r="G105" s="34">
        <f>$B$105*C32</f>
        <v>3360</v>
      </c>
      <c r="H105" s="34">
        <f aca="true" t="shared" si="54" ref="H105:V105">$B$105*D32</f>
        <v>2006.6666666666667</v>
      </c>
      <c r="I105" s="34">
        <f t="shared" si="54"/>
        <v>2006.6666666666667</v>
      </c>
      <c r="J105" s="34">
        <f t="shared" si="54"/>
        <v>2006.6666666666667</v>
      </c>
      <c r="K105" s="34">
        <f t="shared" si="54"/>
        <v>3360</v>
      </c>
      <c r="L105" s="34">
        <f t="shared" si="54"/>
        <v>2006.6666666666667</v>
      </c>
      <c r="M105" s="34">
        <f t="shared" si="54"/>
        <v>2006.6666666666667</v>
      </c>
      <c r="N105" s="34">
        <f t="shared" si="54"/>
        <v>2006.6666666666667</v>
      </c>
      <c r="O105" s="34">
        <f t="shared" si="54"/>
        <v>3360</v>
      </c>
      <c r="P105" s="34">
        <f t="shared" si="54"/>
        <v>2006.6666666666667</v>
      </c>
      <c r="Q105" s="34">
        <f t="shared" si="54"/>
        <v>2006.6666666666667</v>
      </c>
      <c r="R105" s="34">
        <f t="shared" si="54"/>
        <v>2006.6666666666667</v>
      </c>
      <c r="S105" s="34">
        <f t="shared" si="54"/>
        <v>3360</v>
      </c>
      <c r="T105" s="34">
        <f t="shared" si="54"/>
        <v>2006.6666666666667</v>
      </c>
      <c r="U105" s="34">
        <f t="shared" si="54"/>
        <v>2006.6666666666667</v>
      </c>
      <c r="V105" s="35">
        <f t="shared" si="54"/>
        <v>2006.6666666666667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">
      <c r="A106" s="117">
        <v>2001</v>
      </c>
      <c r="B106" s="10">
        <f>H99-G99</f>
        <v>2</v>
      </c>
      <c r="C106" s="45"/>
      <c r="D106" s="34"/>
      <c r="E106" s="34"/>
      <c r="F106" s="34"/>
      <c r="G106" s="34"/>
      <c r="H106" s="34">
        <f>$B$106*C32</f>
        <v>960</v>
      </c>
      <c r="I106" s="34">
        <f>$B$106*D32</f>
        <v>573.3333333333334</v>
      </c>
      <c r="J106" s="34">
        <f aca="true" t="shared" si="55" ref="J106:V106">$B$106*E32</f>
        <v>573.3333333333334</v>
      </c>
      <c r="K106" s="34">
        <f t="shared" si="55"/>
        <v>573.3333333333334</v>
      </c>
      <c r="L106" s="34">
        <f t="shared" si="55"/>
        <v>960</v>
      </c>
      <c r="M106" s="34">
        <f t="shared" si="55"/>
        <v>573.3333333333334</v>
      </c>
      <c r="N106" s="34">
        <f t="shared" si="55"/>
        <v>573.3333333333334</v>
      </c>
      <c r="O106" s="34">
        <f t="shared" si="55"/>
        <v>573.3333333333334</v>
      </c>
      <c r="P106" s="34">
        <f t="shared" si="55"/>
        <v>960</v>
      </c>
      <c r="Q106" s="34">
        <f t="shared" si="55"/>
        <v>573.3333333333334</v>
      </c>
      <c r="R106" s="34">
        <f t="shared" si="55"/>
        <v>573.3333333333334</v>
      </c>
      <c r="S106" s="34">
        <f t="shared" si="55"/>
        <v>573.3333333333334</v>
      </c>
      <c r="T106" s="34">
        <f t="shared" si="55"/>
        <v>960</v>
      </c>
      <c r="U106" s="34">
        <f t="shared" si="55"/>
        <v>573.3333333333334</v>
      </c>
      <c r="V106" s="35">
        <f t="shared" si="55"/>
        <v>573.3333333333334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">
      <c r="A107" s="117">
        <v>2002</v>
      </c>
      <c r="B107" s="10">
        <f>I99-H99</f>
        <v>1</v>
      </c>
      <c r="C107" s="45"/>
      <c r="D107" s="34"/>
      <c r="E107" s="34"/>
      <c r="F107" s="34"/>
      <c r="G107" s="34"/>
      <c r="H107" s="34"/>
      <c r="I107" s="34">
        <f>$B$107*C32</f>
        <v>480</v>
      </c>
      <c r="J107" s="34">
        <f aca="true" t="shared" si="56" ref="J107:V107">$B$107*D32</f>
        <v>286.6666666666667</v>
      </c>
      <c r="K107" s="34">
        <f t="shared" si="56"/>
        <v>286.6666666666667</v>
      </c>
      <c r="L107" s="34">
        <f t="shared" si="56"/>
        <v>286.6666666666667</v>
      </c>
      <c r="M107" s="34">
        <f t="shared" si="56"/>
        <v>480</v>
      </c>
      <c r="N107" s="34">
        <f t="shared" si="56"/>
        <v>286.6666666666667</v>
      </c>
      <c r="O107" s="34">
        <f t="shared" si="56"/>
        <v>286.6666666666667</v>
      </c>
      <c r="P107" s="34">
        <f t="shared" si="56"/>
        <v>286.6666666666667</v>
      </c>
      <c r="Q107" s="34">
        <f t="shared" si="56"/>
        <v>480</v>
      </c>
      <c r="R107" s="34">
        <f t="shared" si="56"/>
        <v>286.6666666666667</v>
      </c>
      <c r="S107" s="34">
        <f t="shared" si="56"/>
        <v>286.6666666666667</v>
      </c>
      <c r="T107" s="34">
        <f t="shared" si="56"/>
        <v>286.6666666666667</v>
      </c>
      <c r="U107" s="34">
        <f t="shared" si="56"/>
        <v>480</v>
      </c>
      <c r="V107" s="35">
        <f t="shared" si="56"/>
        <v>286.6666666666667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">
      <c r="A108" s="117">
        <v>2003</v>
      </c>
      <c r="B108" s="10">
        <f>J99-I99</f>
        <v>0</v>
      </c>
      <c r="C108" s="45"/>
      <c r="D108" s="34"/>
      <c r="E108" s="34"/>
      <c r="F108" s="34"/>
      <c r="G108" s="34"/>
      <c r="H108" s="34"/>
      <c r="I108" s="34"/>
      <c r="J108" s="34">
        <f>$B$108*C32</f>
        <v>0</v>
      </c>
      <c r="K108" s="34">
        <f aca="true" t="shared" si="57" ref="K108:V108">$B$108*D32</f>
        <v>0</v>
      </c>
      <c r="L108" s="34">
        <f t="shared" si="57"/>
        <v>0</v>
      </c>
      <c r="M108" s="34">
        <f t="shared" si="57"/>
        <v>0</v>
      </c>
      <c r="N108" s="34">
        <f t="shared" si="57"/>
        <v>0</v>
      </c>
      <c r="O108" s="34">
        <f t="shared" si="57"/>
        <v>0</v>
      </c>
      <c r="P108" s="34">
        <f t="shared" si="57"/>
        <v>0</v>
      </c>
      <c r="Q108" s="34">
        <f t="shared" si="57"/>
        <v>0</v>
      </c>
      <c r="R108" s="34">
        <f t="shared" si="57"/>
        <v>0</v>
      </c>
      <c r="S108" s="34">
        <f t="shared" si="57"/>
        <v>0</v>
      </c>
      <c r="T108" s="34">
        <f t="shared" si="57"/>
        <v>0</v>
      </c>
      <c r="U108" s="34">
        <f t="shared" si="57"/>
        <v>0</v>
      </c>
      <c r="V108" s="35">
        <f t="shared" si="57"/>
        <v>0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">
      <c r="A109" s="117">
        <v>2004</v>
      </c>
      <c r="B109" s="10">
        <f>K99-J99</f>
        <v>0</v>
      </c>
      <c r="C109" s="45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5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">
      <c r="A110" s="117">
        <v>2005</v>
      </c>
      <c r="B110" s="10">
        <f>L99-K99</f>
        <v>0</v>
      </c>
      <c r="C110" s="45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">
      <c r="A111" s="117">
        <v>2006</v>
      </c>
      <c r="B111" s="10">
        <f>M99-L99</f>
        <v>0</v>
      </c>
      <c r="C111" s="45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5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">
      <c r="A112" s="117">
        <v>2007</v>
      </c>
      <c r="B112" s="10">
        <f>N99-M99</f>
        <v>0</v>
      </c>
      <c r="C112" s="45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5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">
      <c r="A113" s="117">
        <v>2008</v>
      </c>
      <c r="B113" s="10">
        <f>O99-N99</f>
        <v>0</v>
      </c>
      <c r="C113" s="45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5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">
      <c r="A114" s="117">
        <v>2009</v>
      </c>
      <c r="B114" s="109">
        <v>0</v>
      </c>
      <c r="C114" s="45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5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">
      <c r="A115" s="117">
        <v>2010</v>
      </c>
      <c r="B115" s="109">
        <v>0</v>
      </c>
      <c r="C115" s="45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5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">
      <c r="A116" s="117">
        <v>2011</v>
      </c>
      <c r="B116" s="109">
        <v>0</v>
      </c>
      <c r="C116" s="45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5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32" ht="12">
      <c r="A117" s="117">
        <v>2012</v>
      </c>
      <c r="B117" s="109">
        <v>0</v>
      </c>
      <c r="C117" s="110"/>
      <c r="D117" s="13"/>
      <c r="E117" s="13"/>
      <c r="F117" s="13"/>
      <c r="G117" s="13"/>
      <c r="H117" s="1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5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">
      <c r="A118" s="117">
        <v>2013</v>
      </c>
      <c r="B118" s="109">
        <v>0</v>
      </c>
      <c r="C118" s="110"/>
      <c r="D118" s="13"/>
      <c r="E118" s="13"/>
      <c r="F118" s="13"/>
      <c r="G118" s="13"/>
      <c r="H118" s="13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5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">
      <c r="A119" s="117">
        <v>2014</v>
      </c>
      <c r="B119" s="109">
        <v>0</v>
      </c>
      <c r="C119" s="110"/>
      <c r="D119" s="13"/>
      <c r="E119" s="13"/>
      <c r="F119" s="13"/>
      <c r="G119" s="13"/>
      <c r="H119" s="1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5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">
      <c r="A120" s="117">
        <v>2015</v>
      </c>
      <c r="B120" s="109">
        <v>0</v>
      </c>
      <c r="C120" s="110"/>
      <c r="D120" s="13"/>
      <c r="E120" s="13"/>
      <c r="F120" s="13"/>
      <c r="G120" s="13"/>
      <c r="H120" s="13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5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">
      <c r="A121" s="2" t="s">
        <v>166</v>
      </c>
      <c r="C121" s="45">
        <f>SUM(C101:C120)</f>
        <v>0</v>
      </c>
      <c r="D121" s="34">
        <f aca="true" t="shared" si="58" ref="D121:V121">SUM(D101:D120)</f>
        <v>0</v>
      </c>
      <c r="E121" s="34">
        <f t="shared" si="58"/>
        <v>614.4</v>
      </c>
      <c r="F121" s="34">
        <f t="shared" si="58"/>
        <v>3592.5333333333333</v>
      </c>
      <c r="G121" s="34">
        <f t="shared" si="58"/>
        <v>5653.333333333334</v>
      </c>
      <c r="H121" s="34">
        <f t="shared" si="58"/>
        <v>5260</v>
      </c>
      <c r="I121" s="34">
        <f t="shared" si="58"/>
        <v>5600.8</v>
      </c>
      <c r="J121" s="34">
        <f t="shared" si="58"/>
        <v>6459.2</v>
      </c>
      <c r="K121" s="34">
        <f t="shared" si="58"/>
        <v>6513.333333333334</v>
      </c>
      <c r="L121" s="34">
        <f t="shared" si="58"/>
        <v>5546.666666666667</v>
      </c>
      <c r="M121" s="34">
        <f t="shared" si="58"/>
        <v>5600.8</v>
      </c>
      <c r="N121" s="34">
        <f t="shared" si="58"/>
        <v>6459.2</v>
      </c>
      <c r="O121" s="34">
        <f t="shared" si="58"/>
        <v>6513.333333333334</v>
      </c>
      <c r="P121" s="34">
        <f t="shared" si="58"/>
        <v>5546.666666666667</v>
      </c>
      <c r="Q121" s="34">
        <f t="shared" si="58"/>
        <v>5600.8</v>
      </c>
      <c r="R121" s="34">
        <f t="shared" si="58"/>
        <v>6459.2</v>
      </c>
      <c r="S121" s="34">
        <f t="shared" si="58"/>
        <v>6513.333333333334</v>
      </c>
      <c r="T121" s="34">
        <f t="shared" si="58"/>
        <v>5546.666666666667</v>
      </c>
      <c r="U121" s="34">
        <f t="shared" si="58"/>
        <v>5600.8</v>
      </c>
      <c r="V121" s="35">
        <f t="shared" si="58"/>
        <v>6459.2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22" s="4" customFormat="1" ht="12">
      <c r="A122" s="4" t="s">
        <v>167</v>
      </c>
      <c r="C122" s="45">
        <f>'Tai chinh'!C115</f>
        <v>0</v>
      </c>
      <c r="D122" s="34">
        <f>'Tai chinh'!D115</f>
        <v>0</v>
      </c>
      <c r="E122" s="34">
        <f>'Tai chinh'!E115</f>
        <v>0</v>
      </c>
      <c r="F122" s="34">
        <f>'Tai chinh'!F115</f>
        <v>791.0400000000001</v>
      </c>
      <c r="G122" s="34">
        <f>'Tai chinh'!G115</f>
        <v>5092.32</v>
      </c>
      <c r="H122" s="34">
        <f>'Tai chinh'!H115</f>
        <v>9834.543000000001</v>
      </c>
      <c r="I122" s="34">
        <f>'Tai chinh'!I115</f>
        <v>11480.189862000003</v>
      </c>
      <c r="J122" s="34">
        <f>'Tai chinh'!J115</f>
        <v>12520.160002440001</v>
      </c>
      <c r="K122" s="34">
        <f>'Tai chinh'!K115</f>
        <v>12895.764802513202</v>
      </c>
      <c r="L122" s="34">
        <f>'Tai chinh'!L115</f>
        <v>13282.637746588598</v>
      </c>
      <c r="M122" s="34">
        <f>'Tai chinh'!M115</f>
        <v>13681.11687898626</v>
      </c>
      <c r="N122" s="34">
        <f>'Tai chinh'!N115</f>
        <v>14091.550385355848</v>
      </c>
      <c r="O122" s="34">
        <f>'Tai chinh'!O115</f>
        <v>14514.296896916523</v>
      </c>
      <c r="P122" s="34">
        <f>'Tai chinh'!P115</f>
        <v>14949.725803824016</v>
      </c>
      <c r="Q122" s="34">
        <f>'Tai chinh'!Q115</f>
        <v>15398.217577938738</v>
      </c>
      <c r="R122" s="34">
        <f>'Tai chinh'!R115</f>
        <v>15860.164105276901</v>
      </c>
      <c r="S122" s="34">
        <f>'Tai chinh'!S115</f>
        <v>16335.96902843521</v>
      </c>
      <c r="T122" s="34">
        <f>'Tai chinh'!T115</f>
        <v>16826.048099288266</v>
      </c>
      <c r="U122" s="34">
        <f>'Tai chinh'!U115</f>
        <v>17330.829542266914</v>
      </c>
      <c r="V122" s="35">
        <f>'Tai chinh'!V115</f>
        <v>17850.754428534925</v>
      </c>
    </row>
    <row r="123" spans="1:32" ht="12.75" thickBot="1">
      <c r="A123" s="1" t="s">
        <v>168</v>
      </c>
      <c r="B123" s="1"/>
      <c r="C123" s="46">
        <f>C122-C121</f>
        <v>0</v>
      </c>
      <c r="D123" s="122">
        <f aca="true" t="shared" si="59" ref="D123:V123">D122-D121</f>
        <v>0</v>
      </c>
      <c r="E123" s="122">
        <f t="shared" si="59"/>
        <v>-614.4</v>
      </c>
      <c r="F123" s="122">
        <f t="shared" si="59"/>
        <v>-2801.4933333333333</v>
      </c>
      <c r="G123" s="122">
        <f t="shared" si="59"/>
        <v>-561.0133333333342</v>
      </c>
      <c r="H123" s="122">
        <f t="shared" si="59"/>
        <v>4574.5430000000015</v>
      </c>
      <c r="I123" s="122">
        <f t="shared" si="59"/>
        <v>5879.389862000003</v>
      </c>
      <c r="J123" s="122">
        <f t="shared" si="59"/>
        <v>6060.9600024400015</v>
      </c>
      <c r="K123" s="122">
        <f t="shared" si="59"/>
        <v>6382.431469179868</v>
      </c>
      <c r="L123" s="122">
        <f t="shared" si="59"/>
        <v>7735.971079921931</v>
      </c>
      <c r="M123" s="122">
        <f t="shared" si="59"/>
        <v>8080.31687898626</v>
      </c>
      <c r="N123" s="122">
        <f t="shared" si="59"/>
        <v>7632.350385355848</v>
      </c>
      <c r="O123" s="122">
        <f t="shared" si="59"/>
        <v>8000.963563583189</v>
      </c>
      <c r="P123" s="122">
        <f t="shared" si="59"/>
        <v>9403.05913715735</v>
      </c>
      <c r="Q123" s="122">
        <f t="shared" si="59"/>
        <v>9797.417577938737</v>
      </c>
      <c r="R123" s="122">
        <f t="shared" si="59"/>
        <v>9400.9641052769</v>
      </c>
      <c r="S123" s="122">
        <f t="shared" si="59"/>
        <v>9822.635695101875</v>
      </c>
      <c r="T123" s="122">
        <f t="shared" si="59"/>
        <v>11279.381432621598</v>
      </c>
      <c r="U123" s="122">
        <f t="shared" si="59"/>
        <v>11730.029542266915</v>
      </c>
      <c r="V123" s="47">
        <f t="shared" si="59"/>
        <v>11391.554428534924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9:32" ht="12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2:32" ht="12.75" thickBot="1">
      <c r="B125" s="118" t="s">
        <v>216</v>
      </c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">
      <c r="A126" s="117">
        <v>1996</v>
      </c>
      <c r="B126" s="10">
        <f>B$101</f>
        <v>0</v>
      </c>
      <c r="C126" s="119">
        <f>$B126*C$47</f>
        <v>0</v>
      </c>
      <c r="D126" s="120">
        <f aca="true" t="shared" si="60" ref="D126:V126">$B126*D$47</f>
        <v>0</v>
      </c>
      <c r="E126" s="120">
        <f t="shared" si="60"/>
        <v>0</v>
      </c>
      <c r="F126" s="120">
        <f t="shared" si="60"/>
        <v>0</v>
      </c>
      <c r="G126" s="120">
        <f t="shared" si="60"/>
        <v>0</v>
      </c>
      <c r="H126" s="120">
        <f t="shared" si="60"/>
        <v>0</v>
      </c>
      <c r="I126" s="120">
        <f t="shared" si="60"/>
        <v>0</v>
      </c>
      <c r="J126" s="120">
        <f t="shared" si="60"/>
        <v>0</v>
      </c>
      <c r="K126" s="120">
        <f t="shared" si="60"/>
        <v>0</v>
      </c>
      <c r="L126" s="120">
        <f t="shared" si="60"/>
        <v>0</v>
      </c>
      <c r="M126" s="120">
        <f t="shared" si="60"/>
        <v>0</v>
      </c>
      <c r="N126" s="120">
        <f t="shared" si="60"/>
        <v>0</v>
      </c>
      <c r="O126" s="120">
        <f t="shared" si="60"/>
        <v>0</v>
      </c>
      <c r="P126" s="120">
        <f t="shared" si="60"/>
        <v>0</v>
      </c>
      <c r="Q126" s="120">
        <f t="shared" si="60"/>
        <v>0</v>
      </c>
      <c r="R126" s="120">
        <f t="shared" si="60"/>
        <v>0</v>
      </c>
      <c r="S126" s="120">
        <f t="shared" si="60"/>
        <v>0</v>
      </c>
      <c r="T126" s="120">
        <f t="shared" si="60"/>
        <v>0</v>
      </c>
      <c r="U126" s="120">
        <f t="shared" si="60"/>
        <v>0</v>
      </c>
      <c r="V126" s="121">
        <f t="shared" si="60"/>
        <v>0</v>
      </c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">
      <c r="A127" s="117">
        <v>1997</v>
      </c>
      <c r="B127" s="10">
        <f aca="true" t="shared" si="61" ref="B127:B145">B102</f>
        <v>0</v>
      </c>
      <c r="C127" s="45"/>
      <c r="D127" s="34">
        <f>$B127*C$47</f>
        <v>0</v>
      </c>
      <c r="E127" s="34">
        <f aca="true" t="shared" si="62" ref="E127:V127">$B127*D$47</f>
        <v>0</v>
      </c>
      <c r="F127" s="34">
        <f t="shared" si="62"/>
        <v>0</v>
      </c>
      <c r="G127" s="34">
        <f t="shared" si="62"/>
        <v>0</v>
      </c>
      <c r="H127" s="34">
        <f t="shared" si="62"/>
        <v>0</v>
      </c>
      <c r="I127" s="34">
        <f t="shared" si="62"/>
        <v>0</v>
      </c>
      <c r="J127" s="34">
        <f t="shared" si="62"/>
        <v>0</v>
      </c>
      <c r="K127" s="34">
        <f t="shared" si="62"/>
        <v>0</v>
      </c>
      <c r="L127" s="34">
        <f t="shared" si="62"/>
        <v>0</v>
      </c>
      <c r="M127" s="34">
        <f t="shared" si="62"/>
        <v>0</v>
      </c>
      <c r="N127" s="34">
        <f t="shared" si="62"/>
        <v>0</v>
      </c>
      <c r="O127" s="34">
        <f t="shared" si="62"/>
        <v>0</v>
      </c>
      <c r="P127" s="34">
        <f t="shared" si="62"/>
        <v>0</v>
      </c>
      <c r="Q127" s="34">
        <f t="shared" si="62"/>
        <v>0</v>
      </c>
      <c r="R127" s="34">
        <f t="shared" si="62"/>
        <v>0</v>
      </c>
      <c r="S127" s="34">
        <f t="shared" si="62"/>
        <v>0</v>
      </c>
      <c r="T127" s="34">
        <f t="shared" si="62"/>
        <v>0</v>
      </c>
      <c r="U127" s="34">
        <f t="shared" si="62"/>
        <v>0</v>
      </c>
      <c r="V127" s="35">
        <f t="shared" si="62"/>
        <v>0</v>
      </c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">
      <c r="A128" s="117">
        <v>1998</v>
      </c>
      <c r="B128" s="10">
        <f t="shared" si="61"/>
        <v>1.28</v>
      </c>
      <c r="C128" s="45"/>
      <c r="D128" s="34"/>
      <c r="E128" s="34">
        <f>$B128*C$47</f>
        <v>-972.8000000000001</v>
      </c>
      <c r="F128" s="34">
        <f aca="true" t="shared" si="63" ref="F128:V128">$B128*D$47</f>
        <v>550.4</v>
      </c>
      <c r="G128" s="34">
        <f t="shared" si="63"/>
        <v>849.0666666666667</v>
      </c>
      <c r="H128" s="34">
        <f t="shared" si="63"/>
        <v>-972.8000000000001</v>
      </c>
      <c r="I128" s="34">
        <f t="shared" si="63"/>
        <v>550.4</v>
      </c>
      <c r="J128" s="34">
        <f t="shared" si="63"/>
        <v>849.0666666666667</v>
      </c>
      <c r="K128" s="34">
        <f t="shared" si="63"/>
        <v>-972.8000000000001</v>
      </c>
      <c r="L128" s="34">
        <f t="shared" si="63"/>
        <v>550.4</v>
      </c>
      <c r="M128" s="34">
        <f t="shared" si="63"/>
        <v>849.0666666666667</v>
      </c>
      <c r="N128" s="34">
        <f t="shared" si="63"/>
        <v>-972.8000000000001</v>
      </c>
      <c r="O128" s="34">
        <f t="shared" si="63"/>
        <v>550.4</v>
      </c>
      <c r="P128" s="34">
        <f t="shared" si="63"/>
        <v>849.0666666666667</v>
      </c>
      <c r="Q128" s="34">
        <f t="shared" si="63"/>
        <v>-972.8000000000001</v>
      </c>
      <c r="R128" s="34">
        <f t="shared" si="63"/>
        <v>550.4</v>
      </c>
      <c r="S128" s="34">
        <f t="shared" si="63"/>
        <v>849.0666666666667</v>
      </c>
      <c r="T128" s="34">
        <f t="shared" si="63"/>
        <v>-972.8000000000001</v>
      </c>
      <c r="U128" s="34">
        <f t="shared" si="63"/>
        <v>550.4</v>
      </c>
      <c r="V128" s="35">
        <f t="shared" si="63"/>
        <v>849.0666666666667</v>
      </c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">
      <c r="A129" s="117">
        <v>1999</v>
      </c>
      <c r="B129" s="10">
        <f t="shared" si="61"/>
        <v>6.72</v>
      </c>
      <c r="C129" s="45"/>
      <c r="D129" s="34"/>
      <c r="E129" s="34"/>
      <c r="F129" s="34">
        <f>$B129*C$47</f>
        <v>-5107.2</v>
      </c>
      <c r="G129" s="34">
        <f aca="true" t="shared" si="64" ref="G129:V129">$B129*D$47</f>
        <v>2889.6</v>
      </c>
      <c r="H129" s="34">
        <f t="shared" si="64"/>
        <v>4457.6</v>
      </c>
      <c r="I129" s="34">
        <f t="shared" si="64"/>
        <v>-5107.2</v>
      </c>
      <c r="J129" s="34">
        <f t="shared" si="64"/>
        <v>2889.6</v>
      </c>
      <c r="K129" s="34">
        <f t="shared" si="64"/>
        <v>4457.6</v>
      </c>
      <c r="L129" s="34">
        <f t="shared" si="64"/>
        <v>-5107.2</v>
      </c>
      <c r="M129" s="34">
        <f t="shared" si="64"/>
        <v>2889.6</v>
      </c>
      <c r="N129" s="34">
        <f t="shared" si="64"/>
        <v>4457.6</v>
      </c>
      <c r="O129" s="34">
        <f t="shared" si="64"/>
        <v>-5107.2</v>
      </c>
      <c r="P129" s="34">
        <f t="shared" si="64"/>
        <v>2889.6</v>
      </c>
      <c r="Q129" s="34">
        <f t="shared" si="64"/>
        <v>4457.6</v>
      </c>
      <c r="R129" s="34">
        <f t="shared" si="64"/>
        <v>-5107.2</v>
      </c>
      <c r="S129" s="34">
        <f t="shared" si="64"/>
        <v>2889.6</v>
      </c>
      <c r="T129" s="34">
        <f t="shared" si="64"/>
        <v>4457.6</v>
      </c>
      <c r="U129" s="34">
        <f t="shared" si="64"/>
        <v>-5107.2</v>
      </c>
      <c r="V129" s="35">
        <f t="shared" si="64"/>
        <v>2889.6</v>
      </c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">
      <c r="A130" s="117">
        <v>2000</v>
      </c>
      <c r="B130" s="10">
        <f t="shared" si="61"/>
        <v>7</v>
      </c>
      <c r="C130" s="45"/>
      <c r="D130" s="34"/>
      <c r="E130" s="34"/>
      <c r="F130" s="34"/>
      <c r="G130" s="34">
        <f>$B130*C$47</f>
        <v>-5320</v>
      </c>
      <c r="H130" s="34">
        <f aca="true" t="shared" si="65" ref="H130:V130">$B130*D$47</f>
        <v>3010</v>
      </c>
      <c r="I130" s="34">
        <f t="shared" si="65"/>
        <v>4643.333333333334</v>
      </c>
      <c r="J130" s="34">
        <f t="shared" si="65"/>
        <v>-5320</v>
      </c>
      <c r="K130" s="34">
        <f t="shared" si="65"/>
        <v>3010</v>
      </c>
      <c r="L130" s="34">
        <f t="shared" si="65"/>
        <v>4643.333333333334</v>
      </c>
      <c r="M130" s="34">
        <f t="shared" si="65"/>
        <v>-5320</v>
      </c>
      <c r="N130" s="34">
        <f t="shared" si="65"/>
        <v>3010</v>
      </c>
      <c r="O130" s="34">
        <f t="shared" si="65"/>
        <v>4643.333333333334</v>
      </c>
      <c r="P130" s="34">
        <f t="shared" si="65"/>
        <v>-5320</v>
      </c>
      <c r="Q130" s="34">
        <f t="shared" si="65"/>
        <v>3010</v>
      </c>
      <c r="R130" s="34">
        <f t="shared" si="65"/>
        <v>4643.333333333334</v>
      </c>
      <c r="S130" s="34">
        <f t="shared" si="65"/>
        <v>-5320</v>
      </c>
      <c r="T130" s="34">
        <f t="shared" si="65"/>
        <v>3010</v>
      </c>
      <c r="U130" s="34">
        <f t="shared" si="65"/>
        <v>4643.333333333334</v>
      </c>
      <c r="V130" s="35">
        <f t="shared" si="65"/>
        <v>-5320</v>
      </c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">
      <c r="A131" s="117">
        <v>2001</v>
      </c>
      <c r="B131" s="10">
        <f t="shared" si="61"/>
        <v>2</v>
      </c>
      <c r="C131" s="45"/>
      <c r="D131" s="34"/>
      <c r="E131" s="34"/>
      <c r="F131" s="34"/>
      <c r="G131" s="34"/>
      <c r="H131" s="34">
        <f>$B131*C$47</f>
        <v>-1520</v>
      </c>
      <c r="I131" s="34">
        <f aca="true" t="shared" si="66" ref="I131:V131">$B131*D$47</f>
        <v>860</v>
      </c>
      <c r="J131" s="34">
        <f t="shared" si="66"/>
        <v>1326.6666666666667</v>
      </c>
      <c r="K131" s="34">
        <f t="shared" si="66"/>
        <v>-1520</v>
      </c>
      <c r="L131" s="34">
        <f t="shared" si="66"/>
        <v>860</v>
      </c>
      <c r="M131" s="34">
        <f t="shared" si="66"/>
        <v>1326.6666666666667</v>
      </c>
      <c r="N131" s="34">
        <f t="shared" si="66"/>
        <v>-1520</v>
      </c>
      <c r="O131" s="34">
        <f t="shared" si="66"/>
        <v>860</v>
      </c>
      <c r="P131" s="34">
        <f t="shared" si="66"/>
        <v>1326.6666666666667</v>
      </c>
      <c r="Q131" s="34">
        <f t="shared" si="66"/>
        <v>-1520</v>
      </c>
      <c r="R131" s="34">
        <f t="shared" si="66"/>
        <v>860</v>
      </c>
      <c r="S131" s="34">
        <f t="shared" si="66"/>
        <v>1326.6666666666667</v>
      </c>
      <c r="T131" s="34">
        <f t="shared" si="66"/>
        <v>-1520</v>
      </c>
      <c r="U131" s="34">
        <f t="shared" si="66"/>
        <v>860</v>
      </c>
      <c r="V131" s="35">
        <f t="shared" si="66"/>
        <v>1326.6666666666667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">
      <c r="A132" s="117">
        <v>2002</v>
      </c>
      <c r="B132" s="10">
        <f t="shared" si="61"/>
        <v>1</v>
      </c>
      <c r="C132" s="45"/>
      <c r="D132" s="34"/>
      <c r="E132" s="34"/>
      <c r="F132" s="34"/>
      <c r="G132" s="34"/>
      <c r="H132" s="34"/>
      <c r="I132" s="34">
        <f>$B132*C$47</f>
        <v>-760</v>
      </c>
      <c r="J132" s="34">
        <f aca="true" t="shared" si="67" ref="J132:V132">$B132*D$47</f>
        <v>430</v>
      </c>
      <c r="K132" s="34">
        <f t="shared" si="67"/>
        <v>663.3333333333334</v>
      </c>
      <c r="L132" s="34">
        <f t="shared" si="67"/>
        <v>-760</v>
      </c>
      <c r="M132" s="34">
        <f t="shared" si="67"/>
        <v>430</v>
      </c>
      <c r="N132" s="34">
        <f t="shared" si="67"/>
        <v>663.3333333333334</v>
      </c>
      <c r="O132" s="34">
        <f t="shared" si="67"/>
        <v>-760</v>
      </c>
      <c r="P132" s="34">
        <f t="shared" si="67"/>
        <v>430</v>
      </c>
      <c r="Q132" s="34">
        <f t="shared" si="67"/>
        <v>663.3333333333334</v>
      </c>
      <c r="R132" s="34">
        <f t="shared" si="67"/>
        <v>-760</v>
      </c>
      <c r="S132" s="34">
        <f t="shared" si="67"/>
        <v>430</v>
      </c>
      <c r="T132" s="34">
        <f t="shared" si="67"/>
        <v>663.3333333333334</v>
      </c>
      <c r="U132" s="34">
        <f t="shared" si="67"/>
        <v>-760</v>
      </c>
      <c r="V132" s="35">
        <f t="shared" si="67"/>
        <v>430</v>
      </c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">
      <c r="A133" s="117">
        <v>2003</v>
      </c>
      <c r="B133" s="10">
        <f t="shared" si="61"/>
        <v>0</v>
      </c>
      <c r="C133" s="45"/>
      <c r="D133" s="34"/>
      <c r="E133" s="34"/>
      <c r="F133" s="34"/>
      <c r="G133" s="34"/>
      <c r="H133" s="34"/>
      <c r="I133" s="34"/>
      <c r="J133" s="34">
        <f>$B133*C$47</f>
        <v>0</v>
      </c>
      <c r="K133" s="34">
        <f aca="true" t="shared" si="68" ref="K133:V133">$B133*D$47</f>
        <v>0</v>
      </c>
      <c r="L133" s="34">
        <f t="shared" si="68"/>
        <v>0</v>
      </c>
      <c r="M133" s="34">
        <f t="shared" si="68"/>
        <v>0</v>
      </c>
      <c r="N133" s="34">
        <f t="shared" si="68"/>
        <v>0</v>
      </c>
      <c r="O133" s="34">
        <f t="shared" si="68"/>
        <v>0</v>
      </c>
      <c r="P133" s="34">
        <f t="shared" si="68"/>
        <v>0</v>
      </c>
      <c r="Q133" s="34">
        <f t="shared" si="68"/>
        <v>0</v>
      </c>
      <c r="R133" s="34">
        <f t="shared" si="68"/>
        <v>0</v>
      </c>
      <c r="S133" s="34">
        <f t="shared" si="68"/>
        <v>0</v>
      </c>
      <c r="T133" s="34">
        <f t="shared" si="68"/>
        <v>0</v>
      </c>
      <c r="U133" s="34">
        <f t="shared" si="68"/>
        <v>0</v>
      </c>
      <c r="V133" s="35">
        <f t="shared" si="68"/>
        <v>0</v>
      </c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">
      <c r="A134" s="117">
        <v>2004</v>
      </c>
      <c r="B134" s="10">
        <f t="shared" si="61"/>
        <v>0</v>
      </c>
      <c r="C134" s="45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5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">
      <c r="A135" s="117">
        <v>2005</v>
      </c>
      <c r="B135" s="10">
        <f t="shared" si="61"/>
        <v>0</v>
      </c>
      <c r="C135" s="45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5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">
      <c r="A136" s="117">
        <v>2006</v>
      </c>
      <c r="B136" s="10">
        <f t="shared" si="61"/>
        <v>0</v>
      </c>
      <c r="C136" s="4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5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">
      <c r="A137" s="117">
        <v>2007</v>
      </c>
      <c r="B137" s="10">
        <f t="shared" si="61"/>
        <v>0</v>
      </c>
      <c r="C137" s="4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5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">
      <c r="A138" s="117">
        <v>2008</v>
      </c>
      <c r="B138" s="10">
        <f t="shared" si="61"/>
        <v>0</v>
      </c>
      <c r="C138" s="45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5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">
      <c r="A139" s="117">
        <v>2009</v>
      </c>
      <c r="B139" s="10">
        <f t="shared" si="61"/>
        <v>0</v>
      </c>
      <c r="C139" s="45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">
      <c r="A140" s="117">
        <v>2010</v>
      </c>
      <c r="B140" s="10">
        <f t="shared" si="61"/>
        <v>0</v>
      </c>
      <c r="C140" s="45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5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">
      <c r="A141" s="117">
        <v>2011</v>
      </c>
      <c r="B141" s="10">
        <f t="shared" si="61"/>
        <v>0</v>
      </c>
      <c r="C141" s="4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5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">
      <c r="A142" s="117">
        <v>2012</v>
      </c>
      <c r="B142" s="10">
        <f t="shared" si="61"/>
        <v>0</v>
      </c>
      <c r="C142" s="110"/>
      <c r="D142" s="13"/>
      <c r="E142" s="13"/>
      <c r="F142" s="13"/>
      <c r="G142" s="13"/>
      <c r="H142" s="13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5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">
      <c r="A143" s="117">
        <v>2013</v>
      </c>
      <c r="B143" s="10">
        <f t="shared" si="61"/>
        <v>0</v>
      </c>
      <c r="C143" s="110"/>
      <c r="D143" s="13"/>
      <c r="E143" s="13"/>
      <c r="F143" s="13"/>
      <c r="G143" s="13"/>
      <c r="H143" s="13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5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">
      <c r="A144" s="117">
        <v>2014</v>
      </c>
      <c r="B144" s="10">
        <f t="shared" si="61"/>
        <v>0</v>
      </c>
      <c r="C144" s="110"/>
      <c r="D144" s="13"/>
      <c r="E144" s="13"/>
      <c r="F144" s="13"/>
      <c r="G144" s="13"/>
      <c r="H144" s="13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5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">
      <c r="A145" s="117">
        <v>2015</v>
      </c>
      <c r="B145" s="10">
        <f t="shared" si="61"/>
        <v>0</v>
      </c>
      <c r="C145" s="110"/>
      <c r="D145" s="13"/>
      <c r="E145" s="13"/>
      <c r="F145" s="13"/>
      <c r="G145" s="13"/>
      <c r="H145" s="13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5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thickBot="1">
      <c r="A146" s="1" t="s">
        <v>168</v>
      </c>
      <c r="C146" s="46">
        <f>SUM(C126:C145)</f>
        <v>0</v>
      </c>
      <c r="D146" s="122">
        <f aca="true" t="shared" si="69" ref="D146:V146">SUM(D126:D145)</f>
        <v>0</v>
      </c>
      <c r="E146" s="122">
        <f t="shared" si="69"/>
        <v>-972.8000000000001</v>
      </c>
      <c r="F146" s="122">
        <f t="shared" si="69"/>
        <v>-4556.8</v>
      </c>
      <c r="G146" s="122">
        <f t="shared" si="69"/>
        <v>-1581.3333333333335</v>
      </c>
      <c r="H146" s="122">
        <f t="shared" si="69"/>
        <v>4974.8</v>
      </c>
      <c r="I146" s="122">
        <f t="shared" si="69"/>
        <v>186.53333333333376</v>
      </c>
      <c r="J146" s="122">
        <f t="shared" si="69"/>
        <v>175.33333333333326</v>
      </c>
      <c r="K146" s="122">
        <f t="shared" si="69"/>
        <v>5638.133333333333</v>
      </c>
      <c r="L146" s="122">
        <f t="shared" si="69"/>
        <v>186.53333333333376</v>
      </c>
      <c r="M146" s="122">
        <f t="shared" si="69"/>
        <v>175.33333333333326</v>
      </c>
      <c r="N146" s="122">
        <f t="shared" si="69"/>
        <v>5638.133333333333</v>
      </c>
      <c r="O146" s="122">
        <f t="shared" si="69"/>
        <v>186.53333333333376</v>
      </c>
      <c r="P146" s="122">
        <f t="shared" si="69"/>
        <v>175.33333333333326</v>
      </c>
      <c r="Q146" s="122">
        <f t="shared" si="69"/>
        <v>5638.133333333333</v>
      </c>
      <c r="R146" s="122">
        <f t="shared" si="69"/>
        <v>186.53333333333376</v>
      </c>
      <c r="S146" s="122">
        <f t="shared" si="69"/>
        <v>175.33333333333326</v>
      </c>
      <c r="T146" s="122">
        <f t="shared" si="69"/>
        <v>5638.133333333333</v>
      </c>
      <c r="U146" s="122">
        <f t="shared" si="69"/>
        <v>186.53333333333376</v>
      </c>
      <c r="V146" s="47">
        <f t="shared" si="69"/>
        <v>175.33333333333326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9:32" ht="1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2:32" ht="12.75" thickBot="1">
      <c r="B148" s="118" t="s">
        <v>217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">
      <c r="A149" s="117">
        <v>1996</v>
      </c>
      <c r="B149" s="10">
        <f aca="true" t="shared" si="70" ref="B149:B168">B101</f>
        <v>0</v>
      </c>
      <c r="C149" s="119">
        <f>$B149*C$61</f>
        <v>0</v>
      </c>
      <c r="D149" s="120">
        <f aca="true" t="shared" si="71" ref="D149:V149">$B149*D$61</f>
        <v>0</v>
      </c>
      <c r="E149" s="120">
        <f t="shared" si="71"/>
        <v>0</v>
      </c>
      <c r="F149" s="120">
        <f t="shared" si="71"/>
        <v>0</v>
      </c>
      <c r="G149" s="120">
        <f t="shared" si="71"/>
        <v>0</v>
      </c>
      <c r="H149" s="120">
        <f t="shared" si="71"/>
        <v>0</v>
      </c>
      <c r="I149" s="120">
        <f t="shared" si="71"/>
        <v>0</v>
      </c>
      <c r="J149" s="120">
        <f t="shared" si="71"/>
        <v>0</v>
      </c>
      <c r="K149" s="120">
        <f t="shared" si="71"/>
        <v>0</v>
      </c>
      <c r="L149" s="120">
        <f t="shared" si="71"/>
        <v>0</v>
      </c>
      <c r="M149" s="120">
        <f t="shared" si="71"/>
        <v>0</v>
      </c>
      <c r="N149" s="120">
        <f t="shared" si="71"/>
        <v>0</v>
      </c>
      <c r="O149" s="120">
        <f t="shared" si="71"/>
        <v>0</v>
      </c>
      <c r="P149" s="120">
        <f t="shared" si="71"/>
        <v>0</v>
      </c>
      <c r="Q149" s="120">
        <f t="shared" si="71"/>
        <v>0</v>
      </c>
      <c r="R149" s="120">
        <f t="shared" si="71"/>
        <v>0</v>
      </c>
      <c r="S149" s="120">
        <f t="shared" si="71"/>
        <v>0</v>
      </c>
      <c r="T149" s="120">
        <f t="shared" si="71"/>
        <v>0</v>
      </c>
      <c r="U149" s="120">
        <f t="shared" si="71"/>
        <v>0</v>
      </c>
      <c r="V149" s="121">
        <f t="shared" si="71"/>
        <v>0</v>
      </c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">
      <c r="A150" s="117">
        <v>1997</v>
      </c>
      <c r="B150" s="10">
        <f t="shared" si="70"/>
        <v>0</v>
      </c>
      <c r="C150" s="45"/>
      <c r="D150" s="34">
        <f>$B150*C$61</f>
        <v>0</v>
      </c>
      <c r="E150" s="34">
        <f aca="true" t="shared" si="72" ref="E150:V150">$B150*D$61</f>
        <v>0</v>
      </c>
      <c r="F150" s="34">
        <f t="shared" si="72"/>
        <v>0</v>
      </c>
      <c r="G150" s="34">
        <f t="shared" si="72"/>
        <v>0</v>
      </c>
      <c r="H150" s="34">
        <f t="shared" si="72"/>
        <v>0</v>
      </c>
      <c r="I150" s="34">
        <f t="shared" si="72"/>
        <v>0</v>
      </c>
      <c r="J150" s="34">
        <f t="shared" si="72"/>
        <v>0</v>
      </c>
      <c r="K150" s="34">
        <f t="shared" si="72"/>
        <v>0</v>
      </c>
      <c r="L150" s="34">
        <f t="shared" si="72"/>
        <v>0</v>
      </c>
      <c r="M150" s="34">
        <f t="shared" si="72"/>
        <v>0</v>
      </c>
      <c r="N150" s="34">
        <f t="shared" si="72"/>
        <v>0</v>
      </c>
      <c r="O150" s="34">
        <f t="shared" si="72"/>
        <v>0</v>
      </c>
      <c r="P150" s="34">
        <f t="shared" si="72"/>
        <v>0</v>
      </c>
      <c r="Q150" s="34">
        <f t="shared" si="72"/>
        <v>0</v>
      </c>
      <c r="R150" s="34">
        <f t="shared" si="72"/>
        <v>0</v>
      </c>
      <c r="S150" s="34">
        <f t="shared" si="72"/>
        <v>0</v>
      </c>
      <c r="T150" s="34">
        <f t="shared" si="72"/>
        <v>0</v>
      </c>
      <c r="U150" s="34">
        <f t="shared" si="72"/>
        <v>0</v>
      </c>
      <c r="V150" s="35">
        <f t="shared" si="72"/>
        <v>0</v>
      </c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">
      <c r="A151" s="117">
        <v>1998</v>
      </c>
      <c r="B151" s="10">
        <f t="shared" si="70"/>
        <v>1.28</v>
      </c>
      <c r="C151" s="45"/>
      <c r="D151" s="34"/>
      <c r="E151" s="34">
        <f>$B151*C$61</f>
        <v>-1120</v>
      </c>
      <c r="F151" s="34">
        <f aca="true" t="shared" si="73" ref="F151:V151">$B151*D$61</f>
        <v>-654.9333333333334</v>
      </c>
      <c r="G151" s="34">
        <f t="shared" si="73"/>
        <v>-1124.2666666666667</v>
      </c>
      <c r="H151" s="34">
        <f t="shared" si="73"/>
        <v>582.4</v>
      </c>
      <c r="I151" s="34">
        <f t="shared" si="73"/>
        <v>582.4</v>
      </c>
      <c r="J151" s="34">
        <f t="shared" si="73"/>
        <v>582.4</v>
      </c>
      <c r="K151" s="34">
        <f t="shared" si="73"/>
        <v>582.4</v>
      </c>
      <c r="L151" s="34">
        <f t="shared" si="73"/>
        <v>582.4</v>
      </c>
      <c r="M151" s="34">
        <f t="shared" si="73"/>
        <v>582.4</v>
      </c>
      <c r="N151" s="34">
        <f t="shared" si="73"/>
        <v>582.4</v>
      </c>
      <c r="O151" s="34">
        <f t="shared" si="73"/>
        <v>-1120</v>
      </c>
      <c r="P151" s="34">
        <f t="shared" si="73"/>
        <v>-654.9333333333334</v>
      </c>
      <c r="Q151" s="34">
        <f t="shared" si="73"/>
        <v>-1124.2666666666667</v>
      </c>
      <c r="R151" s="34">
        <f t="shared" si="73"/>
        <v>582.4</v>
      </c>
      <c r="S151" s="34">
        <f t="shared" si="73"/>
        <v>582.4</v>
      </c>
      <c r="T151" s="34">
        <f t="shared" si="73"/>
        <v>582.4</v>
      </c>
      <c r="U151" s="34">
        <f t="shared" si="73"/>
        <v>582.4</v>
      </c>
      <c r="V151" s="35">
        <f t="shared" si="73"/>
        <v>582.4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">
      <c r="A152" s="117">
        <v>1999</v>
      </c>
      <c r="B152" s="10">
        <f t="shared" si="70"/>
        <v>6.72</v>
      </c>
      <c r="C152" s="45"/>
      <c r="D152" s="34"/>
      <c r="E152" s="34"/>
      <c r="F152" s="34">
        <f>$B152*C$61</f>
        <v>-5880</v>
      </c>
      <c r="G152" s="34">
        <f aca="true" t="shared" si="74" ref="G152:V152">$B152*D$61</f>
        <v>-3438.4000000000005</v>
      </c>
      <c r="H152" s="34">
        <f t="shared" si="74"/>
        <v>-5902.4</v>
      </c>
      <c r="I152" s="34">
        <f t="shared" si="74"/>
        <v>3057.6</v>
      </c>
      <c r="J152" s="34">
        <f t="shared" si="74"/>
        <v>3057.6</v>
      </c>
      <c r="K152" s="34">
        <f t="shared" si="74"/>
        <v>3057.6</v>
      </c>
      <c r="L152" s="34">
        <f t="shared" si="74"/>
        <v>3057.6</v>
      </c>
      <c r="M152" s="34">
        <f t="shared" si="74"/>
        <v>3057.6</v>
      </c>
      <c r="N152" s="34">
        <f t="shared" si="74"/>
        <v>3057.6</v>
      </c>
      <c r="O152" s="34">
        <f t="shared" si="74"/>
        <v>3057.6</v>
      </c>
      <c r="P152" s="34">
        <f t="shared" si="74"/>
        <v>-5880</v>
      </c>
      <c r="Q152" s="34">
        <f t="shared" si="74"/>
        <v>-3438.4000000000005</v>
      </c>
      <c r="R152" s="34">
        <f t="shared" si="74"/>
        <v>-5902.4</v>
      </c>
      <c r="S152" s="34">
        <f t="shared" si="74"/>
        <v>3057.6</v>
      </c>
      <c r="T152" s="34">
        <f t="shared" si="74"/>
        <v>3057.6</v>
      </c>
      <c r="U152" s="34">
        <f t="shared" si="74"/>
        <v>3057.6</v>
      </c>
      <c r="V152" s="35">
        <f t="shared" si="74"/>
        <v>3057.6</v>
      </c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">
      <c r="A153" s="117">
        <v>2000</v>
      </c>
      <c r="B153" s="10">
        <f t="shared" si="70"/>
        <v>7</v>
      </c>
      <c r="C153" s="45"/>
      <c r="D153" s="34"/>
      <c r="E153" s="34"/>
      <c r="F153" s="34"/>
      <c r="G153" s="34">
        <f>$B153*C$61</f>
        <v>-6125</v>
      </c>
      <c r="H153" s="34">
        <f aca="true" t="shared" si="75" ref="H153:V153">$B153*D$61</f>
        <v>-3581.666666666667</v>
      </c>
      <c r="I153" s="34">
        <f t="shared" si="75"/>
        <v>-6148.333333333333</v>
      </c>
      <c r="J153" s="34">
        <f t="shared" si="75"/>
        <v>3185</v>
      </c>
      <c r="K153" s="34">
        <f t="shared" si="75"/>
        <v>3185</v>
      </c>
      <c r="L153" s="34">
        <f t="shared" si="75"/>
        <v>3185</v>
      </c>
      <c r="M153" s="34">
        <f t="shared" si="75"/>
        <v>3185</v>
      </c>
      <c r="N153" s="34">
        <f t="shared" si="75"/>
        <v>3185</v>
      </c>
      <c r="O153" s="34">
        <f t="shared" si="75"/>
        <v>3185</v>
      </c>
      <c r="P153" s="34">
        <f t="shared" si="75"/>
        <v>3185</v>
      </c>
      <c r="Q153" s="34">
        <f t="shared" si="75"/>
        <v>-6125</v>
      </c>
      <c r="R153" s="34">
        <f t="shared" si="75"/>
        <v>-3581.666666666667</v>
      </c>
      <c r="S153" s="34">
        <f t="shared" si="75"/>
        <v>-6148.333333333333</v>
      </c>
      <c r="T153" s="34">
        <f t="shared" si="75"/>
        <v>3185</v>
      </c>
      <c r="U153" s="34">
        <f t="shared" si="75"/>
        <v>3185</v>
      </c>
      <c r="V153" s="35">
        <f t="shared" si="75"/>
        <v>3185</v>
      </c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">
      <c r="A154" s="117">
        <v>2001</v>
      </c>
      <c r="B154" s="10">
        <f t="shared" si="70"/>
        <v>2</v>
      </c>
      <c r="C154" s="45"/>
      <c r="D154" s="34"/>
      <c r="E154" s="34"/>
      <c r="F154" s="34"/>
      <c r="G154" s="34"/>
      <c r="H154" s="34">
        <f>$B154*C$61</f>
        <v>-1750</v>
      </c>
      <c r="I154" s="34">
        <f aca="true" t="shared" si="76" ref="I154:V154">$B154*D$61</f>
        <v>-1023.3333333333335</v>
      </c>
      <c r="J154" s="34">
        <f t="shared" si="76"/>
        <v>-1756.6666666666665</v>
      </c>
      <c r="K154" s="34">
        <f t="shared" si="76"/>
        <v>910</v>
      </c>
      <c r="L154" s="34">
        <f t="shared" si="76"/>
        <v>910</v>
      </c>
      <c r="M154" s="34">
        <f t="shared" si="76"/>
        <v>910</v>
      </c>
      <c r="N154" s="34">
        <f t="shared" si="76"/>
        <v>910</v>
      </c>
      <c r="O154" s="34">
        <f t="shared" si="76"/>
        <v>910</v>
      </c>
      <c r="P154" s="34">
        <f t="shared" si="76"/>
        <v>910</v>
      </c>
      <c r="Q154" s="34">
        <f t="shared" si="76"/>
        <v>910</v>
      </c>
      <c r="R154" s="34">
        <f t="shared" si="76"/>
        <v>-1750</v>
      </c>
      <c r="S154" s="34">
        <f t="shared" si="76"/>
        <v>-1023.3333333333335</v>
      </c>
      <c r="T154" s="34">
        <f t="shared" si="76"/>
        <v>-1756.6666666666665</v>
      </c>
      <c r="U154" s="34">
        <f t="shared" si="76"/>
        <v>910</v>
      </c>
      <c r="V154" s="35">
        <f t="shared" si="76"/>
        <v>910</v>
      </c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">
      <c r="A155" s="117">
        <v>2002</v>
      </c>
      <c r="B155" s="10">
        <f t="shared" si="70"/>
        <v>1</v>
      </c>
      <c r="C155" s="45"/>
      <c r="D155" s="34"/>
      <c r="E155" s="34"/>
      <c r="F155" s="34"/>
      <c r="G155" s="34"/>
      <c r="H155" s="34"/>
      <c r="I155" s="34">
        <f>$B155*C$61</f>
        <v>-875</v>
      </c>
      <c r="J155" s="34">
        <f aca="true" t="shared" si="77" ref="J155:V155">$B155*D$61</f>
        <v>-511.66666666666674</v>
      </c>
      <c r="K155" s="34">
        <f t="shared" si="77"/>
        <v>-878.3333333333333</v>
      </c>
      <c r="L155" s="34">
        <f t="shared" si="77"/>
        <v>455</v>
      </c>
      <c r="M155" s="34">
        <f t="shared" si="77"/>
        <v>455</v>
      </c>
      <c r="N155" s="34">
        <f t="shared" si="77"/>
        <v>455</v>
      </c>
      <c r="O155" s="34">
        <f t="shared" si="77"/>
        <v>455</v>
      </c>
      <c r="P155" s="34">
        <f t="shared" si="77"/>
        <v>455</v>
      </c>
      <c r="Q155" s="34">
        <f t="shared" si="77"/>
        <v>455</v>
      </c>
      <c r="R155" s="34">
        <f t="shared" si="77"/>
        <v>455</v>
      </c>
      <c r="S155" s="34">
        <f t="shared" si="77"/>
        <v>-875</v>
      </c>
      <c r="T155" s="34">
        <f t="shared" si="77"/>
        <v>-511.66666666666674</v>
      </c>
      <c r="U155" s="34">
        <f t="shared" si="77"/>
        <v>-878.3333333333333</v>
      </c>
      <c r="V155" s="35">
        <f t="shared" si="77"/>
        <v>455</v>
      </c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">
      <c r="A156" s="117">
        <v>2003</v>
      </c>
      <c r="B156" s="10">
        <f t="shared" si="70"/>
        <v>0</v>
      </c>
      <c r="C156" s="45"/>
      <c r="D156" s="34"/>
      <c r="E156" s="34"/>
      <c r="F156" s="34"/>
      <c r="G156" s="34"/>
      <c r="H156" s="34"/>
      <c r="I156" s="34"/>
      <c r="J156" s="34">
        <f>$B156*C$61</f>
        <v>0</v>
      </c>
      <c r="K156" s="34">
        <f aca="true" t="shared" si="78" ref="K156:V156">$B156*D$61</f>
        <v>0</v>
      </c>
      <c r="L156" s="34">
        <f t="shared" si="78"/>
        <v>0</v>
      </c>
      <c r="M156" s="34">
        <f t="shared" si="78"/>
        <v>0</v>
      </c>
      <c r="N156" s="34">
        <f t="shared" si="78"/>
        <v>0</v>
      </c>
      <c r="O156" s="34">
        <f t="shared" si="78"/>
        <v>0</v>
      </c>
      <c r="P156" s="34">
        <f t="shared" si="78"/>
        <v>0</v>
      </c>
      <c r="Q156" s="34">
        <f t="shared" si="78"/>
        <v>0</v>
      </c>
      <c r="R156" s="34">
        <f t="shared" si="78"/>
        <v>0</v>
      </c>
      <c r="S156" s="34">
        <f t="shared" si="78"/>
        <v>0</v>
      </c>
      <c r="T156" s="34">
        <f t="shared" si="78"/>
        <v>0</v>
      </c>
      <c r="U156" s="34">
        <f t="shared" si="78"/>
        <v>0</v>
      </c>
      <c r="V156" s="35">
        <f t="shared" si="78"/>
        <v>0</v>
      </c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">
      <c r="A157" s="117">
        <v>2004</v>
      </c>
      <c r="B157" s="10">
        <f t="shared" si="70"/>
        <v>0</v>
      </c>
      <c r="C157" s="45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">
      <c r="A158" s="117">
        <v>2005</v>
      </c>
      <c r="B158" s="10">
        <f t="shared" si="70"/>
        <v>0</v>
      </c>
      <c r="C158" s="45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5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">
      <c r="A159" s="117">
        <v>2006</v>
      </c>
      <c r="B159" s="10">
        <f t="shared" si="70"/>
        <v>0</v>
      </c>
      <c r="C159" s="45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5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">
      <c r="A160" s="117">
        <v>2007</v>
      </c>
      <c r="B160" s="10">
        <f t="shared" si="70"/>
        <v>0</v>
      </c>
      <c r="C160" s="45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5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">
      <c r="A161" s="117">
        <v>2008</v>
      </c>
      <c r="B161" s="10">
        <f t="shared" si="70"/>
        <v>0</v>
      </c>
      <c r="C161" s="45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5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">
      <c r="A162" s="117">
        <v>2009</v>
      </c>
      <c r="B162" s="10">
        <f t="shared" si="70"/>
        <v>0</v>
      </c>
      <c r="C162" s="45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5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">
      <c r="A163" s="117">
        <v>2010</v>
      </c>
      <c r="B163" s="10">
        <f t="shared" si="70"/>
        <v>0</v>
      </c>
      <c r="C163" s="45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5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">
      <c r="A164" s="117">
        <v>2011</v>
      </c>
      <c r="B164" s="10">
        <f t="shared" si="70"/>
        <v>0</v>
      </c>
      <c r="C164" s="45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5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">
      <c r="A165" s="117">
        <v>2012</v>
      </c>
      <c r="B165" s="10">
        <f t="shared" si="70"/>
        <v>0</v>
      </c>
      <c r="C165" s="110"/>
      <c r="D165" s="13"/>
      <c r="E165" s="13"/>
      <c r="F165" s="13"/>
      <c r="G165" s="13"/>
      <c r="H165" s="13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">
      <c r="A166" s="117">
        <v>2013</v>
      </c>
      <c r="B166" s="10">
        <f t="shared" si="70"/>
        <v>0</v>
      </c>
      <c r="C166" s="110"/>
      <c r="D166" s="13"/>
      <c r="E166" s="13"/>
      <c r="F166" s="13"/>
      <c r="G166" s="13"/>
      <c r="H166" s="13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5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">
      <c r="A167" s="117">
        <v>2014</v>
      </c>
      <c r="B167" s="10">
        <f t="shared" si="70"/>
        <v>0</v>
      </c>
      <c r="C167" s="110"/>
      <c r="D167" s="13"/>
      <c r="E167" s="13"/>
      <c r="F167" s="13"/>
      <c r="G167" s="13"/>
      <c r="H167" s="13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5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">
      <c r="A168" s="117">
        <v>2015</v>
      </c>
      <c r="B168" s="10">
        <f t="shared" si="70"/>
        <v>0</v>
      </c>
      <c r="C168" s="110"/>
      <c r="D168" s="13"/>
      <c r="E168" s="13"/>
      <c r="F168" s="13"/>
      <c r="G168" s="13"/>
      <c r="H168" s="13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5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thickBot="1">
      <c r="A169" s="1" t="s">
        <v>168</v>
      </c>
      <c r="C169" s="46">
        <f>SUM(C149:C168)</f>
        <v>0</v>
      </c>
      <c r="D169" s="122">
        <f aca="true" t="shared" si="79" ref="D169:V169">SUM(D149:D168)</f>
        <v>0</v>
      </c>
      <c r="E169" s="122">
        <f t="shared" si="79"/>
        <v>-1120</v>
      </c>
      <c r="F169" s="122">
        <f t="shared" si="79"/>
        <v>-6534.933333333333</v>
      </c>
      <c r="G169" s="122">
        <f t="shared" si="79"/>
        <v>-10687.666666666668</v>
      </c>
      <c r="H169" s="122">
        <f t="shared" si="79"/>
        <v>-10651.666666666668</v>
      </c>
      <c r="I169" s="122">
        <f t="shared" si="79"/>
        <v>-4406.666666666666</v>
      </c>
      <c r="J169" s="122">
        <f t="shared" si="79"/>
        <v>4556.666666666667</v>
      </c>
      <c r="K169" s="122">
        <f t="shared" si="79"/>
        <v>6856.666666666667</v>
      </c>
      <c r="L169" s="122">
        <f t="shared" si="79"/>
        <v>8190</v>
      </c>
      <c r="M169" s="122">
        <f t="shared" si="79"/>
        <v>8190</v>
      </c>
      <c r="N169" s="122">
        <f t="shared" si="79"/>
        <v>8190</v>
      </c>
      <c r="O169" s="122">
        <f t="shared" si="79"/>
        <v>6487.6</v>
      </c>
      <c r="P169" s="122">
        <f t="shared" si="79"/>
        <v>-1984.9333333333334</v>
      </c>
      <c r="Q169" s="122">
        <f t="shared" si="79"/>
        <v>-9322.666666666668</v>
      </c>
      <c r="R169" s="122">
        <f t="shared" si="79"/>
        <v>-10196.666666666668</v>
      </c>
      <c r="S169" s="122">
        <f t="shared" si="79"/>
        <v>-4406.666666666666</v>
      </c>
      <c r="T169" s="122">
        <f t="shared" si="79"/>
        <v>4556.666666666667</v>
      </c>
      <c r="U169" s="122">
        <f t="shared" si="79"/>
        <v>6856.666666666667</v>
      </c>
      <c r="V169" s="47">
        <f t="shared" si="79"/>
        <v>8190</v>
      </c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9:32" ht="1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2:32" ht="12.75" thickBot="1">
      <c r="B171" s="118" t="s">
        <v>218</v>
      </c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">
      <c r="A172" s="117">
        <v>1996</v>
      </c>
      <c r="B172" s="10">
        <f aca="true" t="shared" si="80" ref="B172:B191">B101</f>
        <v>0</v>
      </c>
      <c r="C172" s="119">
        <f>$B172*C$75</f>
        <v>0</v>
      </c>
      <c r="D172" s="120">
        <f aca="true" t="shared" si="81" ref="D172:V172">$B172*D$75</f>
        <v>0</v>
      </c>
      <c r="E172" s="120">
        <f t="shared" si="81"/>
        <v>0</v>
      </c>
      <c r="F172" s="120">
        <f t="shared" si="81"/>
        <v>0</v>
      </c>
      <c r="G172" s="120">
        <f t="shared" si="81"/>
        <v>0</v>
      </c>
      <c r="H172" s="120">
        <f t="shared" si="81"/>
        <v>0</v>
      </c>
      <c r="I172" s="120">
        <f t="shared" si="81"/>
        <v>0</v>
      </c>
      <c r="J172" s="120">
        <f t="shared" si="81"/>
        <v>0</v>
      </c>
      <c r="K172" s="120">
        <f t="shared" si="81"/>
        <v>0</v>
      </c>
      <c r="L172" s="120">
        <f t="shared" si="81"/>
        <v>0</v>
      </c>
      <c r="M172" s="120">
        <f t="shared" si="81"/>
        <v>0</v>
      </c>
      <c r="N172" s="120">
        <f t="shared" si="81"/>
        <v>0</v>
      </c>
      <c r="O172" s="120">
        <f t="shared" si="81"/>
        <v>0</v>
      </c>
      <c r="P172" s="120">
        <f t="shared" si="81"/>
        <v>0</v>
      </c>
      <c r="Q172" s="120">
        <f t="shared" si="81"/>
        <v>0</v>
      </c>
      <c r="R172" s="120">
        <f t="shared" si="81"/>
        <v>0</v>
      </c>
      <c r="S172" s="120">
        <f t="shared" si="81"/>
        <v>0</v>
      </c>
      <c r="T172" s="120">
        <f t="shared" si="81"/>
        <v>0</v>
      </c>
      <c r="U172" s="120">
        <f t="shared" si="81"/>
        <v>0</v>
      </c>
      <c r="V172" s="121">
        <f t="shared" si="81"/>
        <v>0</v>
      </c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">
      <c r="A173" s="117">
        <v>1997</v>
      </c>
      <c r="B173" s="10">
        <f t="shared" si="80"/>
        <v>0</v>
      </c>
      <c r="C173" s="45"/>
      <c r="D173" s="34">
        <f>$B173*C$75</f>
        <v>0</v>
      </c>
      <c r="E173" s="34">
        <f aca="true" t="shared" si="82" ref="E173:V173">$B173*D$75</f>
        <v>0</v>
      </c>
      <c r="F173" s="34">
        <f t="shared" si="82"/>
        <v>0</v>
      </c>
      <c r="G173" s="34">
        <f t="shared" si="82"/>
        <v>0</v>
      </c>
      <c r="H173" s="34">
        <f t="shared" si="82"/>
        <v>0</v>
      </c>
      <c r="I173" s="34">
        <f t="shared" si="82"/>
        <v>0</v>
      </c>
      <c r="J173" s="34">
        <f t="shared" si="82"/>
        <v>0</v>
      </c>
      <c r="K173" s="34">
        <f t="shared" si="82"/>
        <v>0</v>
      </c>
      <c r="L173" s="34">
        <f t="shared" si="82"/>
        <v>0</v>
      </c>
      <c r="M173" s="34">
        <f t="shared" si="82"/>
        <v>0</v>
      </c>
      <c r="N173" s="34">
        <f t="shared" si="82"/>
        <v>0</v>
      </c>
      <c r="O173" s="34">
        <f t="shared" si="82"/>
        <v>0</v>
      </c>
      <c r="P173" s="34">
        <f t="shared" si="82"/>
        <v>0</v>
      </c>
      <c r="Q173" s="34">
        <f t="shared" si="82"/>
        <v>0</v>
      </c>
      <c r="R173" s="34">
        <f t="shared" si="82"/>
        <v>0</v>
      </c>
      <c r="S173" s="34">
        <f t="shared" si="82"/>
        <v>0</v>
      </c>
      <c r="T173" s="34">
        <f t="shared" si="82"/>
        <v>0</v>
      </c>
      <c r="U173" s="34">
        <f t="shared" si="82"/>
        <v>0</v>
      </c>
      <c r="V173" s="35">
        <f t="shared" si="82"/>
        <v>0</v>
      </c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">
      <c r="A174" s="117">
        <v>1998</v>
      </c>
      <c r="B174" s="10">
        <f t="shared" si="80"/>
        <v>1.28</v>
      </c>
      <c r="C174" s="45"/>
      <c r="D174" s="34"/>
      <c r="E174" s="34">
        <f>$B174*C$75</f>
        <v>-938.6666666666666</v>
      </c>
      <c r="F174" s="34">
        <f aca="true" t="shared" si="83" ref="F174:V174">$B174*D$75</f>
        <v>-401.0666666666667</v>
      </c>
      <c r="G174" s="34">
        <f t="shared" si="83"/>
        <v>-401.0666666666667</v>
      </c>
      <c r="H174" s="34">
        <f t="shared" si="83"/>
        <v>-401.0666666666667</v>
      </c>
      <c r="I174" s="34">
        <f t="shared" si="83"/>
        <v>-401.0666666666667</v>
      </c>
      <c r="J174" s="34">
        <f t="shared" si="83"/>
        <v>-401.0666666666667</v>
      </c>
      <c r="K174" s="34">
        <f t="shared" si="83"/>
        <v>-401.0666666666667</v>
      </c>
      <c r="L174" s="34">
        <f t="shared" si="83"/>
        <v>-401.0666666666667</v>
      </c>
      <c r="M174" s="34">
        <f t="shared" si="83"/>
        <v>320</v>
      </c>
      <c r="N174" s="34">
        <f t="shared" si="83"/>
        <v>320</v>
      </c>
      <c r="O174" s="34">
        <f t="shared" si="83"/>
        <v>320</v>
      </c>
      <c r="P174" s="34">
        <f t="shared" si="83"/>
        <v>320</v>
      </c>
      <c r="Q174" s="34">
        <f t="shared" si="83"/>
        <v>320</v>
      </c>
      <c r="R174" s="34">
        <f t="shared" si="83"/>
        <v>320</v>
      </c>
      <c r="S174" s="34">
        <f t="shared" si="83"/>
        <v>320</v>
      </c>
      <c r="T174" s="34">
        <f t="shared" si="83"/>
        <v>320</v>
      </c>
      <c r="U174" s="34">
        <f t="shared" si="83"/>
        <v>320</v>
      </c>
      <c r="V174" s="35">
        <f t="shared" si="83"/>
        <v>320</v>
      </c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">
      <c r="A175" s="117">
        <v>1999</v>
      </c>
      <c r="B175" s="10">
        <f t="shared" si="80"/>
        <v>6.72</v>
      </c>
      <c r="C175" s="45"/>
      <c r="D175" s="34"/>
      <c r="E175" s="34"/>
      <c r="F175" s="34">
        <f>$B175*C$75</f>
        <v>-4927.999999999999</v>
      </c>
      <c r="G175" s="34">
        <f aca="true" t="shared" si="84" ref="G175:V175">$B175*D$75</f>
        <v>-2105.6000000000004</v>
      </c>
      <c r="H175" s="34">
        <f t="shared" si="84"/>
        <v>-2105.6000000000004</v>
      </c>
      <c r="I175" s="34">
        <f t="shared" si="84"/>
        <v>-2105.6000000000004</v>
      </c>
      <c r="J175" s="34">
        <f t="shared" si="84"/>
        <v>-2105.6000000000004</v>
      </c>
      <c r="K175" s="34">
        <f t="shared" si="84"/>
        <v>-2105.6000000000004</v>
      </c>
      <c r="L175" s="34">
        <f t="shared" si="84"/>
        <v>-2105.6000000000004</v>
      </c>
      <c r="M175" s="34">
        <f t="shared" si="84"/>
        <v>-2105.6000000000004</v>
      </c>
      <c r="N175" s="34">
        <f t="shared" si="84"/>
        <v>1680</v>
      </c>
      <c r="O175" s="34">
        <f t="shared" si="84"/>
        <v>1680</v>
      </c>
      <c r="P175" s="34">
        <f t="shared" si="84"/>
        <v>1680</v>
      </c>
      <c r="Q175" s="34">
        <f t="shared" si="84"/>
        <v>1680</v>
      </c>
      <c r="R175" s="34">
        <f t="shared" si="84"/>
        <v>1680</v>
      </c>
      <c r="S175" s="34">
        <f t="shared" si="84"/>
        <v>1680</v>
      </c>
      <c r="T175" s="34">
        <f t="shared" si="84"/>
        <v>1680</v>
      </c>
      <c r="U175" s="34">
        <f t="shared" si="84"/>
        <v>1680</v>
      </c>
      <c r="V175" s="35">
        <f t="shared" si="84"/>
        <v>1680</v>
      </c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">
      <c r="A176" s="117">
        <v>2000</v>
      </c>
      <c r="B176" s="10">
        <f t="shared" si="80"/>
        <v>7</v>
      </c>
      <c r="C176" s="45"/>
      <c r="D176" s="34"/>
      <c r="E176" s="34"/>
      <c r="F176" s="34"/>
      <c r="G176" s="34">
        <f>$B176*C$75</f>
        <v>-5133.333333333333</v>
      </c>
      <c r="H176" s="34">
        <f aca="true" t="shared" si="85" ref="H176:V176">$B176*D$75</f>
        <v>-2193.3333333333335</v>
      </c>
      <c r="I176" s="34">
        <f t="shared" si="85"/>
        <v>-2193.3333333333335</v>
      </c>
      <c r="J176" s="34">
        <f t="shared" si="85"/>
        <v>-2193.3333333333335</v>
      </c>
      <c r="K176" s="34">
        <f t="shared" si="85"/>
        <v>-2193.3333333333335</v>
      </c>
      <c r="L176" s="34">
        <f t="shared" si="85"/>
        <v>-2193.3333333333335</v>
      </c>
      <c r="M176" s="34">
        <f t="shared" si="85"/>
        <v>-2193.3333333333335</v>
      </c>
      <c r="N176" s="34">
        <f t="shared" si="85"/>
        <v>-2193.3333333333335</v>
      </c>
      <c r="O176" s="34">
        <f t="shared" si="85"/>
        <v>1750</v>
      </c>
      <c r="P176" s="34">
        <f t="shared" si="85"/>
        <v>1750</v>
      </c>
      <c r="Q176" s="34">
        <f t="shared" si="85"/>
        <v>1750</v>
      </c>
      <c r="R176" s="34">
        <f t="shared" si="85"/>
        <v>1750</v>
      </c>
      <c r="S176" s="34">
        <f t="shared" si="85"/>
        <v>1750</v>
      </c>
      <c r="T176" s="34">
        <f t="shared" si="85"/>
        <v>1750</v>
      </c>
      <c r="U176" s="34">
        <f t="shared" si="85"/>
        <v>1750</v>
      </c>
      <c r="V176" s="35">
        <f t="shared" si="85"/>
        <v>1750</v>
      </c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">
      <c r="A177" s="117">
        <v>2001</v>
      </c>
      <c r="B177" s="10">
        <f t="shared" si="80"/>
        <v>2</v>
      </c>
      <c r="C177" s="45"/>
      <c r="D177" s="34"/>
      <c r="E177" s="34"/>
      <c r="F177" s="34"/>
      <c r="G177" s="34"/>
      <c r="H177" s="34">
        <f>$B177*C$75</f>
        <v>-1466.6666666666665</v>
      </c>
      <c r="I177" s="34">
        <f aca="true" t="shared" si="86" ref="I177:V177">$B177*D$75</f>
        <v>-626.6666666666667</v>
      </c>
      <c r="J177" s="34">
        <f t="shared" si="86"/>
        <v>-626.6666666666667</v>
      </c>
      <c r="K177" s="34">
        <f t="shared" si="86"/>
        <v>-626.6666666666667</v>
      </c>
      <c r="L177" s="34">
        <f t="shared" si="86"/>
        <v>-626.6666666666667</v>
      </c>
      <c r="M177" s="34">
        <f t="shared" si="86"/>
        <v>-626.6666666666667</v>
      </c>
      <c r="N177" s="34">
        <f t="shared" si="86"/>
        <v>-626.6666666666667</v>
      </c>
      <c r="O177" s="34">
        <f t="shared" si="86"/>
        <v>-626.6666666666667</v>
      </c>
      <c r="P177" s="34">
        <f t="shared" si="86"/>
        <v>500</v>
      </c>
      <c r="Q177" s="34">
        <f t="shared" si="86"/>
        <v>500</v>
      </c>
      <c r="R177" s="34">
        <f t="shared" si="86"/>
        <v>500</v>
      </c>
      <c r="S177" s="34">
        <f t="shared" si="86"/>
        <v>500</v>
      </c>
      <c r="T177" s="34">
        <f t="shared" si="86"/>
        <v>500</v>
      </c>
      <c r="U177" s="34">
        <f t="shared" si="86"/>
        <v>500</v>
      </c>
      <c r="V177" s="35">
        <f t="shared" si="86"/>
        <v>500</v>
      </c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">
      <c r="A178" s="117">
        <v>2002</v>
      </c>
      <c r="B178" s="10">
        <f t="shared" si="80"/>
        <v>1</v>
      </c>
      <c r="C178" s="45"/>
      <c r="D178" s="34"/>
      <c r="E178" s="34"/>
      <c r="F178" s="34"/>
      <c r="G178" s="34"/>
      <c r="H178" s="34"/>
      <c r="I178" s="34">
        <f>$B178*C$75</f>
        <v>-733.3333333333333</v>
      </c>
      <c r="J178" s="34">
        <f aca="true" t="shared" si="87" ref="J178:V178">$B178*D$75</f>
        <v>-313.33333333333337</v>
      </c>
      <c r="K178" s="34">
        <f t="shared" si="87"/>
        <v>-313.33333333333337</v>
      </c>
      <c r="L178" s="34">
        <f t="shared" si="87"/>
        <v>-313.33333333333337</v>
      </c>
      <c r="M178" s="34">
        <f t="shared" si="87"/>
        <v>-313.33333333333337</v>
      </c>
      <c r="N178" s="34">
        <f t="shared" si="87"/>
        <v>-313.33333333333337</v>
      </c>
      <c r="O178" s="34">
        <f t="shared" si="87"/>
        <v>-313.33333333333337</v>
      </c>
      <c r="P178" s="34">
        <f t="shared" si="87"/>
        <v>-313.33333333333337</v>
      </c>
      <c r="Q178" s="34">
        <f t="shared" si="87"/>
        <v>250</v>
      </c>
      <c r="R178" s="34">
        <f t="shared" si="87"/>
        <v>250</v>
      </c>
      <c r="S178" s="34">
        <f t="shared" si="87"/>
        <v>250</v>
      </c>
      <c r="T178" s="34">
        <f t="shared" si="87"/>
        <v>250</v>
      </c>
      <c r="U178" s="34">
        <f t="shared" si="87"/>
        <v>250</v>
      </c>
      <c r="V178" s="35">
        <f t="shared" si="87"/>
        <v>250</v>
      </c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">
      <c r="A179" s="117">
        <v>2003</v>
      </c>
      <c r="B179" s="10">
        <f t="shared" si="80"/>
        <v>0</v>
      </c>
      <c r="C179" s="45"/>
      <c r="D179" s="34"/>
      <c r="E179" s="34"/>
      <c r="F179" s="34"/>
      <c r="G179" s="34"/>
      <c r="H179" s="34"/>
      <c r="I179" s="34"/>
      <c r="J179" s="34">
        <f>$B179*C$75</f>
        <v>0</v>
      </c>
      <c r="K179" s="34">
        <f aca="true" t="shared" si="88" ref="K179:V179">$B179*D$75</f>
        <v>0</v>
      </c>
      <c r="L179" s="34">
        <f t="shared" si="88"/>
        <v>0</v>
      </c>
      <c r="M179" s="34">
        <f t="shared" si="88"/>
        <v>0</v>
      </c>
      <c r="N179" s="34">
        <f t="shared" si="88"/>
        <v>0</v>
      </c>
      <c r="O179" s="34">
        <f t="shared" si="88"/>
        <v>0</v>
      </c>
      <c r="P179" s="34">
        <f t="shared" si="88"/>
        <v>0</v>
      </c>
      <c r="Q179" s="34">
        <f t="shared" si="88"/>
        <v>0</v>
      </c>
      <c r="R179" s="34">
        <f t="shared" si="88"/>
        <v>0</v>
      </c>
      <c r="S179" s="34">
        <f t="shared" si="88"/>
        <v>0</v>
      </c>
      <c r="T179" s="34">
        <f t="shared" si="88"/>
        <v>0</v>
      </c>
      <c r="U179" s="34">
        <f t="shared" si="88"/>
        <v>0</v>
      </c>
      <c r="V179" s="35">
        <f t="shared" si="88"/>
        <v>0</v>
      </c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">
      <c r="A180" s="117">
        <v>2004</v>
      </c>
      <c r="B180" s="10">
        <f t="shared" si="80"/>
        <v>0</v>
      </c>
      <c r="C180" s="45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5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">
      <c r="A181" s="117">
        <v>2005</v>
      </c>
      <c r="B181" s="10">
        <f t="shared" si="80"/>
        <v>0</v>
      </c>
      <c r="C181" s="45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5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">
      <c r="A182" s="117">
        <v>2006</v>
      </c>
      <c r="B182" s="10">
        <f t="shared" si="80"/>
        <v>0</v>
      </c>
      <c r="C182" s="4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5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">
      <c r="A183" s="117">
        <v>2007</v>
      </c>
      <c r="B183" s="10">
        <f t="shared" si="80"/>
        <v>0</v>
      </c>
      <c r="C183" s="45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5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">
      <c r="A184" s="117">
        <v>2008</v>
      </c>
      <c r="B184" s="10">
        <f t="shared" si="80"/>
        <v>0</v>
      </c>
      <c r="C184" s="45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5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">
      <c r="A185" s="117">
        <v>2009</v>
      </c>
      <c r="B185" s="10">
        <f t="shared" si="80"/>
        <v>0</v>
      </c>
      <c r="C185" s="45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5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">
      <c r="A186" s="117">
        <v>2010</v>
      </c>
      <c r="B186" s="10">
        <f t="shared" si="80"/>
        <v>0</v>
      </c>
      <c r="C186" s="45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5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">
      <c r="A187" s="117">
        <v>2011</v>
      </c>
      <c r="B187" s="10">
        <f t="shared" si="80"/>
        <v>0</v>
      </c>
      <c r="C187" s="45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5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">
      <c r="A188" s="117">
        <v>2012</v>
      </c>
      <c r="B188" s="10">
        <f t="shared" si="80"/>
        <v>0</v>
      </c>
      <c r="C188" s="110"/>
      <c r="D188" s="13"/>
      <c r="E188" s="13"/>
      <c r="F188" s="13"/>
      <c r="G188" s="13"/>
      <c r="H188" s="13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5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">
      <c r="A189" s="117">
        <v>2013</v>
      </c>
      <c r="B189" s="10">
        <f t="shared" si="80"/>
        <v>0</v>
      </c>
      <c r="C189" s="110"/>
      <c r="D189" s="13"/>
      <c r="E189" s="13"/>
      <c r="F189" s="13"/>
      <c r="G189" s="13"/>
      <c r="H189" s="13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5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">
      <c r="A190" s="117">
        <v>2014</v>
      </c>
      <c r="B190" s="10">
        <f t="shared" si="80"/>
        <v>0</v>
      </c>
      <c r="C190" s="110"/>
      <c r="D190" s="13"/>
      <c r="E190" s="13"/>
      <c r="F190" s="13"/>
      <c r="G190" s="13"/>
      <c r="H190" s="13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5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">
      <c r="A191" s="117">
        <v>2015</v>
      </c>
      <c r="B191" s="10">
        <f t="shared" si="80"/>
        <v>0</v>
      </c>
      <c r="C191" s="110"/>
      <c r="D191" s="13"/>
      <c r="E191" s="13"/>
      <c r="F191" s="13"/>
      <c r="G191" s="13"/>
      <c r="H191" s="13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5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thickBot="1">
      <c r="A192" s="1" t="s">
        <v>168</v>
      </c>
      <c r="C192" s="46">
        <f>SUM(C172:C191)</f>
        <v>0</v>
      </c>
      <c r="D192" s="122">
        <f aca="true" t="shared" si="89" ref="D192:V192">SUM(D172:D191)</f>
        <v>0</v>
      </c>
      <c r="E192" s="122">
        <f t="shared" si="89"/>
        <v>-938.6666666666666</v>
      </c>
      <c r="F192" s="122">
        <f t="shared" si="89"/>
        <v>-5329.066666666666</v>
      </c>
      <c r="G192" s="122">
        <f t="shared" si="89"/>
        <v>-7640</v>
      </c>
      <c r="H192" s="122">
        <f t="shared" si="89"/>
        <v>-6166.666666666666</v>
      </c>
      <c r="I192" s="122">
        <f t="shared" si="89"/>
        <v>-6060</v>
      </c>
      <c r="J192" s="122">
        <f t="shared" si="89"/>
        <v>-5640</v>
      </c>
      <c r="K192" s="122">
        <f t="shared" si="89"/>
        <v>-5640</v>
      </c>
      <c r="L192" s="122">
        <f t="shared" si="89"/>
        <v>-5640</v>
      </c>
      <c r="M192" s="122">
        <f t="shared" si="89"/>
        <v>-4918.933333333333</v>
      </c>
      <c r="N192" s="122">
        <f t="shared" si="89"/>
        <v>-1133.3333333333335</v>
      </c>
      <c r="O192" s="122">
        <f t="shared" si="89"/>
        <v>2809.9999999999995</v>
      </c>
      <c r="P192" s="122">
        <f t="shared" si="89"/>
        <v>3936.6666666666665</v>
      </c>
      <c r="Q192" s="122">
        <f t="shared" si="89"/>
        <v>4500</v>
      </c>
      <c r="R192" s="122">
        <f t="shared" si="89"/>
        <v>4500</v>
      </c>
      <c r="S192" s="122">
        <f t="shared" si="89"/>
        <v>4500</v>
      </c>
      <c r="T192" s="122">
        <f t="shared" si="89"/>
        <v>4500</v>
      </c>
      <c r="U192" s="122">
        <f t="shared" si="89"/>
        <v>4500</v>
      </c>
      <c r="V192" s="47">
        <f t="shared" si="89"/>
        <v>4500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9:32" ht="1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2:32" ht="12.75" thickBot="1">
      <c r="B194" s="118" t="s">
        <v>219</v>
      </c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">
      <c r="A195" s="117">
        <v>1996</v>
      </c>
      <c r="B195" s="10">
        <f aca="true" t="shared" si="90" ref="B195:B214">B101</f>
        <v>0</v>
      </c>
      <c r="C195" s="119">
        <f>$B195*($D$94+$E$94)</f>
        <v>0</v>
      </c>
      <c r="D195" s="120">
        <f aca="true" t="shared" si="91" ref="D195:V202">$B195*($D$94+$E$94)</f>
        <v>0</v>
      </c>
      <c r="E195" s="120">
        <f t="shared" si="91"/>
        <v>0</v>
      </c>
      <c r="F195" s="120">
        <f t="shared" si="91"/>
        <v>0</v>
      </c>
      <c r="G195" s="120">
        <f t="shared" si="91"/>
        <v>0</v>
      </c>
      <c r="H195" s="120">
        <f t="shared" si="91"/>
        <v>0</v>
      </c>
      <c r="I195" s="120">
        <f t="shared" si="91"/>
        <v>0</v>
      </c>
      <c r="J195" s="120">
        <f t="shared" si="91"/>
        <v>0</v>
      </c>
      <c r="K195" s="120">
        <f t="shared" si="91"/>
        <v>0</v>
      </c>
      <c r="L195" s="120">
        <f t="shared" si="91"/>
        <v>0</v>
      </c>
      <c r="M195" s="120">
        <f t="shared" si="91"/>
        <v>0</v>
      </c>
      <c r="N195" s="120">
        <f t="shared" si="91"/>
        <v>0</v>
      </c>
      <c r="O195" s="120">
        <f t="shared" si="91"/>
        <v>0</v>
      </c>
      <c r="P195" s="120">
        <f t="shared" si="91"/>
        <v>0</v>
      </c>
      <c r="Q195" s="120">
        <f t="shared" si="91"/>
        <v>0</v>
      </c>
      <c r="R195" s="120">
        <f t="shared" si="91"/>
        <v>0</v>
      </c>
      <c r="S195" s="120">
        <f t="shared" si="91"/>
        <v>0</v>
      </c>
      <c r="T195" s="120">
        <f t="shared" si="91"/>
        <v>0</v>
      </c>
      <c r="U195" s="120">
        <f t="shared" si="91"/>
        <v>0</v>
      </c>
      <c r="V195" s="121">
        <f t="shared" si="91"/>
        <v>0</v>
      </c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">
      <c r="A196" s="117">
        <v>1997</v>
      </c>
      <c r="B196" s="10">
        <f t="shared" si="90"/>
        <v>0</v>
      </c>
      <c r="C196" s="45"/>
      <c r="D196" s="34">
        <f>$B196*($D$94+$E$94)</f>
        <v>0</v>
      </c>
      <c r="E196" s="34">
        <f t="shared" si="91"/>
        <v>0</v>
      </c>
      <c r="F196" s="34">
        <f t="shared" si="91"/>
        <v>0</v>
      </c>
      <c r="G196" s="34">
        <f t="shared" si="91"/>
        <v>0</v>
      </c>
      <c r="H196" s="34">
        <f t="shared" si="91"/>
        <v>0</v>
      </c>
      <c r="I196" s="34">
        <f t="shared" si="91"/>
        <v>0</v>
      </c>
      <c r="J196" s="34">
        <f t="shared" si="91"/>
        <v>0</v>
      </c>
      <c r="K196" s="34">
        <f t="shared" si="91"/>
        <v>0</v>
      </c>
      <c r="L196" s="34">
        <f t="shared" si="91"/>
        <v>0</v>
      </c>
      <c r="M196" s="34">
        <f t="shared" si="91"/>
        <v>0</v>
      </c>
      <c r="N196" s="34">
        <f t="shared" si="91"/>
        <v>0</v>
      </c>
      <c r="O196" s="34">
        <f t="shared" si="91"/>
        <v>0</v>
      </c>
      <c r="P196" s="34">
        <f t="shared" si="91"/>
        <v>0</v>
      </c>
      <c r="Q196" s="34">
        <f t="shared" si="91"/>
        <v>0</v>
      </c>
      <c r="R196" s="34">
        <f t="shared" si="91"/>
        <v>0</v>
      </c>
      <c r="S196" s="34">
        <f t="shared" si="91"/>
        <v>0</v>
      </c>
      <c r="T196" s="34">
        <f t="shared" si="91"/>
        <v>0</v>
      </c>
      <c r="U196" s="34">
        <f t="shared" si="91"/>
        <v>0</v>
      </c>
      <c r="V196" s="35">
        <f t="shared" si="91"/>
        <v>0</v>
      </c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">
      <c r="A197" s="117">
        <v>1998</v>
      </c>
      <c r="B197" s="10">
        <f t="shared" si="90"/>
        <v>1.28</v>
      </c>
      <c r="C197" s="45"/>
      <c r="D197" s="34"/>
      <c r="E197" s="34">
        <f>$B197*($D$94+$E$94)</f>
        <v>-170.66666666666666</v>
      </c>
      <c r="F197" s="34">
        <f t="shared" si="91"/>
        <v>-170.66666666666666</v>
      </c>
      <c r="G197" s="34">
        <f t="shared" si="91"/>
        <v>-170.66666666666666</v>
      </c>
      <c r="H197" s="34">
        <f t="shared" si="91"/>
        <v>-170.66666666666666</v>
      </c>
      <c r="I197" s="34">
        <f t="shared" si="91"/>
        <v>-170.66666666666666</v>
      </c>
      <c r="J197" s="34">
        <f t="shared" si="91"/>
        <v>-170.66666666666666</v>
      </c>
      <c r="K197" s="34">
        <f t="shared" si="91"/>
        <v>-170.66666666666666</v>
      </c>
      <c r="L197" s="34">
        <f t="shared" si="91"/>
        <v>-170.66666666666666</v>
      </c>
      <c r="M197" s="34">
        <f t="shared" si="91"/>
        <v>-170.66666666666666</v>
      </c>
      <c r="N197" s="34">
        <f t="shared" si="91"/>
        <v>-170.66666666666666</v>
      </c>
      <c r="O197" s="34">
        <f t="shared" si="91"/>
        <v>-170.66666666666666</v>
      </c>
      <c r="P197" s="34">
        <f t="shared" si="91"/>
        <v>-170.66666666666666</v>
      </c>
      <c r="Q197" s="34">
        <f t="shared" si="91"/>
        <v>-170.66666666666666</v>
      </c>
      <c r="R197" s="34">
        <f t="shared" si="91"/>
        <v>-170.66666666666666</v>
      </c>
      <c r="S197" s="34">
        <f t="shared" si="91"/>
        <v>-170.66666666666666</v>
      </c>
      <c r="T197" s="34">
        <f t="shared" si="91"/>
        <v>-170.66666666666666</v>
      </c>
      <c r="U197" s="34">
        <f t="shared" si="91"/>
        <v>-170.66666666666666</v>
      </c>
      <c r="V197" s="35">
        <f t="shared" si="91"/>
        <v>-170.66666666666666</v>
      </c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">
      <c r="A198" s="117">
        <v>1999</v>
      </c>
      <c r="B198" s="10">
        <f t="shared" si="90"/>
        <v>6.72</v>
      </c>
      <c r="C198" s="45"/>
      <c r="D198" s="34"/>
      <c r="E198" s="34"/>
      <c r="F198" s="34">
        <f t="shared" si="91"/>
        <v>-895.9999999999999</v>
      </c>
      <c r="G198" s="34">
        <f t="shared" si="91"/>
        <v>-895.9999999999999</v>
      </c>
      <c r="H198" s="34">
        <f t="shared" si="91"/>
        <v>-895.9999999999999</v>
      </c>
      <c r="I198" s="34">
        <f t="shared" si="91"/>
        <v>-895.9999999999999</v>
      </c>
      <c r="J198" s="34">
        <f t="shared" si="91"/>
        <v>-895.9999999999999</v>
      </c>
      <c r="K198" s="34">
        <f t="shared" si="91"/>
        <v>-895.9999999999999</v>
      </c>
      <c r="L198" s="34">
        <f t="shared" si="91"/>
        <v>-895.9999999999999</v>
      </c>
      <c r="M198" s="34">
        <f t="shared" si="91"/>
        <v>-895.9999999999999</v>
      </c>
      <c r="N198" s="34">
        <f t="shared" si="91"/>
        <v>-895.9999999999999</v>
      </c>
      <c r="O198" s="34">
        <f t="shared" si="91"/>
        <v>-895.9999999999999</v>
      </c>
      <c r="P198" s="34">
        <f t="shared" si="91"/>
        <v>-895.9999999999999</v>
      </c>
      <c r="Q198" s="34">
        <f t="shared" si="91"/>
        <v>-895.9999999999999</v>
      </c>
      <c r="R198" s="34">
        <f t="shared" si="91"/>
        <v>-895.9999999999999</v>
      </c>
      <c r="S198" s="34">
        <f t="shared" si="91"/>
        <v>-895.9999999999999</v>
      </c>
      <c r="T198" s="34">
        <f t="shared" si="91"/>
        <v>-895.9999999999999</v>
      </c>
      <c r="U198" s="34">
        <f t="shared" si="91"/>
        <v>-895.9999999999999</v>
      </c>
      <c r="V198" s="35">
        <f t="shared" si="91"/>
        <v>-895.9999999999999</v>
      </c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">
      <c r="A199" s="117">
        <v>2000</v>
      </c>
      <c r="B199" s="10">
        <f t="shared" si="90"/>
        <v>7</v>
      </c>
      <c r="C199" s="45"/>
      <c r="D199" s="34"/>
      <c r="E199" s="34"/>
      <c r="F199" s="34"/>
      <c r="G199" s="34">
        <f t="shared" si="91"/>
        <v>-933.3333333333333</v>
      </c>
      <c r="H199" s="34">
        <f t="shared" si="91"/>
        <v>-933.3333333333333</v>
      </c>
      <c r="I199" s="34">
        <f t="shared" si="91"/>
        <v>-933.3333333333333</v>
      </c>
      <c r="J199" s="34">
        <f t="shared" si="91"/>
        <v>-933.3333333333333</v>
      </c>
      <c r="K199" s="34">
        <f t="shared" si="91"/>
        <v>-933.3333333333333</v>
      </c>
      <c r="L199" s="34">
        <f t="shared" si="91"/>
        <v>-933.3333333333333</v>
      </c>
      <c r="M199" s="34">
        <f t="shared" si="91"/>
        <v>-933.3333333333333</v>
      </c>
      <c r="N199" s="34">
        <f t="shared" si="91"/>
        <v>-933.3333333333333</v>
      </c>
      <c r="O199" s="34">
        <f t="shared" si="91"/>
        <v>-933.3333333333333</v>
      </c>
      <c r="P199" s="34">
        <f t="shared" si="91"/>
        <v>-933.3333333333333</v>
      </c>
      <c r="Q199" s="34">
        <f t="shared" si="91"/>
        <v>-933.3333333333333</v>
      </c>
      <c r="R199" s="34">
        <f t="shared" si="91"/>
        <v>-933.3333333333333</v>
      </c>
      <c r="S199" s="34">
        <f t="shared" si="91"/>
        <v>-933.3333333333333</v>
      </c>
      <c r="T199" s="34">
        <f t="shared" si="91"/>
        <v>-933.3333333333333</v>
      </c>
      <c r="U199" s="34">
        <f t="shared" si="91"/>
        <v>-933.3333333333333</v>
      </c>
      <c r="V199" s="35">
        <f t="shared" si="91"/>
        <v>-933.3333333333333</v>
      </c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">
      <c r="A200" s="117">
        <v>2001</v>
      </c>
      <c r="B200" s="10">
        <f t="shared" si="90"/>
        <v>2</v>
      </c>
      <c r="C200" s="45"/>
      <c r="D200" s="34"/>
      <c r="E200" s="34"/>
      <c r="F200" s="34"/>
      <c r="G200" s="34"/>
      <c r="H200" s="34">
        <f t="shared" si="91"/>
        <v>-266.66666666666663</v>
      </c>
      <c r="I200" s="34">
        <f t="shared" si="91"/>
        <v>-266.66666666666663</v>
      </c>
      <c r="J200" s="34">
        <f t="shared" si="91"/>
        <v>-266.66666666666663</v>
      </c>
      <c r="K200" s="34">
        <f t="shared" si="91"/>
        <v>-266.66666666666663</v>
      </c>
      <c r="L200" s="34">
        <f t="shared" si="91"/>
        <v>-266.66666666666663</v>
      </c>
      <c r="M200" s="34">
        <f t="shared" si="91"/>
        <v>-266.66666666666663</v>
      </c>
      <c r="N200" s="34">
        <f t="shared" si="91"/>
        <v>-266.66666666666663</v>
      </c>
      <c r="O200" s="34">
        <f t="shared" si="91"/>
        <v>-266.66666666666663</v>
      </c>
      <c r="P200" s="34">
        <f t="shared" si="91"/>
        <v>-266.66666666666663</v>
      </c>
      <c r="Q200" s="34">
        <f t="shared" si="91"/>
        <v>-266.66666666666663</v>
      </c>
      <c r="R200" s="34">
        <f t="shared" si="91"/>
        <v>-266.66666666666663</v>
      </c>
      <c r="S200" s="34">
        <f t="shared" si="91"/>
        <v>-266.66666666666663</v>
      </c>
      <c r="T200" s="34">
        <f t="shared" si="91"/>
        <v>-266.66666666666663</v>
      </c>
      <c r="U200" s="34">
        <f t="shared" si="91"/>
        <v>-266.66666666666663</v>
      </c>
      <c r="V200" s="35">
        <f t="shared" si="91"/>
        <v>-266.66666666666663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">
      <c r="A201" s="117">
        <v>2002</v>
      </c>
      <c r="B201" s="10">
        <f t="shared" si="90"/>
        <v>1</v>
      </c>
      <c r="C201" s="45"/>
      <c r="D201" s="34"/>
      <c r="E201" s="34"/>
      <c r="F201" s="34"/>
      <c r="G201" s="34"/>
      <c r="H201" s="34"/>
      <c r="I201" s="34">
        <f t="shared" si="91"/>
        <v>-133.33333333333331</v>
      </c>
      <c r="J201" s="34">
        <f t="shared" si="91"/>
        <v>-133.33333333333331</v>
      </c>
      <c r="K201" s="34">
        <f t="shared" si="91"/>
        <v>-133.33333333333331</v>
      </c>
      <c r="L201" s="34">
        <f t="shared" si="91"/>
        <v>-133.33333333333331</v>
      </c>
      <c r="M201" s="34">
        <f t="shared" si="91"/>
        <v>-133.33333333333331</v>
      </c>
      <c r="N201" s="34">
        <f t="shared" si="91"/>
        <v>-133.33333333333331</v>
      </c>
      <c r="O201" s="34">
        <f t="shared" si="91"/>
        <v>-133.33333333333331</v>
      </c>
      <c r="P201" s="34">
        <f t="shared" si="91"/>
        <v>-133.33333333333331</v>
      </c>
      <c r="Q201" s="34">
        <f t="shared" si="91"/>
        <v>-133.33333333333331</v>
      </c>
      <c r="R201" s="34">
        <f t="shared" si="91"/>
        <v>-133.33333333333331</v>
      </c>
      <c r="S201" s="34">
        <f t="shared" si="91"/>
        <v>-133.33333333333331</v>
      </c>
      <c r="T201" s="34">
        <f t="shared" si="91"/>
        <v>-133.33333333333331</v>
      </c>
      <c r="U201" s="34">
        <f t="shared" si="91"/>
        <v>-133.33333333333331</v>
      </c>
      <c r="V201" s="35">
        <f t="shared" si="91"/>
        <v>-133.33333333333331</v>
      </c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">
      <c r="A202" s="117">
        <v>2003</v>
      </c>
      <c r="B202" s="10">
        <f t="shared" si="90"/>
        <v>0</v>
      </c>
      <c r="C202" s="45"/>
      <c r="D202" s="34"/>
      <c r="E202" s="34"/>
      <c r="F202" s="34"/>
      <c r="G202" s="34"/>
      <c r="H202" s="34"/>
      <c r="I202" s="34"/>
      <c r="J202" s="34">
        <f t="shared" si="91"/>
        <v>0</v>
      </c>
      <c r="K202" s="34">
        <f t="shared" si="91"/>
        <v>0</v>
      </c>
      <c r="L202" s="34">
        <f t="shared" si="91"/>
        <v>0</v>
      </c>
      <c r="M202" s="34">
        <f t="shared" si="91"/>
        <v>0</v>
      </c>
      <c r="N202" s="34">
        <f t="shared" si="91"/>
        <v>0</v>
      </c>
      <c r="O202" s="34">
        <f t="shared" si="91"/>
        <v>0</v>
      </c>
      <c r="P202" s="34">
        <f t="shared" si="91"/>
        <v>0</v>
      </c>
      <c r="Q202" s="34">
        <f t="shared" si="91"/>
        <v>0</v>
      </c>
      <c r="R202" s="34">
        <f t="shared" si="91"/>
        <v>0</v>
      </c>
      <c r="S202" s="34">
        <f t="shared" si="91"/>
        <v>0</v>
      </c>
      <c r="T202" s="34">
        <f t="shared" si="91"/>
        <v>0</v>
      </c>
      <c r="U202" s="34">
        <f t="shared" si="91"/>
        <v>0</v>
      </c>
      <c r="V202" s="35">
        <f t="shared" si="91"/>
        <v>0</v>
      </c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">
      <c r="A203" s="117">
        <v>2004</v>
      </c>
      <c r="B203" s="10">
        <f t="shared" si="90"/>
        <v>0</v>
      </c>
      <c r="C203" s="45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5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">
      <c r="A204" s="117">
        <v>2005</v>
      </c>
      <c r="B204" s="10">
        <f t="shared" si="90"/>
        <v>0</v>
      </c>
      <c r="C204" s="45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5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">
      <c r="A205" s="117">
        <v>2006</v>
      </c>
      <c r="B205" s="10">
        <f t="shared" si="90"/>
        <v>0</v>
      </c>
      <c r="C205" s="45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5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">
      <c r="A206" s="117">
        <v>2007</v>
      </c>
      <c r="B206" s="10">
        <f t="shared" si="90"/>
        <v>0</v>
      </c>
      <c r="C206" s="45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5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">
      <c r="A207" s="117">
        <v>2008</v>
      </c>
      <c r="B207" s="10">
        <f t="shared" si="90"/>
        <v>0</v>
      </c>
      <c r="C207" s="45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5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">
      <c r="A208" s="117">
        <v>2009</v>
      </c>
      <c r="B208" s="10">
        <f t="shared" si="90"/>
        <v>0</v>
      </c>
      <c r="C208" s="45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5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">
      <c r="A209" s="117">
        <v>2010</v>
      </c>
      <c r="B209" s="10">
        <f t="shared" si="90"/>
        <v>0</v>
      </c>
      <c r="C209" s="45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5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">
      <c r="A210" s="117">
        <v>2011</v>
      </c>
      <c r="B210" s="10">
        <f t="shared" si="90"/>
        <v>0</v>
      </c>
      <c r="C210" s="45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5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">
      <c r="A211" s="117">
        <v>2012</v>
      </c>
      <c r="B211" s="10">
        <f t="shared" si="90"/>
        <v>0</v>
      </c>
      <c r="C211" s="110"/>
      <c r="D211" s="13"/>
      <c r="E211" s="13"/>
      <c r="F211" s="13"/>
      <c r="G211" s="13"/>
      <c r="H211" s="13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5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">
      <c r="A212" s="117">
        <v>2013</v>
      </c>
      <c r="B212" s="10">
        <f t="shared" si="90"/>
        <v>0</v>
      </c>
      <c r="C212" s="110"/>
      <c r="D212" s="13"/>
      <c r="E212" s="13"/>
      <c r="F212" s="13"/>
      <c r="G212" s="13"/>
      <c r="H212" s="13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5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">
      <c r="A213" s="117">
        <v>2014</v>
      </c>
      <c r="B213" s="10">
        <f t="shared" si="90"/>
        <v>0</v>
      </c>
      <c r="C213" s="110"/>
      <c r="D213" s="13"/>
      <c r="E213" s="13"/>
      <c r="F213" s="13"/>
      <c r="G213" s="13"/>
      <c r="H213" s="13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5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">
      <c r="A214" s="117">
        <v>2015</v>
      </c>
      <c r="B214" s="10">
        <f t="shared" si="90"/>
        <v>0</v>
      </c>
      <c r="C214" s="110"/>
      <c r="D214" s="13"/>
      <c r="E214" s="13"/>
      <c r="F214" s="13"/>
      <c r="G214" s="13"/>
      <c r="H214" s="13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5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thickBot="1">
      <c r="A215" s="1" t="s">
        <v>168</v>
      </c>
      <c r="C215" s="46">
        <f>SUM(C195:C214)</f>
        <v>0</v>
      </c>
      <c r="D215" s="122">
        <f aca="true" t="shared" si="92" ref="D215:V215">SUM(D195:D214)</f>
        <v>0</v>
      </c>
      <c r="E215" s="122">
        <f t="shared" si="92"/>
        <v>-170.66666666666666</v>
      </c>
      <c r="F215" s="122">
        <f t="shared" si="92"/>
        <v>-1066.6666666666665</v>
      </c>
      <c r="G215" s="122">
        <f t="shared" si="92"/>
        <v>-1999.9999999999998</v>
      </c>
      <c r="H215" s="122">
        <f t="shared" si="92"/>
        <v>-2266.6666666666665</v>
      </c>
      <c r="I215" s="122">
        <f t="shared" si="92"/>
        <v>-2400</v>
      </c>
      <c r="J215" s="122">
        <f t="shared" si="92"/>
        <v>-2400</v>
      </c>
      <c r="K215" s="122">
        <f t="shared" si="92"/>
        <v>-2400</v>
      </c>
      <c r="L215" s="122">
        <f t="shared" si="92"/>
        <v>-2400</v>
      </c>
      <c r="M215" s="122">
        <f t="shared" si="92"/>
        <v>-2400</v>
      </c>
      <c r="N215" s="122">
        <f t="shared" si="92"/>
        <v>-2400</v>
      </c>
      <c r="O215" s="122">
        <f t="shared" si="92"/>
        <v>-2400</v>
      </c>
      <c r="P215" s="122">
        <f t="shared" si="92"/>
        <v>-2400</v>
      </c>
      <c r="Q215" s="122">
        <f t="shared" si="92"/>
        <v>-2400</v>
      </c>
      <c r="R215" s="122">
        <f t="shared" si="92"/>
        <v>-2400</v>
      </c>
      <c r="S215" s="122">
        <f t="shared" si="92"/>
        <v>-2400</v>
      </c>
      <c r="T215" s="122">
        <f t="shared" si="92"/>
        <v>-2400</v>
      </c>
      <c r="U215" s="122">
        <f t="shared" si="92"/>
        <v>-2400</v>
      </c>
      <c r="V215" s="47">
        <f t="shared" si="92"/>
        <v>-2400</v>
      </c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9:32" ht="12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2:32" ht="12.75" thickBot="1">
      <c r="B217" s="118" t="s">
        <v>220</v>
      </c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">
      <c r="A218" s="117">
        <v>1996</v>
      </c>
      <c r="B218" s="10">
        <f aca="true" t="shared" si="93" ref="B218:B237">B101</f>
        <v>0</v>
      </c>
      <c r="C218" s="119">
        <f>$B218*($D$94+$D$94)</f>
        <v>0</v>
      </c>
      <c r="D218" s="120">
        <f aca="true" t="shared" si="94" ref="D218:V225">$B218*($D$94+$D$94)</f>
        <v>0</v>
      </c>
      <c r="E218" s="120">
        <f t="shared" si="94"/>
        <v>0</v>
      </c>
      <c r="F218" s="120">
        <f t="shared" si="94"/>
        <v>0</v>
      </c>
      <c r="G218" s="120">
        <f t="shared" si="94"/>
        <v>0</v>
      </c>
      <c r="H218" s="120">
        <f t="shared" si="94"/>
        <v>0</v>
      </c>
      <c r="I218" s="120">
        <f t="shared" si="94"/>
        <v>0</v>
      </c>
      <c r="J218" s="120">
        <f t="shared" si="94"/>
        <v>0</v>
      </c>
      <c r="K218" s="120">
        <f t="shared" si="94"/>
        <v>0</v>
      </c>
      <c r="L218" s="120">
        <f t="shared" si="94"/>
        <v>0</v>
      </c>
      <c r="M218" s="120">
        <f t="shared" si="94"/>
        <v>0</v>
      </c>
      <c r="N218" s="120">
        <f t="shared" si="94"/>
        <v>0</v>
      </c>
      <c r="O218" s="120">
        <f t="shared" si="94"/>
        <v>0</v>
      </c>
      <c r="P218" s="120">
        <f t="shared" si="94"/>
        <v>0</v>
      </c>
      <c r="Q218" s="120">
        <f t="shared" si="94"/>
        <v>0</v>
      </c>
      <c r="R218" s="120">
        <f t="shared" si="94"/>
        <v>0</v>
      </c>
      <c r="S218" s="120">
        <f t="shared" si="94"/>
        <v>0</v>
      </c>
      <c r="T218" s="120">
        <f t="shared" si="94"/>
        <v>0</v>
      </c>
      <c r="U218" s="120">
        <f t="shared" si="94"/>
        <v>0</v>
      </c>
      <c r="V218" s="121">
        <f t="shared" si="94"/>
        <v>0</v>
      </c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">
      <c r="A219" s="117">
        <v>1997</v>
      </c>
      <c r="B219" s="10">
        <f t="shared" si="93"/>
        <v>0</v>
      </c>
      <c r="C219" s="45"/>
      <c r="D219" s="34">
        <f t="shared" si="94"/>
        <v>0</v>
      </c>
      <c r="E219" s="34">
        <f t="shared" si="94"/>
        <v>0</v>
      </c>
      <c r="F219" s="34">
        <f t="shared" si="94"/>
        <v>0</v>
      </c>
      <c r="G219" s="34">
        <f t="shared" si="94"/>
        <v>0</v>
      </c>
      <c r="H219" s="34">
        <f t="shared" si="94"/>
        <v>0</v>
      </c>
      <c r="I219" s="34">
        <f t="shared" si="94"/>
        <v>0</v>
      </c>
      <c r="J219" s="34">
        <f t="shared" si="94"/>
        <v>0</v>
      </c>
      <c r="K219" s="34">
        <f t="shared" si="94"/>
        <v>0</v>
      </c>
      <c r="L219" s="34">
        <f t="shared" si="94"/>
        <v>0</v>
      </c>
      <c r="M219" s="34">
        <f t="shared" si="94"/>
        <v>0</v>
      </c>
      <c r="N219" s="34">
        <f t="shared" si="94"/>
        <v>0</v>
      </c>
      <c r="O219" s="34">
        <f t="shared" si="94"/>
        <v>0</v>
      </c>
      <c r="P219" s="34">
        <f t="shared" si="94"/>
        <v>0</v>
      </c>
      <c r="Q219" s="34">
        <f t="shared" si="94"/>
        <v>0</v>
      </c>
      <c r="R219" s="34">
        <f t="shared" si="94"/>
        <v>0</v>
      </c>
      <c r="S219" s="34">
        <f t="shared" si="94"/>
        <v>0</v>
      </c>
      <c r="T219" s="34">
        <f t="shared" si="94"/>
        <v>0</v>
      </c>
      <c r="U219" s="34">
        <f t="shared" si="94"/>
        <v>0</v>
      </c>
      <c r="V219" s="35">
        <f t="shared" si="94"/>
        <v>0</v>
      </c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">
      <c r="A220" s="117">
        <v>1998</v>
      </c>
      <c r="B220" s="10">
        <f t="shared" si="93"/>
        <v>1.28</v>
      </c>
      <c r="C220" s="45"/>
      <c r="D220" s="34"/>
      <c r="E220" s="34">
        <f t="shared" si="94"/>
        <v>34.13333333333333</v>
      </c>
      <c r="F220" s="34">
        <f t="shared" si="94"/>
        <v>34.13333333333333</v>
      </c>
      <c r="G220" s="34">
        <f t="shared" si="94"/>
        <v>34.13333333333333</v>
      </c>
      <c r="H220" s="34">
        <f t="shared" si="94"/>
        <v>34.13333333333333</v>
      </c>
      <c r="I220" s="34">
        <f t="shared" si="94"/>
        <v>34.13333333333333</v>
      </c>
      <c r="J220" s="34">
        <f t="shared" si="94"/>
        <v>34.13333333333333</v>
      </c>
      <c r="K220" s="34">
        <f t="shared" si="94"/>
        <v>34.13333333333333</v>
      </c>
      <c r="L220" s="34">
        <f t="shared" si="94"/>
        <v>34.13333333333333</v>
      </c>
      <c r="M220" s="34">
        <f t="shared" si="94"/>
        <v>34.13333333333333</v>
      </c>
      <c r="N220" s="34">
        <f t="shared" si="94"/>
        <v>34.13333333333333</v>
      </c>
      <c r="O220" s="34">
        <f t="shared" si="94"/>
        <v>34.13333333333333</v>
      </c>
      <c r="P220" s="34">
        <f t="shared" si="94"/>
        <v>34.13333333333333</v>
      </c>
      <c r="Q220" s="34">
        <f t="shared" si="94"/>
        <v>34.13333333333333</v>
      </c>
      <c r="R220" s="34">
        <f t="shared" si="94"/>
        <v>34.13333333333333</v>
      </c>
      <c r="S220" s="34">
        <f t="shared" si="94"/>
        <v>34.13333333333333</v>
      </c>
      <c r="T220" s="34">
        <f t="shared" si="94"/>
        <v>34.13333333333333</v>
      </c>
      <c r="U220" s="34">
        <f t="shared" si="94"/>
        <v>34.13333333333333</v>
      </c>
      <c r="V220" s="35">
        <f t="shared" si="94"/>
        <v>34.13333333333333</v>
      </c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">
      <c r="A221" s="117">
        <v>1999</v>
      </c>
      <c r="B221" s="10">
        <f t="shared" si="93"/>
        <v>6.72</v>
      </c>
      <c r="C221" s="45"/>
      <c r="D221" s="34"/>
      <c r="E221" s="34"/>
      <c r="F221" s="34">
        <f t="shared" si="94"/>
        <v>179.2</v>
      </c>
      <c r="G221" s="34">
        <f t="shared" si="94"/>
        <v>179.2</v>
      </c>
      <c r="H221" s="34">
        <f t="shared" si="94"/>
        <v>179.2</v>
      </c>
      <c r="I221" s="34">
        <f t="shared" si="94"/>
        <v>179.2</v>
      </c>
      <c r="J221" s="34">
        <f t="shared" si="94"/>
        <v>179.2</v>
      </c>
      <c r="K221" s="34">
        <f t="shared" si="94"/>
        <v>179.2</v>
      </c>
      <c r="L221" s="34">
        <f t="shared" si="94"/>
        <v>179.2</v>
      </c>
      <c r="M221" s="34">
        <f t="shared" si="94"/>
        <v>179.2</v>
      </c>
      <c r="N221" s="34">
        <f t="shared" si="94"/>
        <v>179.2</v>
      </c>
      <c r="O221" s="34">
        <f t="shared" si="94"/>
        <v>179.2</v>
      </c>
      <c r="P221" s="34">
        <f t="shared" si="94"/>
        <v>179.2</v>
      </c>
      <c r="Q221" s="34">
        <f t="shared" si="94"/>
        <v>179.2</v>
      </c>
      <c r="R221" s="34">
        <f t="shared" si="94"/>
        <v>179.2</v>
      </c>
      <c r="S221" s="34">
        <f t="shared" si="94"/>
        <v>179.2</v>
      </c>
      <c r="T221" s="34">
        <f t="shared" si="94"/>
        <v>179.2</v>
      </c>
      <c r="U221" s="34">
        <f t="shared" si="94"/>
        <v>179.2</v>
      </c>
      <c r="V221" s="35">
        <f t="shared" si="94"/>
        <v>179.2</v>
      </c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">
      <c r="A222" s="117">
        <v>2000</v>
      </c>
      <c r="B222" s="10">
        <f t="shared" si="93"/>
        <v>7</v>
      </c>
      <c r="C222" s="45"/>
      <c r="D222" s="34"/>
      <c r="E222" s="34"/>
      <c r="F222" s="34"/>
      <c r="G222" s="34">
        <f t="shared" si="94"/>
        <v>186.66666666666669</v>
      </c>
      <c r="H222" s="34">
        <f t="shared" si="94"/>
        <v>186.66666666666669</v>
      </c>
      <c r="I222" s="34">
        <f t="shared" si="94"/>
        <v>186.66666666666669</v>
      </c>
      <c r="J222" s="34">
        <f t="shared" si="94"/>
        <v>186.66666666666669</v>
      </c>
      <c r="K222" s="34">
        <f t="shared" si="94"/>
        <v>186.66666666666669</v>
      </c>
      <c r="L222" s="34">
        <f t="shared" si="94"/>
        <v>186.66666666666669</v>
      </c>
      <c r="M222" s="34">
        <f t="shared" si="94"/>
        <v>186.66666666666669</v>
      </c>
      <c r="N222" s="34">
        <f t="shared" si="94"/>
        <v>186.66666666666669</v>
      </c>
      <c r="O222" s="34">
        <f t="shared" si="94"/>
        <v>186.66666666666669</v>
      </c>
      <c r="P222" s="34">
        <f t="shared" si="94"/>
        <v>186.66666666666669</v>
      </c>
      <c r="Q222" s="34">
        <f t="shared" si="94"/>
        <v>186.66666666666669</v>
      </c>
      <c r="R222" s="34">
        <f t="shared" si="94"/>
        <v>186.66666666666669</v>
      </c>
      <c r="S222" s="34">
        <f t="shared" si="94"/>
        <v>186.66666666666669</v>
      </c>
      <c r="T222" s="34">
        <f t="shared" si="94"/>
        <v>186.66666666666669</v>
      </c>
      <c r="U222" s="34">
        <f t="shared" si="94"/>
        <v>186.66666666666669</v>
      </c>
      <c r="V222" s="35">
        <f t="shared" si="94"/>
        <v>186.66666666666669</v>
      </c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">
      <c r="A223" s="117">
        <v>2001</v>
      </c>
      <c r="B223" s="10">
        <f t="shared" si="93"/>
        <v>2</v>
      </c>
      <c r="C223" s="45"/>
      <c r="D223" s="34"/>
      <c r="E223" s="34"/>
      <c r="F223" s="34"/>
      <c r="G223" s="34"/>
      <c r="H223" s="34">
        <f t="shared" si="94"/>
        <v>53.333333333333336</v>
      </c>
      <c r="I223" s="34">
        <f t="shared" si="94"/>
        <v>53.333333333333336</v>
      </c>
      <c r="J223" s="34">
        <f t="shared" si="94"/>
        <v>53.333333333333336</v>
      </c>
      <c r="K223" s="34">
        <f t="shared" si="94"/>
        <v>53.333333333333336</v>
      </c>
      <c r="L223" s="34">
        <f t="shared" si="94"/>
        <v>53.333333333333336</v>
      </c>
      <c r="M223" s="34">
        <f t="shared" si="94"/>
        <v>53.333333333333336</v>
      </c>
      <c r="N223" s="34">
        <f t="shared" si="94"/>
        <v>53.333333333333336</v>
      </c>
      <c r="O223" s="34">
        <f t="shared" si="94"/>
        <v>53.333333333333336</v>
      </c>
      <c r="P223" s="34">
        <f t="shared" si="94"/>
        <v>53.333333333333336</v>
      </c>
      <c r="Q223" s="34">
        <f t="shared" si="94"/>
        <v>53.333333333333336</v>
      </c>
      <c r="R223" s="34">
        <f t="shared" si="94"/>
        <v>53.333333333333336</v>
      </c>
      <c r="S223" s="34">
        <f t="shared" si="94"/>
        <v>53.333333333333336</v>
      </c>
      <c r="T223" s="34">
        <f t="shared" si="94"/>
        <v>53.333333333333336</v>
      </c>
      <c r="U223" s="34">
        <f t="shared" si="94"/>
        <v>53.333333333333336</v>
      </c>
      <c r="V223" s="35">
        <f t="shared" si="94"/>
        <v>53.333333333333336</v>
      </c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">
      <c r="A224" s="117">
        <v>2002</v>
      </c>
      <c r="B224" s="10">
        <f t="shared" si="93"/>
        <v>1</v>
      </c>
      <c r="C224" s="45"/>
      <c r="D224" s="34"/>
      <c r="E224" s="34"/>
      <c r="F224" s="34"/>
      <c r="G224" s="34"/>
      <c r="H224" s="34"/>
      <c r="I224" s="34">
        <f t="shared" si="94"/>
        <v>26.666666666666668</v>
      </c>
      <c r="J224" s="34">
        <f t="shared" si="94"/>
        <v>26.666666666666668</v>
      </c>
      <c r="K224" s="34">
        <f t="shared" si="94"/>
        <v>26.666666666666668</v>
      </c>
      <c r="L224" s="34">
        <f t="shared" si="94"/>
        <v>26.666666666666668</v>
      </c>
      <c r="M224" s="34">
        <f t="shared" si="94"/>
        <v>26.666666666666668</v>
      </c>
      <c r="N224" s="34">
        <f t="shared" si="94"/>
        <v>26.666666666666668</v>
      </c>
      <c r="O224" s="34">
        <f t="shared" si="94"/>
        <v>26.666666666666668</v>
      </c>
      <c r="P224" s="34">
        <f t="shared" si="94"/>
        <v>26.666666666666668</v>
      </c>
      <c r="Q224" s="34">
        <f t="shared" si="94"/>
        <v>26.666666666666668</v>
      </c>
      <c r="R224" s="34">
        <f t="shared" si="94"/>
        <v>26.666666666666668</v>
      </c>
      <c r="S224" s="34">
        <f t="shared" si="94"/>
        <v>26.666666666666668</v>
      </c>
      <c r="T224" s="34">
        <f t="shared" si="94"/>
        <v>26.666666666666668</v>
      </c>
      <c r="U224" s="34">
        <f t="shared" si="94"/>
        <v>26.666666666666668</v>
      </c>
      <c r="V224" s="35">
        <f t="shared" si="94"/>
        <v>26.666666666666668</v>
      </c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">
      <c r="A225" s="117">
        <v>2003</v>
      </c>
      <c r="B225" s="10">
        <f t="shared" si="93"/>
        <v>0</v>
      </c>
      <c r="C225" s="45"/>
      <c r="D225" s="34"/>
      <c r="E225" s="34"/>
      <c r="F225" s="34"/>
      <c r="G225" s="34"/>
      <c r="H225" s="34"/>
      <c r="I225" s="34"/>
      <c r="J225" s="34">
        <f t="shared" si="94"/>
        <v>0</v>
      </c>
      <c r="K225" s="34">
        <f t="shared" si="94"/>
        <v>0</v>
      </c>
      <c r="L225" s="34">
        <f t="shared" si="94"/>
        <v>0</v>
      </c>
      <c r="M225" s="34">
        <f t="shared" si="94"/>
        <v>0</v>
      </c>
      <c r="N225" s="34">
        <f t="shared" si="94"/>
        <v>0</v>
      </c>
      <c r="O225" s="34">
        <f t="shared" si="94"/>
        <v>0</v>
      </c>
      <c r="P225" s="34">
        <f t="shared" si="94"/>
        <v>0</v>
      </c>
      <c r="Q225" s="34">
        <f t="shared" si="94"/>
        <v>0</v>
      </c>
      <c r="R225" s="34">
        <f t="shared" si="94"/>
        <v>0</v>
      </c>
      <c r="S225" s="34">
        <f t="shared" si="94"/>
        <v>0</v>
      </c>
      <c r="T225" s="34">
        <f t="shared" si="94"/>
        <v>0</v>
      </c>
      <c r="U225" s="34">
        <f t="shared" si="94"/>
        <v>0</v>
      </c>
      <c r="V225" s="35">
        <f t="shared" si="94"/>
        <v>0</v>
      </c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">
      <c r="A226" s="117">
        <v>2004</v>
      </c>
      <c r="B226" s="10">
        <f t="shared" si="93"/>
        <v>0</v>
      </c>
      <c r="C226" s="45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5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">
      <c r="A227" s="117">
        <v>2005</v>
      </c>
      <c r="B227" s="10">
        <f t="shared" si="93"/>
        <v>0</v>
      </c>
      <c r="C227" s="45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5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">
      <c r="A228" s="117">
        <v>2006</v>
      </c>
      <c r="B228" s="10">
        <f t="shared" si="93"/>
        <v>0</v>
      </c>
      <c r="C228" s="45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5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">
      <c r="A229" s="117">
        <v>2007</v>
      </c>
      <c r="B229" s="10">
        <f t="shared" si="93"/>
        <v>0</v>
      </c>
      <c r="C229" s="45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5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">
      <c r="A230" s="117">
        <v>2008</v>
      </c>
      <c r="B230" s="10">
        <f t="shared" si="93"/>
        <v>0</v>
      </c>
      <c r="C230" s="45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5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">
      <c r="A231" s="117">
        <v>2009</v>
      </c>
      <c r="B231" s="10">
        <f t="shared" si="93"/>
        <v>0</v>
      </c>
      <c r="C231" s="45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5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">
      <c r="A232" s="117">
        <v>2010</v>
      </c>
      <c r="B232" s="10">
        <f t="shared" si="93"/>
        <v>0</v>
      </c>
      <c r="C232" s="45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5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">
      <c r="A233" s="117">
        <v>2011</v>
      </c>
      <c r="B233" s="10">
        <f t="shared" si="93"/>
        <v>0</v>
      </c>
      <c r="C233" s="45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5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">
      <c r="A234" s="117">
        <v>2012</v>
      </c>
      <c r="B234" s="10">
        <f t="shared" si="93"/>
        <v>0</v>
      </c>
      <c r="C234" s="110"/>
      <c r="D234" s="13"/>
      <c r="E234" s="13"/>
      <c r="F234" s="13"/>
      <c r="G234" s="13"/>
      <c r="H234" s="13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5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">
      <c r="A235" s="117">
        <v>2013</v>
      </c>
      <c r="B235" s="10">
        <f t="shared" si="93"/>
        <v>0</v>
      </c>
      <c r="C235" s="110"/>
      <c r="D235" s="13"/>
      <c r="E235" s="13"/>
      <c r="F235" s="13"/>
      <c r="G235" s="13"/>
      <c r="H235" s="13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5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">
      <c r="A236" s="117">
        <v>2014</v>
      </c>
      <c r="B236" s="10">
        <f t="shared" si="93"/>
        <v>0</v>
      </c>
      <c r="C236" s="110"/>
      <c r="D236" s="13"/>
      <c r="E236" s="13"/>
      <c r="F236" s="13"/>
      <c r="G236" s="13"/>
      <c r="H236" s="13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5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">
      <c r="A237" s="117">
        <v>2015</v>
      </c>
      <c r="B237" s="10">
        <f t="shared" si="93"/>
        <v>0</v>
      </c>
      <c r="C237" s="110"/>
      <c r="D237" s="13"/>
      <c r="E237" s="13"/>
      <c r="F237" s="13"/>
      <c r="G237" s="13"/>
      <c r="H237" s="13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5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 thickBot="1">
      <c r="A238" s="1" t="s">
        <v>168</v>
      </c>
      <c r="C238" s="46">
        <f>SUM(C218:C237)</f>
        <v>0</v>
      </c>
      <c r="D238" s="122">
        <f aca="true" t="shared" si="95" ref="D238:V238">SUM(D218:D237)</f>
        <v>0</v>
      </c>
      <c r="E238" s="122">
        <f t="shared" si="95"/>
        <v>34.13333333333333</v>
      </c>
      <c r="F238" s="122">
        <f t="shared" si="95"/>
        <v>213.33333333333331</v>
      </c>
      <c r="G238" s="122">
        <f t="shared" si="95"/>
        <v>400</v>
      </c>
      <c r="H238" s="122">
        <f t="shared" si="95"/>
        <v>453.3333333333333</v>
      </c>
      <c r="I238" s="122">
        <f t="shared" si="95"/>
        <v>480</v>
      </c>
      <c r="J238" s="122">
        <f t="shared" si="95"/>
        <v>480</v>
      </c>
      <c r="K238" s="122">
        <f t="shared" si="95"/>
        <v>480</v>
      </c>
      <c r="L238" s="122">
        <f t="shared" si="95"/>
        <v>480</v>
      </c>
      <c r="M238" s="122">
        <f t="shared" si="95"/>
        <v>480</v>
      </c>
      <c r="N238" s="122">
        <f t="shared" si="95"/>
        <v>480</v>
      </c>
      <c r="O238" s="122">
        <f t="shared" si="95"/>
        <v>480</v>
      </c>
      <c r="P238" s="122">
        <f t="shared" si="95"/>
        <v>480</v>
      </c>
      <c r="Q238" s="122">
        <f t="shared" si="95"/>
        <v>480</v>
      </c>
      <c r="R238" s="122">
        <f t="shared" si="95"/>
        <v>480</v>
      </c>
      <c r="S238" s="122">
        <f t="shared" si="95"/>
        <v>480</v>
      </c>
      <c r="T238" s="122">
        <f t="shared" si="95"/>
        <v>480</v>
      </c>
      <c r="U238" s="122">
        <f t="shared" si="95"/>
        <v>480</v>
      </c>
      <c r="V238" s="47">
        <f t="shared" si="95"/>
        <v>480</v>
      </c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9:32" ht="12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2:32" ht="12.75" thickBot="1">
      <c r="B240" s="118" t="s">
        <v>221</v>
      </c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">
      <c r="A241" s="117">
        <v>1996</v>
      </c>
      <c r="B241" s="10">
        <f aca="true" t="shared" si="96" ref="B241:B260">B101</f>
        <v>0</v>
      </c>
      <c r="C241" s="119">
        <f>$B241*($C$94+$D$94)</f>
        <v>0</v>
      </c>
      <c r="D241" s="120">
        <f aca="true" t="shared" si="97" ref="D241:V248">$B241*($C$94+$D$94)</f>
        <v>0</v>
      </c>
      <c r="E241" s="120">
        <f t="shared" si="97"/>
        <v>0</v>
      </c>
      <c r="F241" s="120">
        <f t="shared" si="97"/>
        <v>0</v>
      </c>
      <c r="G241" s="120">
        <f t="shared" si="97"/>
        <v>0</v>
      </c>
      <c r="H241" s="120">
        <f t="shared" si="97"/>
        <v>0</v>
      </c>
      <c r="I241" s="120">
        <f t="shared" si="97"/>
        <v>0</v>
      </c>
      <c r="J241" s="120">
        <f t="shared" si="97"/>
        <v>0</v>
      </c>
      <c r="K241" s="120">
        <f t="shared" si="97"/>
        <v>0</v>
      </c>
      <c r="L241" s="120">
        <f t="shared" si="97"/>
        <v>0</v>
      </c>
      <c r="M241" s="120">
        <f t="shared" si="97"/>
        <v>0</v>
      </c>
      <c r="N241" s="120">
        <f t="shared" si="97"/>
        <v>0</v>
      </c>
      <c r="O241" s="120">
        <f t="shared" si="97"/>
        <v>0</v>
      </c>
      <c r="P241" s="120">
        <f t="shared" si="97"/>
        <v>0</v>
      </c>
      <c r="Q241" s="120">
        <f t="shared" si="97"/>
        <v>0</v>
      </c>
      <c r="R241" s="120">
        <f t="shared" si="97"/>
        <v>0</v>
      </c>
      <c r="S241" s="120">
        <f t="shared" si="97"/>
        <v>0</v>
      </c>
      <c r="T241" s="120">
        <f t="shared" si="97"/>
        <v>0</v>
      </c>
      <c r="U241" s="120">
        <f t="shared" si="97"/>
        <v>0</v>
      </c>
      <c r="V241" s="121">
        <f t="shared" si="97"/>
        <v>0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">
      <c r="A242" s="117">
        <v>1997</v>
      </c>
      <c r="B242" s="10">
        <f t="shared" si="96"/>
        <v>0</v>
      </c>
      <c r="C242" s="45"/>
      <c r="D242" s="34">
        <f t="shared" si="97"/>
        <v>0</v>
      </c>
      <c r="E242" s="34">
        <f t="shared" si="97"/>
        <v>0</v>
      </c>
      <c r="F242" s="34">
        <f t="shared" si="97"/>
        <v>0</v>
      </c>
      <c r="G242" s="34">
        <f t="shared" si="97"/>
        <v>0</v>
      </c>
      <c r="H242" s="34">
        <f t="shared" si="97"/>
        <v>0</v>
      </c>
      <c r="I242" s="34">
        <f t="shared" si="97"/>
        <v>0</v>
      </c>
      <c r="J242" s="34">
        <f t="shared" si="97"/>
        <v>0</v>
      </c>
      <c r="K242" s="34">
        <f t="shared" si="97"/>
        <v>0</v>
      </c>
      <c r="L242" s="34">
        <f t="shared" si="97"/>
        <v>0</v>
      </c>
      <c r="M242" s="34">
        <f t="shared" si="97"/>
        <v>0</v>
      </c>
      <c r="N242" s="34">
        <f t="shared" si="97"/>
        <v>0</v>
      </c>
      <c r="O242" s="34">
        <f t="shared" si="97"/>
        <v>0</v>
      </c>
      <c r="P242" s="34">
        <f t="shared" si="97"/>
        <v>0</v>
      </c>
      <c r="Q242" s="34">
        <f t="shared" si="97"/>
        <v>0</v>
      </c>
      <c r="R242" s="34">
        <f t="shared" si="97"/>
        <v>0</v>
      </c>
      <c r="S242" s="34">
        <f t="shared" si="97"/>
        <v>0</v>
      </c>
      <c r="T242" s="34">
        <f t="shared" si="97"/>
        <v>0</v>
      </c>
      <c r="U242" s="34">
        <f t="shared" si="97"/>
        <v>0</v>
      </c>
      <c r="V242" s="35">
        <f t="shared" si="97"/>
        <v>0</v>
      </c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">
      <c r="A243" s="117">
        <v>1998</v>
      </c>
      <c r="B243" s="10">
        <f t="shared" si="96"/>
        <v>1.28</v>
      </c>
      <c r="C243" s="45"/>
      <c r="D243" s="34"/>
      <c r="E243" s="34">
        <f t="shared" si="97"/>
        <v>-10.666666666666668</v>
      </c>
      <c r="F243" s="34">
        <f t="shared" si="97"/>
        <v>-10.666666666666668</v>
      </c>
      <c r="G243" s="34">
        <f t="shared" si="97"/>
        <v>-10.666666666666668</v>
      </c>
      <c r="H243" s="34">
        <f t="shared" si="97"/>
        <v>-10.666666666666668</v>
      </c>
      <c r="I243" s="34">
        <f t="shared" si="97"/>
        <v>-10.666666666666668</v>
      </c>
      <c r="J243" s="34">
        <f t="shared" si="97"/>
        <v>-10.666666666666668</v>
      </c>
      <c r="K243" s="34">
        <f t="shared" si="97"/>
        <v>-10.666666666666668</v>
      </c>
      <c r="L243" s="34">
        <f t="shared" si="97"/>
        <v>-10.666666666666668</v>
      </c>
      <c r="M243" s="34">
        <f t="shared" si="97"/>
        <v>-10.666666666666668</v>
      </c>
      <c r="N243" s="34">
        <f t="shared" si="97"/>
        <v>-10.666666666666668</v>
      </c>
      <c r="O243" s="34">
        <f t="shared" si="97"/>
        <v>-10.666666666666668</v>
      </c>
      <c r="P243" s="34">
        <f t="shared" si="97"/>
        <v>-10.666666666666668</v>
      </c>
      <c r="Q243" s="34">
        <f t="shared" si="97"/>
        <v>-10.666666666666668</v>
      </c>
      <c r="R243" s="34">
        <f t="shared" si="97"/>
        <v>-10.666666666666668</v>
      </c>
      <c r="S243" s="34">
        <f t="shared" si="97"/>
        <v>-10.666666666666668</v>
      </c>
      <c r="T243" s="34">
        <f t="shared" si="97"/>
        <v>-10.666666666666668</v>
      </c>
      <c r="U243" s="34">
        <f t="shared" si="97"/>
        <v>-10.666666666666668</v>
      </c>
      <c r="V243" s="35">
        <f t="shared" si="97"/>
        <v>-10.666666666666668</v>
      </c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">
      <c r="A244" s="117">
        <v>1999</v>
      </c>
      <c r="B244" s="10">
        <f t="shared" si="96"/>
        <v>6.72</v>
      </c>
      <c r="C244" s="45"/>
      <c r="D244" s="34"/>
      <c r="E244" s="34"/>
      <c r="F244" s="34">
        <f t="shared" si="97"/>
        <v>-56</v>
      </c>
      <c r="G244" s="34">
        <f t="shared" si="97"/>
        <v>-56</v>
      </c>
      <c r="H244" s="34">
        <f t="shared" si="97"/>
        <v>-56</v>
      </c>
      <c r="I244" s="34">
        <f t="shared" si="97"/>
        <v>-56</v>
      </c>
      <c r="J244" s="34">
        <f t="shared" si="97"/>
        <v>-56</v>
      </c>
      <c r="K244" s="34">
        <f t="shared" si="97"/>
        <v>-56</v>
      </c>
      <c r="L244" s="34">
        <f t="shared" si="97"/>
        <v>-56</v>
      </c>
      <c r="M244" s="34">
        <f t="shared" si="97"/>
        <v>-56</v>
      </c>
      <c r="N244" s="34">
        <f t="shared" si="97"/>
        <v>-56</v>
      </c>
      <c r="O244" s="34">
        <f t="shared" si="97"/>
        <v>-56</v>
      </c>
      <c r="P244" s="34">
        <f t="shared" si="97"/>
        <v>-56</v>
      </c>
      <c r="Q244" s="34">
        <f t="shared" si="97"/>
        <v>-56</v>
      </c>
      <c r="R244" s="34">
        <f t="shared" si="97"/>
        <v>-56</v>
      </c>
      <c r="S244" s="34">
        <f t="shared" si="97"/>
        <v>-56</v>
      </c>
      <c r="T244" s="34">
        <f t="shared" si="97"/>
        <v>-56</v>
      </c>
      <c r="U244" s="34">
        <f t="shared" si="97"/>
        <v>-56</v>
      </c>
      <c r="V244" s="35">
        <f t="shared" si="97"/>
        <v>-56</v>
      </c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">
      <c r="A245" s="117">
        <v>2000</v>
      </c>
      <c r="B245" s="10">
        <f t="shared" si="96"/>
        <v>7</v>
      </c>
      <c r="C245" s="45"/>
      <c r="D245" s="34"/>
      <c r="E245" s="34"/>
      <c r="F245" s="34"/>
      <c r="G245" s="34">
        <f t="shared" si="97"/>
        <v>-58.333333333333336</v>
      </c>
      <c r="H245" s="34">
        <f t="shared" si="97"/>
        <v>-58.333333333333336</v>
      </c>
      <c r="I245" s="34">
        <f t="shared" si="97"/>
        <v>-58.333333333333336</v>
      </c>
      <c r="J245" s="34">
        <f t="shared" si="97"/>
        <v>-58.333333333333336</v>
      </c>
      <c r="K245" s="34">
        <f t="shared" si="97"/>
        <v>-58.333333333333336</v>
      </c>
      <c r="L245" s="34">
        <f t="shared" si="97"/>
        <v>-58.333333333333336</v>
      </c>
      <c r="M245" s="34">
        <f t="shared" si="97"/>
        <v>-58.333333333333336</v>
      </c>
      <c r="N245" s="34">
        <f t="shared" si="97"/>
        <v>-58.333333333333336</v>
      </c>
      <c r="O245" s="34">
        <f t="shared" si="97"/>
        <v>-58.333333333333336</v>
      </c>
      <c r="P245" s="34">
        <f t="shared" si="97"/>
        <v>-58.333333333333336</v>
      </c>
      <c r="Q245" s="34">
        <f t="shared" si="97"/>
        <v>-58.333333333333336</v>
      </c>
      <c r="R245" s="34">
        <f t="shared" si="97"/>
        <v>-58.333333333333336</v>
      </c>
      <c r="S245" s="34">
        <f t="shared" si="97"/>
        <v>-58.333333333333336</v>
      </c>
      <c r="T245" s="34">
        <f t="shared" si="97"/>
        <v>-58.333333333333336</v>
      </c>
      <c r="U245" s="34">
        <f t="shared" si="97"/>
        <v>-58.333333333333336</v>
      </c>
      <c r="V245" s="35">
        <f t="shared" si="97"/>
        <v>-58.333333333333336</v>
      </c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">
      <c r="A246" s="117">
        <v>2001</v>
      </c>
      <c r="B246" s="10">
        <f t="shared" si="96"/>
        <v>2</v>
      </c>
      <c r="C246" s="45"/>
      <c r="D246" s="34"/>
      <c r="E246" s="34"/>
      <c r="F246" s="34"/>
      <c r="G246" s="34"/>
      <c r="H246" s="34">
        <f t="shared" si="97"/>
        <v>-16.666666666666668</v>
      </c>
      <c r="I246" s="34">
        <f t="shared" si="97"/>
        <v>-16.666666666666668</v>
      </c>
      <c r="J246" s="34">
        <f t="shared" si="97"/>
        <v>-16.666666666666668</v>
      </c>
      <c r="K246" s="34">
        <f t="shared" si="97"/>
        <v>-16.666666666666668</v>
      </c>
      <c r="L246" s="34">
        <f t="shared" si="97"/>
        <v>-16.666666666666668</v>
      </c>
      <c r="M246" s="34">
        <f t="shared" si="97"/>
        <v>-16.666666666666668</v>
      </c>
      <c r="N246" s="34">
        <f t="shared" si="97"/>
        <v>-16.666666666666668</v>
      </c>
      <c r="O246" s="34">
        <f t="shared" si="97"/>
        <v>-16.666666666666668</v>
      </c>
      <c r="P246" s="34">
        <f t="shared" si="97"/>
        <v>-16.666666666666668</v>
      </c>
      <c r="Q246" s="34">
        <f t="shared" si="97"/>
        <v>-16.666666666666668</v>
      </c>
      <c r="R246" s="34">
        <f t="shared" si="97"/>
        <v>-16.666666666666668</v>
      </c>
      <c r="S246" s="34">
        <f t="shared" si="97"/>
        <v>-16.666666666666668</v>
      </c>
      <c r="T246" s="34">
        <f t="shared" si="97"/>
        <v>-16.666666666666668</v>
      </c>
      <c r="U246" s="34">
        <f t="shared" si="97"/>
        <v>-16.666666666666668</v>
      </c>
      <c r="V246" s="35">
        <f t="shared" si="97"/>
        <v>-16.666666666666668</v>
      </c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">
      <c r="A247" s="117">
        <v>2002</v>
      </c>
      <c r="B247" s="10">
        <f t="shared" si="96"/>
        <v>1</v>
      </c>
      <c r="C247" s="45"/>
      <c r="D247" s="34"/>
      <c r="E247" s="34"/>
      <c r="F247" s="34"/>
      <c r="G247" s="34"/>
      <c r="H247" s="34"/>
      <c r="I247" s="34">
        <f t="shared" si="97"/>
        <v>-8.333333333333334</v>
      </c>
      <c r="J247" s="34">
        <f t="shared" si="97"/>
        <v>-8.333333333333334</v>
      </c>
      <c r="K247" s="34">
        <f t="shared" si="97"/>
        <v>-8.333333333333334</v>
      </c>
      <c r="L247" s="34">
        <f t="shared" si="97"/>
        <v>-8.333333333333334</v>
      </c>
      <c r="M247" s="34">
        <f t="shared" si="97"/>
        <v>-8.333333333333334</v>
      </c>
      <c r="N247" s="34">
        <f t="shared" si="97"/>
        <v>-8.333333333333334</v>
      </c>
      <c r="O247" s="34">
        <f t="shared" si="97"/>
        <v>-8.333333333333334</v>
      </c>
      <c r="P247" s="34">
        <f t="shared" si="97"/>
        <v>-8.333333333333334</v>
      </c>
      <c r="Q247" s="34">
        <f t="shared" si="97"/>
        <v>-8.333333333333334</v>
      </c>
      <c r="R247" s="34">
        <f t="shared" si="97"/>
        <v>-8.333333333333334</v>
      </c>
      <c r="S247" s="34">
        <f t="shared" si="97"/>
        <v>-8.333333333333334</v>
      </c>
      <c r="T247" s="34">
        <f t="shared" si="97"/>
        <v>-8.333333333333334</v>
      </c>
      <c r="U247" s="34">
        <f t="shared" si="97"/>
        <v>-8.333333333333334</v>
      </c>
      <c r="V247" s="35">
        <f t="shared" si="97"/>
        <v>-8.333333333333334</v>
      </c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22" ht="12">
      <c r="A248" s="117">
        <v>2003</v>
      </c>
      <c r="B248" s="10">
        <f t="shared" si="96"/>
        <v>0</v>
      </c>
      <c r="C248" s="45"/>
      <c r="D248" s="34"/>
      <c r="E248" s="34"/>
      <c r="F248" s="34"/>
      <c r="G248" s="34"/>
      <c r="H248" s="34"/>
      <c r="I248" s="34"/>
      <c r="J248" s="34">
        <f t="shared" si="97"/>
        <v>0</v>
      </c>
      <c r="K248" s="34">
        <f t="shared" si="97"/>
        <v>0</v>
      </c>
      <c r="L248" s="34">
        <f t="shared" si="97"/>
        <v>0</v>
      </c>
      <c r="M248" s="34">
        <f t="shared" si="97"/>
        <v>0</v>
      </c>
      <c r="N248" s="34">
        <f t="shared" si="97"/>
        <v>0</v>
      </c>
      <c r="O248" s="34">
        <f t="shared" si="97"/>
        <v>0</v>
      </c>
      <c r="P248" s="34">
        <f t="shared" si="97"/>
        <v>0</v>
      </c>
      <c r="Q248" s="34">
        <f t="shared" si="97"/>
        <v>0</v>
      </c>
      <c r="R248" s="34">
        <f t="shared" si="97"/>
        <v>0</v>
      </c>
      <c r="S248" s="34">
        <f t="shared" si="97"/>
        <v>0</v>
      </c>
      <c r="T248" s="34">
        <f t="shared" si="97"/>
        <v>0</v>
      </c>
      <c r="U248" s="34">
        <f t="shared" si="97"/>
        <v>0</v>
      </c>
      <c r="V248" s="35">
        <f t="shared" si="97"/>
        <v>0</v>
      </c>
    </row>
    <row r="249" spans="1:22" ht="12">
      <c r="A249" s="117">
        <v>2004</v>
      </c>
      <c r="B249" s="10">
        <f t="shared" si="96"/>
        <v>0</v>
      </c>
      <c r="C249" s="45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5"/>
    </row>
    <row r="250" spans="1:22" ht="12">
      <c r="A250" s="117">
        <v>2005</v>
      </c>
      <c r="B250" s="10">
        <f t="shared" si="96"/>
        <v>0</v>
      </c>
      <c r="C250" s="45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5"/>
    </row>
    <row r="251" spans="1:22" ht="12">
      <c r="A251" s="117">
        <v>2006</v>
      </c>
      <c r="B251" s="10">
        <f t="shared" si="96"/>
        <v>0</v>
      </c>
      <c r="C251" s="45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5"/>
    </row>
    <row r="252" spans="1:22" ht="12">
      <c r="A252" s="117">
        <v>2007</v>
      </c>
      <c r="B252" s="10">
        <f t="shared" si="96"/>
        <v>0</v>
      </c>
      <c r="C252" s="45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5"/>
    </row>
    <row r="253" spans="1:22" ht="12">
      <c r="A253" s="117">
        <v>2008</v>
      </c>
      <c r="B253" s="10">
        <f t="shared" si="96"/>
        <v>0</v>
      </c>
      <c r="C253" s="45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5"/>
    </row>
    <row r="254" spans="1:22" ht="12">
      <c r="A254" s="117">
        <v>2009</v>
      </c>
      <c r="B254" s="10">
        <f t="shared" si="96"/>
        <v>0</v>
      </c>
      <c r="C254" s="45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5"/>
    </row>
    <row r="255" spans="1:22" ht="12">
      <c r="A255" s="117">
        <v>2010</v>
      </c>
      <c r="B255" s="10">
        <f t="shared" si="96"/>
        <v>0</v>
      </c>
      <c r="C255" s="45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5"/>
    </row>
    <row r="256" spans="1:22" ht="12">
      <c r="A256" s="117">
        <v>2011</v>
      </c>
      <c r="B256" s="10">
        <f t="shared" si="96"/>
        <v>0</v>
      </c>
      <c r="C256" s="45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5"/>
    </row>
    <row r="257" spans="1:22" ht="12">
      <c r="A257" s="117">
        <v>2012</v>
      </c>
      <c r="B257" s="10">
        <f t="shared" si="96"/>
        <v>0</v>
      </c>
      <c r="C257" s="110"/>
      <c r="D257" s="13"/>
      <c r="E257" s="13"/>
      <c r="F257" s="13"/>
      <c r="G257" s="13"/>
      <c r="H257" s="13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5"/>
    </row>
    <row r="258" spans="1:22" ht="12">
      <c r="A258" s="117">
        <v>2013</v>
      </c>
      <c r="B258" s="10">
        <f t="shared" si="96"/>
        <v>0</v>
      </c>
      <c r="C258" s="110"/>
      <c r="D258" s="13"/>
      <c r="E258" s="13"/>
      <c r="F258" s="13"/>
      <c r="G258" s="13"/>
      <c r="H258" s="13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5"/>
    </row>
    <row r="259" spans="1:22" ht="12">
      <c r="A259" s="117">
        <v>2014</v>
      </c>
      <c r="B259" s="10">
        <f t="shared" si="96"/>
        <v>0</v>
      </c>
      <c r="C259" s="110"/>
      <c r="D259" s="13"/>
      <c r="E259" s="13"/>
      <c r="F259" s="13"/>
      <c r="G259" s="13"/>
      <c r="H259" s="13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5"/>
    </row>
    <row r="260" spans="1:22" ht="12">
      <c r="A260" s="117">
        <v>2015</v>
      </c>
      <c r="B260" s="10">
        <f t="shared" si="96"/>
        <v>0</v>
      </c>
      <c r="C260" s="110"/>
      <c r="D260" s="13"/>
      <c r="E260" s="13"/>
      <c r="F260" s="13"/>
      <c r="G260" s="13"/>
      <c r="H260" s="13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5"/>
    </row>
    <row r="261" spans="1:22" ht="12.75" thickBot="1">
      <c r="A261" s="1" t="s">
        <v>168</v>
      </c>
      <c r="C261" s="46">
        <f>SUM(C241:C260)</f>
        <v>0</v>
      </c>
      <c r="D261" s="122">
        <f aca="true" t="shared" si="98" ref="D261:V261">SUM(D241:D260)</f>
        <v>0</v>
      </c>
      <c r="E261" s="122">
        <f t="shared" si="98"/>
        <v>-10.666666666666668</v>
      </c>
      <c r="F261" s="122">
        <f t="shared" si="98"/>
        <v>-66.66666666666667</v>
      </c>
      <c r="G261" s="122">
        <f t="shared" si="98"/>
        <v>-125</v>
      </c>
      <c r="H261" s="122">
        <f t="shared" si="98"/>
        <v>-141.66666666666666</v>
      </c>
      <c r="I261" s="122">
        <f t="shared" si="98"/>
        <v>-150</v>
      </c>
      <c r="J261" s="122">
        <f t="shared" si="98"/>
        <v>-150</v>
      </c>
      <c r="K261" s="122">
        <f t="shared" si="98"/>
        <v>-150</v>
      </c>
      <c r="L261" s="122">
        <f t="shared" si="98"/>
        <v>-150</v>
      </c>
      <c r="M261" s="122">
        <f t="shared" si="98"/>
        <v>-150</v>
      </c>
      <c r="N261" s="122">
        <f t="shared" si="98"/>
        <v>-150</v>
      </c>
      <c r="O261" s="122">
        <f t="shared" si="98"/>
        <v>-150</v>
      </c>
      <c r="P261" s="122">
        <f t="shared" si="98"/>
        <v>-150</v>
      </c>
      <c r="Q261" s="122">
        <f t="shared" si="98"/>
        <v>-150</v>
      </c>
      <c r="R261" s="122">
        <f t="shared" si="98"/>
        <v>-150</v>
      </c>
      <c r="S261" s="122">
        <f t="shared" si="98"/>
        <v>-150</v>
      </c>
      <c r="T261" s="122">
        <f t="shared" si="98"/>
        <v>-150</v>
      </c>
      <c r="U261" s="122">
        <f t="shared" si="98"/>
        <v>-150</v>
      </c>
      <c r="V261" s="47">
        <f t="shared" si="98"/>
        <v>-150</v>
      </c>
    </row>
  </sheetData>
  <sheetProtection/>
  <mergeCells count="2">
    <mergeCell ref="D6:F6"/>
    <mergeCell ref="G6:H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3" sqref="D33"/>
    </sheetView>
  </sheetViews>
  <sheetFormatPr defaultColWidth="9.140625" defaultRowHeight="12.75"/>
  <cols>
    <col min="1" max="1" width="49.421875" style="2" customWidth="1"/>
    <col min="2" max="3" width="8.28125" style="2" customWidth="1"/>
    <col min="4" max="4" width="12.00390625" style="2" customWidth="1"/>
    <col min="5" max="21" width="8.28125" style="2" customWidth="1"/>
    <col min="22" max="16384" width="9.140625" style="2" customWidth="1"/>
  </cols>
  <sheetData>
    <row r="1" spans="2:21" ht="12">
      <c r="B1" s="2">
        <v>1996</v>
      </c>
      <c r="C1" s="2">
        <v>1997</v>
      </c>
      <c r="D1" s="2">
        <v>1998</v>
      </c>
      <c r="E1" s="2">
        <v>1999</v>
      </c>
      <c r="F1" s="2">
        <v>2000</v>
      </c>
      <c r="G1" s="2">
        <v>2001</v>
      </c>
      <c r="H1" s="2">
        <v>2002</v>
      </c>
      <c r="I1" s="2">
        <v>2003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2">
        <v>2009</v>
      </c>
      <c r="P1" s="2">
        <v>2010</v>
      </c>
      <c r="Q1" s="2">
        <v>2011</v>
      </c>
      <c r="R1" s="2">
        <v>2012</v>
      </c>
      <c r="S1" s="2">
        <v>2013</v>
      </c>
      <c r="T1" s="2">
        <v>2014</v>
      </c>
      <c r="U1" s="2">
        <v>2015</v>
      </c>
    </row>
    <row r="2" spans="2:21" ht="12">
      <c r="B2" s="2">
        <v>-2</v>
      </c>
      <c r="C2" s="2">
        <v>-1</v>
      </c>
      <c r="D2" s="2">
        <v>0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</row>
    <row r="3" spans="1:3" ht="12">
      <c r="A3" s="1" t="s">
        <v>239</v>
      </c>
      <c r="B3" s="1"/>
      <c r="C3" s="1"/>
    </row>
    <row r="4" spans="1:4" ht="12">
      <c r="A4" s="2" t="s">
        <v>51</v>
      </c>
      <c r="D4" s="23">
        <v>20</v>
      </c>
    </row>
    <row r="5" spans="1:4" ht="12">
      <c r="A5" s="2" t="s">
        <v>61</v>
      </c>
      <c r="D5" s="23">
        <f>'Tai chinh'!E39*(1-'Tai chinh'!B40)</f>
        <v>19999.999999999996</v>
      </c>
    </row>
    <row r="6" spans="1:4" ht="12">
      <c r="A6" s="25" t="s">
        <v>52</v>
      </c>
      <c r="B6" s="25"/>
      <c r="C6" s="25"/>
      <c r="D6" s="26">
        <v>5.5</v>
      </c>
    </row>
    <row r="7" spans="1:4" ht="12">
      <c r="A7" s="25" t="s">
        <v>53</v>
      </c>
      <c r="B7" s="25"/>
      <c r="C7" s="25"/>
      <c r="D7" s="26">
        <v>3.5</v>
      </c>
    </row>
    <row r="8" spans="1:4" ht="12">
      <c r="A8" s="25" t="s">
        <v>54</v>
      </c>
      <c r="B8" s="25"/>
      <c r="C8" s="25"/>
      <c r="D8" s="23">
        <v>150</v>
      </c>
    </row>
    <row r="9" spans="1:4" ht="12">
      <c r="A9" s="27" t="s">
        <v>64</v>
      </c>
      <c r="B9" s="27"/>
      <c r="C9" s="27"/>
      <c r="D9" s="23"/>
    </row>
    <row r="10" spans="1:4" ht="12">
      <c r="A10" s="25" t="s">
        <v>63</v>
      </c>
      <c r="B10" s="25"/>
      <c r="C10" s="25"/>
      <c r="D10" s="23">
        <v>12</v>
      </c>
    </row>
    <row r="11" spans="1:4" ht="12">
      <c r="A11" s="25" t="s">
        <v>55</v>
      </c>
      <c r="B11" s="25"/>
      <c r="C11" s="25"/>
      <c r="D11" s="26">
        <v>1.5</v>
      </c>
    </row>
    <row r="12" spans="1:4" ht="12">
      <c r="A12" s="25" t="s">
        <v>56</v>
      </c>
      <c r="B12" s="25"/>
      <c r="C12" s="25"/>
      <c r="D12" s="23">
        <v>30000</v>
      </c>
    </row>
    <row r="13" spans="1:4" ht="12">
      <c r="A13" s="25" t="s">
        <v>65</v>
      </c>
      <c r="B13" s="25"/>
      <c r="C13" s="25"/>
      <c r="D13" s="23">
        <f>D8</f>
        <v>150</v>
      </c>
    </row>
    <row r="14" spans="1:4" ht="12">
      <c r="A14" s="25" t="s">
        <v>59</v>
      </c>
      <c r="B14" s="25"/>
      <c r="C14" s="25"/>
      <c r="D14" s="23">
        <v>10000000</v>
      </c>
    </row>
    <row r="15" spans="1:4" ht="12">
      <c r="A15" s="25" t="s">
        <v>57</v>
      </c>
      <c r="B15" s="25"/>
      <c r="C15" s="25"/>
      <c r="D15" s="23">
        <v>100000000</v>
      </c>
    </row>
    <row r="16" spans="1:4" ht="12">
      <c r="A16" s="25" t="s">
        <v>58</v>
      </c>
      <c r="B16" s="25"/>
      <c r="C16" s="25"/>
      <c r="D16" s="28">
        <v>0.12</v>
      </c>
    </row>
    <row r="17" spans="1:4" ht="13.5">
      <c r="A17" s="25" t="s">
        <v>89</v>
      </c>
      <c r="B17" s="25"/>
      <c r="C17" s="25"/>
      <c r="D17" s="23">
        <v>625</v>
      </c>
    </row>
    <row r="18" ht="12">
      <c r="D18" s="23"/>
    </row>
    <row r="19" spans="1:4" ht="12">
      <c r="A19" s="2" t="s">
        <v>67</v>
      </c>
      <c r="D19" s="23">
        <f>D8*D7*D4</f>
        <v>10500</v>
      </c>
    </row>
    <row r="20" spans="1:4" ht="12">
      <c r="A20" s="2" t="s">
        <v>68</v>
      </c>
      <c r="D20" s="23">
        <f>D8*D7</f>
        <v>525</v>
      </c>
    </row>
    <row r="21" spans="1:4" ht="12">
      <c r="A21" s="2" t="s">
        <v>69</v>
      </c>
      <c r="D21" s="23">
        <f>D20*D6</f>
        <v>2887.5</v>
      </c>
    </row>
    <row r="22" ht="12">
      <c r="D22" s="23"/>
    </row>
    <row r="23" spans="1:4" ht="12">
      <c r="A23" s="2" t="s">
        <v>60</v>
      </c>
      <c r="D23" s="23">
        <f>D21*D5</f>
        <v>57749999.99999999</v>
      </c>
    </row>
    <row r="24" ht="12">
      <c r="D24" s="23"/>
    </row>
    <row r="25" spans="1:4" ht="12">
      <c r="A25" s="2" t="s">
        <v>62</v>
      </c>
      <c r="D25" s="23">
        <f>D19/D10*D11*'Tai chinh'!E6</f>
        <v>19687500</v>
      </c>
    </row>
    <row r="26" spans="1:4" ht="12">
      <c r="A26" s="2" t="s">
        <v>38</v>
      </c>
      <c r="D26" s="23">
        <f>D13*D12</f>
        <v>4500000</v>
      </c>
    </row>
    <row r="27" spans="1:4" ht="12">
      <c r="A27" s="2" t="s">
        <v>66</v>
      </c>
      <c r="D27" s="23">
        <f>D14</f>
        <v>10000000</v>
      </c>
    </row>
    <row r="28" spans="1:4" ht="12">
      <c r="A28" s="2" t="s">
        <v>70</v>
      </c>
      <c r="D28" s="23">
        <f>D17*D19</f>
        <v>6562500</v>
      </c>
    </row>
    <row r="29" spans="1:4" ht="12">
      <c r="A29" s="2" t="s">
        <v>71</v>
      </c>
      <c r="D29" s="23">
        <f>D16*D15*D13/365</f>
        <v>4931506.849315069</v>
      </c>
    </row>
    <row r="30" spans="1:4" ht="12">
      <c r="A30" s="2" t="s">
        <v>20</v>
      </c>
      <c r="D30" s="23">
        <f>SUM(D25:D29)</f>
        <v>45681506.84931507</v>
      </c>
    </row>
    <row r="31" ht="12">
      <c r="D31" s="23"/>
    </row>
    <row r="32" spans="1:4" ht="12">
      <c r="A32" s="2" t="s">
        <v>72</v>
      </c>
      <c r="D32" s="23">
        <f>D23-D30</f>
        <v>12068493.150684923</v>
      </c>
    </row>
    <row r="33" spans="1:6" ht="12">
      <c r="A33" s="2" t="s">
        <v>73</v>
      </c>
      <c r="D33" s="124">
        <f>D32/D23</f>
        <v>0.20897823637549653</v>
      </c>
      <c r="F33" s="22"/>
    </row>
    <row r="34" spans="1:4" ht="12">
      <c r="A34" s="4" t="s">
        <v>43</v>
      </c>
      <c r="B34" s="4"/>
      <c r="C34" s="4"/>
      <c r="D34" s="20">
        <v>0.1</v>
      </c>
    </row>
    <row r="35" spans="1:21" ht="12">
      <c r="A35" s="2" t="s">
        <v>74</v>
      </c>
      <c r="E35" s="4">
        <f>'Tai chinh'!F114</f>
        <v>878.9333333333334</v>
      </c>
      <c r="F35" s="4">
        <f>'Tai chinh'!G114</f>
        <v>5658.133333333333</v>
      </c>
      <c r="G35" s="4">
        <f>'Tai chinh'!H114</f>
        <v>10927.27</v>
      </c>
      <c r="H35" s="4">
        <f>'Tai chinh'!I114</f>
        <v>12755.766513333336</v>
      </c>
      <c r="I35" s="4">
        <f>'Tai chinh'!J114</f>
        <v>13911.288891600001</v>
      </c>
      <c r="J35" s="4">
        <f>'Tai chinh'!K114</f>
        <v>14328.627558348002</v>
      </c>
      <c r="K35" s="4">
        <f>'Tai chinh'!L114</f>
        <v>14758.486385098442</v>
      </c>
      <c r="L35" s="4">
        <f>'Tai chinh'!M114</f>
        <v>15201.2409766514</v>
      </c>
      <c r="M35" s="4">
        <f>'Tai chinh'!N114</f>
        <v>15657.27820595094</v>
      </c>
      <c r="N35" s="4">
        <f>'Tai chinh'!O114</f>
        <v>16126.996552129469</v>
      </c>
      <c r="O35" s="4">
        <f>'Tai chinh'!P114</f>
        <v>16610.80644869335</v>
      </c>
      <c r="P35" s="4">
        <f>'Tai chinh'!Q114</f>
        <v>17109.130642154152</v>
      </c>
      <c r="Q35" s="4">
        <f>'Tai chinh'!R114</f>
        <v>17622.404561418778</v>
      </c>
      <c r="R35" s="4">
        <f>'Tai chinh'!S114</f>
        <v>18151.076698261342</v>
      </c>
      <c r="S35" s="4">
        <f>'Tai chinh'!T114</f>
        <v>18695.608999209184</v>
      </c>
      <c r="T35" s="4">
        <f>'Tai chinh'!U114</f>
        <v>19256.47726918546</v>
      </c>
      <c r="U35" s="4">
        <f>'Tai chinh'!V114</f>
        <v>19834.171587261026</v>
      </c>
    </row>
    <row r="36" spans="1:61" ht="12">
      <c r="A36" s="4" t="s">
        <v>75</v>
      </c>
      <c r="B36" s="4"/>
      <c r="C36" s="4"/>
      <c r="D36" s="4"/>
      <c r="E36" s="4">
        <f>E35*$D$34</f>
        <v>87.89333333333335</v>
      </c>
      <c r="F36" s="4">
        <f aca="true" t="shared" si="0" ref="F36:U36">F35*$D$34</f>
        <v>565.8133333333334</v>
      </c>
      <c r="G36" s="4">
        <f t="shared" si="0"/>
        <v>1092.727</v>
      </c>
      <c r="H36" s="4">
        <f t="shared" si="0"/>
        <v>1275.5766513333338</v>
      </c>
      <c r="I36" s="4">
        <f t="shared" si="0"/>
        <v>1391.1288891600002</v>
      </c>
      <c r="J36" s="4">
        <f t="shared" si="0"/>
        <v>1432.8627558348003</v>
      </c>
      <c r="K36" s="4">
        <f t="shared" si="0"/>
        <v>1475.8486385098442</v>
      </c>
      <c r="L36" s="4">
        <f t="shared" si="0"/>
        <v>1520.12409766514</v>
      </c>
      <c r="M36" s="4">
        <f t="shared" si="0"/>
        <v>1565.7278205950943</v>
      </c>
      <c r="N36" s="4">
        <f t="shared" si="0"/>
        <v>1612.699655212947</v>
      </c>
      <c r="O36" s="4">
        <f t="shared" si="0"/>
        <v>1661.0806448693352</v>
      </c>
      <c r="P36" s="4">
        <f t="shared" si="0"/>
        <v>1710.9130642154153</v>
      </c>
      <c r="Q36" s="4">
        <f t="shared" si="0"/>
        <v>1762.240456141878</v>
      </c>
      <c r="R36" s="4">
        <f t="shared" si="0"/>
        <v>1815.1076698261343</v>
      </c>
      <c r="S36" s="4">
        <f t="shared" si="0"/>
        <v>1869.5608999209185</v>
      </c>
      <c r="T36" s="4">
        <f t="shared" si="0"/>
        <v>1925.6477269185461</v>
      </c>
      <c r="U36" s="4">
        <f t="shared" si="0"/>
        <v>1983.4171587261026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21" ht="12">
      <c r="A37" s="2" t="s">
        <v>73</v>
      </c>
      <c r="E37" s="22">
        <f>$D$33</f>
        <v>0.20897823637549653</v>
      </c>
      <c r="F37" s="22">
        <f aca="true" t="shared" si="1" ref="F37:U37">$D$33</f>
        <v>0.20897823637549653</v>
      </c>
      <c r="G37" s="22">
        <f t="shared" si="1"/>
        <v>0.20897823637549653</v>
      </c>
      <c r="H37" s="22">
        <f t="shared" si="1"/>
        <v>0.20897823637549653</v>
      </c>
      <c r="I37" s="22">
        <f t="shared" si="1"/>
        <v>0.20897823637549653</v>
      </c>
      <c r="J37" s="22">
        <f t="shared" si="1"/>
        <v>0.20897823637549653</v>
      </c>
      <c r="K37" s="22">
        <f t="shared" si="1"/>
        <v>0.20897823637549653</v>
      </c>
      <c r="L37" s="22">
        <f t="shared" si="1"/>
        <v>0.20897823637549653</v>
      </c>
      <c r="M37" s="22">
        <f t="shared" si="1"/>
        <v>0.20897823637549653</v>
      </c>
      <c r="N37" s="22">
        <f t="shared" si="1"/>
        <v>0.20897823637549653</v>
      </c>
      <c r="O37" s="22">
        <f t="shared" si="1"/>
        <v>0.20897823637549653</v>
      </c>
      <c r="P37" s="22">
        <f t="shared" si="1"/>
        <v>0.20897823637549653</v>
      </c>
      <c r="Q37" s="22">
        <f t="shared" si="1"/>
        <v>0.20897823637549653</v>
      </c>
      <c r="R37" s="22">
        <f t="shared" si="1"/>
        <v>0.20897823637549653</v>
      </c>
      <c r="S37" s="22">
        <f t="shared" si="1"/>
        <v>0.20897823637549653</v>
      </c>
      <c r="T37" s="22">
        <f t="shared" si="1"/>
        <v>0.20897823637549653</v>
      </c>
      <c r="U37" s="22">
        <f t="shared" si="1"/>
        <v>0.20897823637549653</v>
      </c>
    </row>
    <row r="38" spans="5:21" ht="12"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">
      <c r="A39" s="1" t="s">
        <v>234</v>
      </c>
      <c r="B39" s="1"/>
      <c r="C39" s="1"/>
      <c r="E39" s="17">
        <f>E37*E36</f>
        <v>18.367793789163645</v>
      </c>
      <c r="F39" s="17">
        <f aca="true" t="shared" si="2" ref="F39:U39">F37*F36</f>
        <v>118.24267251774096</v>
      </c>
      <c r="G39" s="17">
        <f t="shared" si="2"/>
        <v>228.35616129988722</v>
      </c>
      <c r="H39" s="17">
        <f t="shared" si="2"/>
        <v>266.56775895740174</v>
      </c>
      <c r="I39" s="17">
        <f t="shared" si="2"/>
        <v>290.7156618276604</v>
      </c>
      <c r="J39" s="17">
        <f t="shared" si="2"/>
        <v>299.43713168249025</v>
      </c>
      <c r="K39" s="17">
        <f t="shared" si="2"/>
        <v>308.42024563296496</v>
      </c>
      <c r="L39" s="17">
        <f t="shared" si="2"/>
        <v>317.672853001954</v>
      </c>
      <c r="M39" s="17">
        <f t="shared" si="2"/>
        <v>327.20303859201266</v>
      </c>
      <c r="N39" s="17">
        <f t="shared" si="2"/>
        <v>337.019129749773</v>
      </c>
      <c r="O39" s="17">
        <f t="shared" si="2"/>
        <v>347.1297036422661</v>
      </c>
      <c r="P39" s="17">
        <f t="shared" si="2"/>
        <v>357.54359475153416</v>
      </c>
      <c r="Q39" s="17">
        <f t="shared" si="2"/>
        <v>368.26990259408024</v>
      </c>
      <c r="R39" s="17">
        <f t="shared" si="2"/>
        <v>379.3179996719026</v>
      </c>
      <c r="S39" s="17">
        <f t="shared" si="2"/>
        <v>390.69753966205974</v>
      </c>
      <c r="T39" s="17">
        <f t="shared" si="2"/>
        <v>402.41846585192155</v>
      </c>
      <c r="U39" s="17">
        <f t="shared" si="2"/>
        <v>414.4910198274792</v>
      </c>
    </row>
    <row r="43" spans="5:21" ht="12"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</sheetData>
  <sheetProtection/>
  <printOptions gridLines="1" headings="1"/>
  <pageMargins left="0.75" right="0.75" top="1" bottom="1" header="0.5" footer="0.5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 </cp:lastModifiedBy>
  <cp:lastPrinted>2011-08-24T00:58:25Z</cp:lastPrinted>
  <dcterms:created xsi:type="dcterms:W3CDTF">2007-04-23T10:11:25Z</dcterms:created>
  <dcterms:modified xsi:type="dcterms:W3CDTF">2012-11-05T01:52:26Z</dcterms:modified>
  <cp:category/>
  <cp:version/>
  <cp:contentType/>
  <cp:contentStatus/>
</cp:coreProperties>
</file>