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0" windowWidth="15015" windowHeight="9660" activeTab="0"/>
  </bookViews>
  <sheets>
    <sheet name="Analysis" sheetId="1" r:id="rId1"/>
    <sheet name="Cost of Capit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Xuan Thanh</author>
  </authors>
  <commentList>
    <comment ref="A173" authorId="0">
      <text>
        <r>
          <rPr>
            <b/>
            <sz val="8"/>
            <rFont val="Tahoma"/>
            <family val="0"/>
          </rPr>
          <t>Bỏ qua việc hoàn thuế VAT</t>
        </r>
      </text>
    </comment>
    <comment ref="E187" authorId="0">
      <text>
        <r>
          <rPr>
            <b/>
            <sz val="8"/>
            <rFont val="Tahoma"/>
            <family val="0"/>
          </rPr>
          <t>Giá trị hoán chuyển</t>
        </r>
      </text>
    </comment>
    <comment ref="G198" authorId="0">
      <text>
        <r>
          <rPr>
            <b/>
            <sz val="8"/>
            <rFont val="Tahoma"/>
            <family val="0"/>
          </rPr>
          <t>Giá trị hoán chuyển</t>
        </r>
      </text>
    </comment>
    <comment ref="B214" authorId="0">
      <text>
        <r>
          <rPr>
            <b/>
            <sz val="8"/>
            <rFont val="Tahoma"/>
            <family val="0"/>
          </rPr>
          <t>Giá trị hoán chuyển</t>
        </r>
      </text>
    </comment>
    <comment ref="H203" authorId="0">
      <text>
        <r>
          <rPr>
            <b/>
            <sz val="8"/>
            <rFont val="Tahoma"/>
            <family val="0"/>
          </rPr>
          <t>Giá trị hoán chuyển</t>
        </r>
      </text>
    </comment>
    <comment ref="I193" authorId="0">
      <text>
        <r>
          <rPr>
            <b/>
            <sz val="8"/>
            <rFont val="Tahoma"/>
            <family val="0"/>
          </rPr>
          <t>Giá trị hoán chuyển</t>
        </r>
      </text>
    </comment>
  </commentList>
</comments>
</file>

<file path=xl/comments2.xml><?xml version="1.0" encoding="utf-8"?>
<comments xmlns="http://schemas.openxmlformats.org/spreadsheetml/2006/main">
  <authors>
    <author>Nguyen Xuan Thanh</author>
  </authors>
  <commentList>
    <comment ref="E4" authorId="0">
      <text>
        <r>
          <rPr>
            <b/>
            <sz val="8"/>
            <rFont val="Tahoma"/>
            <family val="0"/>
          </rPr>
          <t>1 = luật đinh
2 = bình quân</t>
        </r>
      </text>
    </comment>
    <comment ref="E6" authorId="0">
      <text>
        <r>
          <rPr>
            <b/>
            <sz val="8"/>
            <rFont val="Tahoma"/>
            <family val="0"/>
          </rPr>
          <t>1 = ban đầu
2 = bình quân</t>
        </r>
      </text>
    </comment>
  </commentList>
</comments>
</file>

<file path=xl/sharedStrings.xml><?xml version="1.0" encoding="utf-8"?>
<sst xmlns="http://schemas.openxmlformats.org/spreadsheetml/2006/main" count="261" uniqueCount="202">
  <si>
    <t>Chi phí đầu tư</t>
  </si>
  <si>
    <t>Công suất (MW)</t>
  </si>
  <si>
    <t>Tỷ lệ sử dụng công suất</t>
  </si>
  <si>
    <t>Hợp đồng EPC</t>
  </si>
  <si>
    <t>Phụ tùng ban đầu</t>
  </si>
  <si>
    <t>Dịch vụ tư vấn</t>
  </si>
  <si>
    <t>Quản lý</t>
  </si>
  <si>
    <t>Chi phí cam kết tài trợ</t>
  </si>
  <si>
    <t>Dự phòng tăng chi phí thực</t>
  </si>
  <si>
    <t>Dự phòng lạm phát</t>
  </si>
  <si>
    <t>Chi phí lãi vay trong thời gian xây dựng</t>
  </si>
  <si>
    <t>Chi phí cấu thành TSCĐ được khấu hao</t>
  </si>
  <si>
    <t>Chi phí bảo hiểm</t>
  </si>
  <si>
    <t>Chi phí nhiên liệu ban đầu</t>
  </si>
  <si>
    <t>Tổng chi phí đầu tư</t>
  </si>
  <si>
    <t>Số giờ hoạt động trong năm (giờ)</t>
  </si>
  <si>
    <t>Giá khí (USD/triệu BTU)</t>
  </si>
  <si>
    <t>Sản lượng điện (triệu kWh)</t>
  </si>
  <si>
    <t>Chi phí hoạt động cố định (triệu USD)</t>
  </si>
  <si>
    <t>Chi phí hoạt động cố định (USD/kW/tháng)</t>
  </si>
  <si>
    <t>Chi phí hoạt động biến đổi (xen/kWh)</t>
  </si>
  <si>
    <t>Lãi suất danh nghĩa</t>
  </si>
  <si>
    <t>Lạm phát USD</t>
  </si>
  <si>
    <t>Ân hạn (năm)</t>
  </si>
  <si>
    <t>Giải ngân</t>
  </si>
  <si>
    <t>Vốn chủ sở hữu</t>
  </si>
  <si>
    <t>Dư nợ đầu kỳ</t>
  </si>
  <si>
    <t>Trả lãi vay</t>
  </si>
  <si>
    <t>Trả nợ gốc</t>
  </si>
  <si>
    <t>Dư nợ cuối kỳ</t>
  </si>
  <si>
    <t>Lãi suất thực</t>
  </si>
  <si>
    <t>Lịch trả nợ gốc</t>
  </si>
  <si>
    <t>Kỳ hạn (số năm kể từ lúc bắt đầu giải ngân)</t>
  </si>
  <si>
    <t>Lãi vay trong thời gian xây dựng</t>
  </si>
  <si>
    <t>Lịch nợ vay ODA</t>
  </si>
  <si>
    <t>Lịch nợ vay thương mại</t>
  </si>
  <si>
    <t>Lịch khấu hao</t>
  </si>
  <si>
    <t>TSCĐ đầu kỳ</t>
  </si>
  <si>
    <t>Khấu hao</t>
  </si>
  <si>
    <t>TSCĐ cuối kỳ</t>
  </si>
  <si>
    <t>Doanh thu</t>
  </si>
  <si>
    <t>Chi phí sửa chữa bảo trì (triệu USD)</t>
  </si>
  <si>
    <t>Thuế thu nhập doanh nghiệp</t>
  </si>
  <si>
    <t>Thuế suất thuế TNDN</t>
  </si>
  <si>
    <t>Chi phí khí tự nhiên (xen/kWh)</t>
  </si>
  <si>
    <t>Suất nhiệt (BTU/kWh)</t>
  </si>
  <si>
    <t>Huy động vốn</t>
  </si>
  <si>
    <t>Ngân lưu</t>
  </si>
  <si>
    <t>Báo cáo thu nhập</t>
  </si>
  <si>
    <t>Thuế thu nhập DN</t>
  </si>
  <si>
    <t>Ngân lưu vào</t>
  </si>
  <si>
    <t>Ngân lưu ra</t>
  </si>
  <si>
    <t>Ngân lưu ròng dự án</t>
  </si>
  <si>
    <t>Ngân lưu nợ vay</t>
  </si>
  <si>
    <t>Ngân lưu chủ sở hữu</t>
  </si>
  <si>
    <t>PHÂN TÍCH</t>
  </si>
  <si>
    <t>IEEF</t>
  </si>
  <si>
    <t>Quỹ đầu tư</t>
  </si>
  <si>
    <t>UBND tỉnh</t>
  </si>
  <si>
    <t>Cơ cấu vốn chủ sở hữu</t>
  </si>
  <si>
    <t>Cơ cấu vốn dự án</t>
  </si>
  <si>
    <t>Nợ vay</t>
  </si>
  <si>
    <t>ADB</t>
  </si>
  <si>
    <t>NHTM quốc tế</t>
  </si>
  <si>
    <t>Lãi vay XD nhập gốc</t>
  </si>
  <si>
    <t>Chi phí vốn</t>
  </si>
  <si>
    <t>Chênh lệch lãi suất tương ứng tính theo điểm cơ bản</t>
  </si>
  <si>
    <t>A1</t>
  </si>
  <si>
    <t>Thị trường Hoa Kỳ</t>
  </si>
  <si>
    <t>Việt Nam</t>
  </si>
  <si>
    <t>A2</t>
  </si>
  <si>
    <t>Hệ số tín nhiệm vay nợ Moody's</t>
  </si>
  <si>
    <t>B1</t>
  </si>
  <si>
    <t>A3</t>
  </si>
  <si>
    <t>Mức bù rủi ro quốc gia</t>
  </si>
  <si>
    <t>Aa1</t>
  </si>
  <si>
    <t>Mức bù rủi ro thị trường</t>
  </si>
  <si>
    <t>Aa2</t>
  </si>
  <si>
    <t>Aa3</t>
  </si>
  <si>
    <t>Aaa</t>
  </si>
  <si>
    <t>Nợ/Vốn chủ sở hữu (D/E)</t>
  </si>
  <si>
    <t>Thuế suất thuế thu nhập</t>
  </si>
  <si>
    <t>B2</t>
  </si>
  <si>
    <t>B3</t>
  </si>
  <si>
    <t>Ba1</t>
  </si>
  <si>
    <t>Ba2</t>
  </si>
  <si>
    <t>Danh nghĩa</t>
  </si>
  <si>
    <t>Thực</t>
  </si>
  <si>
    <t>Ba3</t>
  </si>
  <si>
    <t>Baa1</t>
  </si>
  <si>
    <t>Baa2</t>
  </si>
  <si>
    <t>Baa3</t>
  </si>
  <si>
    <t>Caa1</t>
  </si>
  <si>
    <t>Caa2</t>
  </si>
  <si>
    <t>Caa3</t>
  </si>
  <si>
    <t>Lợi suất trái phiếu năm 2009</t>
  </si>
  <si>
    <t>Suất sinh lợi trung bình cổ phiếu, 1928-2008</t>
  </si>
  <si>
    <t>Suất sinh lợi trung bình trái phiếu CP, 1928-2008</t>
  </si>
  <si>
    <t>Hệ số beta có vay nợ ngành điện</t>
  </si>
  <si>
    <t>Hệ số beta không vay nợ ngành điện</t>
  </si>
  <si>
    <t>Hệ số beta có vay nợ tính cho Dự án DPA</t>
  </si>
  <si>
    <t>Ghi nhớ</t>
  </si>
  <si>
    <t>Thuế suất lợi nhuận hiệu dụng</t>
  </si>
  <si>
    <t>D/E</t>
  </si>
  <si>
    <t>Hệ số tín nhiệm</t>
  </si>
  <si>
    <t>NPV</t>
  </si>
  <si>
    <t>IRR</t>
  </si>
  <si>
    <t>Dự án</t>
  </si>
  <si>
    <t>Vốn CSH</t>
  </si>
  <si>
    <t>BẢNG THÔNG SỐ</t>
  </si>
  <si>
    <t>Ngân lưu thuế</t>
  </si>
  <si>
    <t>VAT</t>
  </si>
  <si>
    <t>Thuế TNDN</t>
  </si>
  <si>
    <t>Thuế suất VAT</t>
  </si>
  <si>
    <t>Chi phí đầu tư (triệu USD)</t>
  </si>
  <si>
    <t>Ngân lưu chi phí đầu tư</t>
  </si>
  <si>
    <t>Thời gian khấu hao (năm)</t>
  </si>
  <si>
    <t>Vay ODA (ADB OCR) (triệu USD)</t>
  </si>
  <si>
    <t>Vay NHTM quốc tế (triệu USD)</t>
  </si>
  <si>
    <t>Bảng cân đối tài sản</t>
  </si>
  <si>
    <t>Tài sản cố định</t>
  </si>
  <si>
    <t>Tài sản</t>
  </si>
  <si>
    <t>Cộng</t>
  </si>
  <si>
    <t>Nợ và vốn CSH</t>
  </si>
  <si>
    <t>Vốn chủ sở hữu, E (đầu kỳ)</t>
  </si>
  <si>
    <t>Nợ vay, D (đầu kỳ)</t>
  </si>
  <si>
    <t>Lạm phát VND</t>
  </si>
  <si>
    <t>Chỉ số giá USD</t>
  </si>
  <si>
    <t>- Khấu hao</t>
  </si>
  <si>
    <t>- Lãi vay</t>
  </si>
  <si>
    <t>Rủi ro hối đoái</t>
  </si>
  <si>
    <t>Giá điện (cent/kWh)</t>
  </si>
  <si>
    <t>Lợi nhuận hoạt động</t>
  </si>
  <si>
    <t>Phí quản lý</t>
  </si>
  <si>
    <t>Lợi nhuận trước khấu hao, lãi vay và thuế (EBITDA)</t>
  </si>
  <si>
    <t>Lợi nhuận trước lãi vay và thuế (EBIT)</t>
  </si>
  <si>
    <t>Lợi nhuận trước thuế (EBT)</t>
  </si>
  <si>
    <t>Lợi nhuận sau thuế (NI)</t>
  </si>
  <si>
    <t>Chỉ số kỹ thuật và vận hành</t>
  </si>
  <si>
    <t>Phí quản lý/doanh thu</t>
  </si>
  <si>
    <t>Phí quản lý/lợi nhuận hoạt động</t>
  </si>
  <si>
    <t>Thông số vĩ mô</t>
  </si>
  <si>
    <t>Ngân lưu chi phí đầu tư, không điều chỉnh lạm phát</t>
  </si>
  <si>
    <t>Vốn chủ sở hữu (triệu USD), không điều chỉnh lạm phát</t>
  </si>
  <si>
    <t>Tỷ lệ thời gian sử dụng (plant dispatch factor)</t>
  </si>
  <si>
    <t>- Chi phí nhiên liệu</t>
  </si>
  <si>
    <t>- Chi phí hoạt động cố định</t>
  </si>
  <si>
    <t>- Chi phí hoạt động biến đổi</t>
  </si>
  <si>
    <t>- Chi phí sửa chữa bảo trì</t>
  </si>
  <si>
    <t>Thuế</t>
  </si>
  <si>
    <t>Chi phi nợ vay</t>
  </si>
  <si>
    <t>Chi phí vốn chủ sở hữu</t>
  </si>
  <si>
    <t>DNNN</t>
  </si>
  <si>
    <t>Chi phi vốn CSH của IEEF</t>
  </si>
  <si>
    <t>Chi phí vốn CSH của Quỹ đầu tư</t>
  </si>
  <si>
    <t>Chi phí vốn ngân sách</t>
  </si>
  <si>
    <t>Chi phí nhiên liệu</t>
  </si>
  <si>
    <t>Chi phí hoạt động cố định</t>
  </si>
  <si>
    <t>Chi phí hoạt động biến đổi</t>
  </si>
  <si>
    <t>Chi phí sửa chữa bảo trì</t>
  </si>
  <si>
    <t>Sử dụng thuế suất TNDN theo luật định hay bình quân hiệu dụng</t>
  </si>
  <si>
    <t>Sử dụng tỷ lệ D/E ban đầu hay bình quân</t>
  </si>
  <si>
    <t>Tỷ lệ D/E</t>
  </si>
  <si>
    <t>Tỷ lệ E/V</t>
  </si>
  <si>
    <t>Tỷ lệ D/V</t>
  </si>
  <si>
    <t>Dự án DPE</t>
  </si>
  <si>
    <t>WACC trước thuế</t>
  </si>
  <si>
    <t>Ngân lưu ngân sách</t>
  </si>
  <si>
    <t>DSCR</t>
  </si>
  <si>
    <t>Tỷ lệ an toàn trả nợ</t>
  </si>
  <si>
    <t>Ngân lưu sẵn có để trả nợ (CADS)</t>
  </si>
  <si>
    <t>Trả lãi và nợ gốc</t>
  </si>
  <si>
    <t>IRR CSH</t>
  </si>
  <si>
    <t>NPV CSH</t>
  </si>
  <si>
    <t>Giá điện</t>
  </si>
  <si>
    <t>Giá khí</t>
  </si>
  <si>
    <t>Tỷ lệ điều độ</t>
  </si>
  <si>
    <t>Phân tích kịch bản</t>
  </si>
  <si>
    <t>PHÂN TÍCH ĐỘ NHẠY</t>
  </si>
  <si>
    <t>Thay đổi giá điện</t>
  </si>
  <si>
    <t>Chi phí xây dựng</t>
  </si>
  <si>
    <t>Độ nhạy hai chiều</t>
  </si>
  <si>
    <t>NPV chủ sở hữu</t>
  </si>
  <si>
    <t>Thay đổi tỷ lệ điều độ</t>
  </si>
  <si>
    <t>Thay đổi dự phòng chi phí thực</t>
  </si>
  <si>
    <t>Thay đổi
giá khí</t>
  </si>
  <si>
    <t>Kịch bản 1: giá điện được điều chỉnh theo lạm phát như trong mô hình cơ sở</t>
  </si>
  <si>
    <t>Chỉ số giá VND</t>
  </si>
  <si>
    <t>Tỷ giá</t>
  </si>
  <si>
    <t>Tỷ giá (VND/USD)</t>
  </si>
  <si>
    <t>Chọn kịch bản</t>
  </si>
  <si>
    <t>Thay đổi kịch bản</t>
  </si>
  <si>
    <t>Kịch bản 2: giá điện được giữ nguyên theo giá danh nghĩa USD là 8,5 xen/kWh</t>
  </si>
  <si>
    <t>Kịch bản 3: giá điện tính theo VND, điều chỉnh bằng ½ tỷ lệ lạm phát VND</t>
  </si>
  <si>
    <t>Tổng hợp</t>
  </si>
  <si>
    <t>Giá điện không điều chỉnh theo lạm phát</t>
  </si>
  <si>
    <t>Chi phí xây dựng tăng 50%</t>
  </si>
  <si>
    <t>Tăng cao hơn tỷ lệ lạm phát</t>
  </si>
  <si>
    <t>Thay đổi mức tăng cao hơn so với tỷ lệ lạm phát</t>
  </si>
  <si>
    <t>Giá khí tăng cao gấp đôi tỷ lệ lạm phát</t>
  </si>
  <si>
    <t>Mô hình cơ sở</t>
  </si>
  <si>
    <t>Tỷ lệ điều độ bằng 65%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</si>
</sst>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0.0000"/>
    <numFmt numFmtId="168" formatCode="0.0"/>
    <numFmt numFmtId="169" formatCode="#,##0.0"/>
    <numFmt numFmtId="170" formatCode="0.000000"/>
    <numFmt numFmtId="171" formatCode="#,##0.000"/>
    <numFmt numFmtId="172" formatCode="0.00000000"/>
    <numFmt numFmtId="173" formatCode="0.0000000"/>
    <numFmt numFmtId="174" formatCode="0.000%"/>
    <numFmt numFmtId="175" formatCode="0.000000000000000%"/>
    <numFmt numFmtId="176" formatCode="#,##0.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_(* #,##0.0_);_(* \(#,##0.0\);_(* &quot;-&quot;??_);_(@_)"/>
    <numFmt numFmtId="183" formatCode="#,##0;[Red]#,##0"/>
    <numFmt numFmtId="184" formatCode="#,##0.0;[Red]#,##0.0"/>
    <numFmt numFmtId="185" formatCode="#,##0.00;[Red]#,##0.00"/>
  </numFmts>
  <fonts count="31">
    <font>
      <sz val="10"/>
      <color indexed="8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8"/>
      <name val="Arial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8"/>
      <name val="Geneva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Tahoma"/>
      <family val="0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168" fontId="20" fillId="0" borderId="0" xfId="0" applyNumberFormat="1" applyFont="1" applyAlignment="1">
      <alignment/>
    </xf>
    <xf numFmtId="165" fontId="20" fillId="0" borderId="0" xfId="59" applyNumberFormat="1" applyFont="1" applyAlignment="1">
      <alignment/>
    </xf>
    <xf numFmtId="16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 horizontal="left" indent="1"/>
    </xf>
    <xf numFmtId="9" fontId="20" fillId="0" borderId="0" xfId="59" applyFont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indent="2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10" fontId="19" fillId="0" borderId="13" xfId="59" applyNumberFormat="1" applyFont="1" applyBorder="1" applyAlignment="1">
      <alignment/>
    </xf>
    <xf numFmtId="174" fontId="19" fillId="0" borderId="13" xfId="0" applyNumberFormat="1" applyFont="1" applyBorder="1" applyAlignment="1">
      <alignment/>
    </xf>
    <xf numFmtId="10" fontId="19" fillId="0" borderId="13" xfId="0" applyNumberFormat="1" applyFont="1" applyBorder="1" applyAlignment="1">
      <alignment/>
    </xf>
    <xf numFmtId="10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10" fontId="19" fillId="0" borderId="15" xfId="59" applyNumberFormat="1" applyFont="1" applyBorder="1" applyAlignment="1">
      <alignment/>
    </xf>
    <xf numFmtId="10" fontId="19" fillId="0" borderId="15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 horizontal="left" indent="1"/>
    </xf>
    <xf numFmtId="174" fontId="19" fillId="0" borderId="13" xfId="0" applyNumberFormat="1" applyFont="1" applyBorder="1" applyAlignment="1">
      <alignment/>
    </xf>
    <xf numFmtId="10" fontId="19" fillId="0" borderId="0" xfId="0" applyNumberFormat="1" applyFont="1" applyAlignment="1">
      <alignment/>
    </xf>
    <xf numFmtId="10" fontId="19" fillId="0" borderId="0" xfId="59" applyNumberFormat="1" applyFont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10" fontId="19" fillId="0" borderId="13" xfId="59" applyNumberFormat="1" applyFont="1" applyBorder="1" applyAlignment="1">
      <alignment/>
    </xf>
    <xf numFmtId="41" fontId="27" fillId="0" borderId="0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/>
    </xf>
    <xf numFmtId="10" fontId="19" fillId="0" borderId="0" xfId="59" applyNumberFormat="1" applyFont="1" applyBorder="1" applyAlignment="1">
      <alignment/>
    </xf>
    <xf numFmtId="0" fontId="20" fillId="0" borderId="0" xfId="0" applyFont="1" applyAlignment="1">
      <alignment horizontal="left" indent="1"/>
    </xf>
    <xf numFmtId="4" fontId="20" fillId="0" borderId="0" xfId="0" applyNumberFormat="1" applyFont="1" applyAlignment="1">
      <alignment horizontal="left" indent="1"/>
    </xf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0" fontId="20" fillId="0" borderId="0" xfId="59" applyNumberFormat="1" applyFont="1" applyAlignment="1">
      <alignment/>
    </xf>
    <xf numFmtId="176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20" fillId="7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0" fillId="0" borderId="0" xfId="0" applyFont="1" applyAlignment="1" quotePrefix="1">
      <alignment/>
    </xf>
    <xf numFmtId="167" fontId="19" fillId="0" borderId="13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0" fontId="20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indent="1"/>
    </xf>
    <xf numFmtId="2" fontId="20" fillId="0" borderId="0" xfId="0" applyNumberFormat="1" applyFont="1" applyFill="1" applyAlignment="1">
      <alignment/>
    </xf>
    <xf numFmtId="168" fontId="20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10" fontId="19" fillId="0" borderId="16" xfId="59" applyNumberFormat="1" applyFont="1" applyBorder="1" applyAlignment="1">
      <alignment/>
    </xf>
    <xf numFmtId="0" fontId="19" fillId="0" borderId="16" xfId="0" applyFont="1" applyBorder="1" applyAlignment="1">
      <alignment/>
    </xf>
    <xf numFmtId="10" fontId="19" fillId="0" borderId="11" xfId="59" applyNumberFormat="1" applyFont="1" applyBorder="1" applyAlignment="1">
      <alignment/>
    </xf>
    <xf numFmtId="10" fontId="19" fillId="0" borderId="17" xfId="59" applyNumberFormat="1" applyFont="1" applyBorder="1" applyAlignment="1">
      <alignment/>
    </xf>
    <xf numFmtId="0" fontId="19" fillId="0" borderId="17" xfId="0" applyFont="1" applyBorder="1" applyAlignment="1">
      <alignment/>
    </xf>
    <xf numFmtId="0" fontId="22" fillId="7" borderId="10" xfId="0" applyFont="1" applyFill="1" applyBorder="1" applyAlignment="1">
      <alignment/>
    </xf>
    <xf numFmtId="10" fontId="22" fillId="7" borderId="16" xfId="0" applyNumberFormat="1" applyFont="1" applyFill="1" applyBorder="1" applyAlignment="1">
      <alignment/>
    </xf>
    <xf numFmtId="10" fontId="22" fillId="7" borderId="11" xfId="59" applyNumberFormat="1" applyFont="1" applyFill="1" applyBorder="1" applyAlignment="1">
      <alignment/>
    </xf>
    <xf numFmtId="0" fontId="22" fillId="7" borderId="12" xfId="0" applyFont="1" applyFill="1" applyBorder="1" applyAlignment="1">
      <alignment/>
    </xf>
    <xf numFmtId="10" fontId="22" fillId="7" borderId="0" xfId="0" applyNumberFormat="1" applyFont="1" applyFill="1" applyBorder="1" applyAlignment="1">
      <alignment/>
    </xf>
    <xf numFmtId="10" fontId="22" fillId="7" borderId="13" xfId="59" applyNumberFormat="1" applyFont="1" applyFill="1" applyBorder="1" applyAlignment="1">
      <alignment/>
    </xf>
    <xf numFmtId="0" fontId="22" fillId="7" borderId="14" xfId="0" applyFont="1" applyFill="1" applyBorder="1" applyAlignment="1">
      <alignment/>
    </xf>
    <xf numFmtId="10" fontId="22" fillId="7" borderId="17" xfId="59" applyNumberFormat="1" applyFont="1" applyFill="1" applyBorder="1" applyAlignment="1">
      <alignment/>
    </xf>
    <xf numFmtId="10" fontId="22" fillId="7" borderId="15" xfId="59" applyNumberFormat="1" applyFont="1" applyFill="1" applyBorder="1" applyAlignment="1">
      <alignment/>
    </xf>
    <xf numFmtId="0" fontId="20" fillId="7" borderId="0" xfId="0" applyFont="1" applyFill="1" applyAlignment="1">
      <alignment/>
    </xf>
    <xf numFmtId="1" fontId="20" fillId="7" borderId="0" xfId="0" applyNumberFormat="1" applyFont="1" applyFill="1" applyAlignment="1">
      <alignment/>
    </xf>
    <xf numFmtId="3" fontId="20" fillId="7" borderId="0" xfId="0" applyNumberFormat="1" applyFont="1" applyFill="1" applyAlignment="1">
      <alignment/>
    </xf>
    <xf numFmtId="2" fontId="20" fillId="7" borderId="0" xfId="0" applyNumberFormat="1" applyFont="1" applyFill="1" applyAlignment="1">
      <alignment/>
    </xf>
    <xf numFmtId="0" fontId="29" fillId="0" borderId="0" xfId="0" applyFont="1" applyAlignment="1">
      <alignment/>
    </xf>
    <xf numFmtId="2" fontId="21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168" fontId="20" fillId="0" borderId="18" xfId="0" applyNumberFormat="1" applyFont="1" applyBorder="1" applyAlignment="1">
      <alignment/>
    </xf>
    <xf numFmtId="168" fontId="20" fillId="0" borderId="19" xfId="0" applyNumberFormat="1" applyFont="1" applyBorder="1" applyAlignment="1">
      <alignment/>
    </xf>
    <xf numFmtId="168" fontId="20" fillId="0" borderId="20" xfId="0" applyNumberFormat="1" applyFont="1" applyBorder="1" applyAlignment="1">
      <alignment/>
    </xf>
    <xf numFmtId="165" fontId="20" fillId="0" borderId="21" xfId="59" applyNumberFormat="1" applyFont="1" applyBorder="1" applyAlignment="1">
      <alignment/>
    </xf>
    <xf numFmtId="10" fontId="20" fillId="0" borderId="22" xfId="59" applyNumberFormat="1" applyFont="1" applyBorder="1" applyAlignment="1">
      <alignment/>
    </xf>
    <xf numFmtId="165" fontId="20" fillId="0" borderId="22" xfId="59" applyNumberFormat="1" applyFont="1" applyBorder="1" applyAlignment="1">
      <alignment/>
    </xf>
    <xf numFmtId="165" fontId="20" fillId="0" borderId="23" xfId="59" applyNumberFormat="1" applyFont="1" applyBorder="1" applyAlignment="1">
      <alignment/>
    </xf>
    <xf numFmtId="0" fontId="20" fillId="0" borderId="0" xfId="0" applyFont="1" applyAlignment="1">
      <alignment horizontal="center"/>
    </xf>
    <xf numFmtId="165" fontId="20" fillId="22" borderId="0" xfId="0" applyNumberFormat="1" applyFont="1" applyFill="1" applyAlignment="1">
      <alignment/>
    </xf>
    <xf numFmtId="168" fontId="20" fillId="22" borderId="19" xfId="0" applyNumberFormat="1" applyFont="1" applyFill="1" applyBorder="1" applyAlignment="1">
      <alignment/>
    </xf>
    <xf numFmtId="10" fontId="20" fillId="22" borderId="22" xfId="59" applyNumberFormat="1" applyFont="1" applyFill="1" applyBorder="1" applyAlignment="1">
      <alignment/>
    </xf>
    <xf numFmtId="2" fontId="21" fillId="22" borderId="0" xfId="0" applyNumberFormat="1" applyFont="1" applyFill="1" applyAlignment="1">
      <alignment/>
    </xf>
    <xf numFmtId="10" fontId="20" fillId="0" borderId="21" xfId="59" applyNumberFormat="1" applyFont="1" applyBorder="1" applyAlignment="1">
      <alignment/>
    </xf>
    <xf numFmtId="10" fontId="20" fillId="0" borderId="23" xfId="59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2" fontId="20" fillId="0" borderId="19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1" fontId="21" fillId="22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168" fontId="20" fillId="0" borderId="18" xfId="42" applyNumberFormat="1" applyFont="1" applyBorder="1" applyAlignment="1">
      <alignment/>
    </xf>
    <xf numFmtId="168" fontId="20" fillId="0" borderId="19" xfId="42" applyNumberFormat="1" applyFont="1" applyBorder="1" applyAlignment="1">
      <alignment/>
    </xf>
    <xf numFmtId="168" fontId="20" fillId="0" borderId="20" xfId="42" applyNumberFormat="1" applyFont="1" applyBorder="1" applyAlignment="1">
      <alignment/>
    </xf>
    <xf numFmtId="168" fontId="20" fillId="0" borderId="24" xfId="42" applyNumberFormat="1" applyFont="1" applyBorder="1" applyAlignment="1">
      <alignment/>
    </xf>
    <xf numFmtId="168" fontId="20" fillId="0" borderId="0" xfId="42" applyNumberFormat="1" applyFont="1" applyBorder="1" applyAlignment="1">
      <alignment/>
    </xf>
    <xf numFmtId="168" fontId="20" fillId="0" borderId="25" xfId="42" applyNumberFormat="1" applyFont="1" applyBorder="1" applyAlignment="1">
      <alignment/>
    </xf>
    <xf numFmtId="168" fontId="20" fillId="0" borderId="21" xfId="42" applyNumberFormat="1" applyFont="1" applyBorder="1" applyAlignment="1">
      <alignment/>
    </xf>
    <xf numFmtId="168" fontId="20" fillId="0" borderId="22" xfId="42" applyNumberFormat="1" applyFont="1" applyBorder="1" applyAlignment="1">
      <alignment/>
    </xf>
    <xf numFmtId="168" fontId="20" fillId="0" borderId="23" xfId="42" applyNumberFormat="1" applyFont="1" applyBorder="1" applyAlignment="1">
      <alignment/>
    </xf>
    <xf numFmtId="10" fontId="21" fillId="22" borderId="0" xfId="0" applyNumberFormat="1" applyFont="1" applyFill="1" applyAlignment="1">
      <alignment/>
    </xf>
    <xf numFmtId="0" fontId="20" fillId="0" borderId="0" xfId="0" applyFont="1" applyAlignment="1">
      <alignment horizontal="right" vertical="center" textRotation="90" wrapText="1"/>
    </xf>
    <xf numFmtId="0" fontId="0" fillId="0" borderId="0" xfId="0" applyAlignment="1">
      <alignment horizontal="right"/>
    </xf>
    <xf numFmtId="185" fontId="20" fillId="0" borderId="0" xfId="0" applyNumberFormat="1" applyFont="1" applyAlignment="1">
      <alignment/>
    </xf>
    <xf numFmtId="0" fontId="30" fillId="0" borderId="0" xfId="0" applyFont="1" applyAlignment="1">
      <alignment/>
    </xf>
    <xf numFmtId="10" fontId="20" fillId="0" borderId="21" xfId="0" applyNumberFormat="1" applyFont="1" applyBorder="1" applyAlignment="1">
      <alignment/>
    </xf>
    <xf numFmtId="10" fontId="20" fillId="0" borderId="22" xfId="0" applyNumberFormat="1" applyFont="1" applyBorder="1" applyAlignment="1">
      <alignment/>
    </xf>
    <xf numFmtId="10" fontId="20" fillId="0" borderId="23" xfId="0" applyNumberFormat="1" applyFont="1" applyBorder="1" applyAlignment="1">
      <alignment/>
    </xf>
    <xf numFmtId="165" fontId="20" fillId="0" borderId="0" xfId="59" applyNumberFormat="1" applyFont="1" applyBorder="1" applyAlignment="1">
      <alignment/>
    </xf>
    <xf numFmtId="10" fontId="20" fillId="0" borderId="0" xfId="59" applyNumberFormat="1" applyFont="1" applyBorder="1" applyAlignment="1">
      <alignment/>
    </xf>
    <xf numFmtId="10" fontId="20" fillId="0" borderId="0" xfId="59" applyNumberFormat="1" applyFont="1" applyFill="1" applyBorder="1" applyAlignment="1">
      <alignment/>
    </xf>
    <xf numFmtId="165" fontId="20" fillId="0" borderId="0" xfId="59" applyNumberFormat="1" applyFont="1" applyBorder="1" applyAlignment="1">
      <alignment horizontal="center"/>
    </xf>
    <xf numFmtId="10" fontId="20" fillId="0" borderId="22" xfId="59" applyNumberFormat="1" applyFont="1" applyFill="1" applyBorder="1" applyAlignment="1">
      <alignment/>
    </xf>
    <xf numFmtId="168" fontId="20" fillId="22" borderId="20" xfId="0" applyNumberFormat="1" applyFont="1" applyFill="1" applyBorder="1" applyAlignment="1">
      <alignment/>
    </xf>
    <xf numFmtId="165" fontId="20" fillId="22" borderId="23" xfId="59" applyNumberFormat="1" applyFont="1" applyFill="1" applyBorder="1" applyAlignment="1">
      <alignment/>
    </xf>
    <xf numFmtId="168" fontId="20" fillId="0" borderId="19" xfId="0" applyNumberFormat="1" applyFont="1" applyFill="1" applyBorder="1" applyAlignment="1">
      <alignment/>
    </xf>
    <xf numFmtId="10" fontId="21" fillId="22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5"/>
  <sheetViews>
    <sheetView tabSelected="1" workbookViewId="0" topLeftCell="A1">
      <pane xSplit="1" ySplit="2" topLeftCell="B1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31" sqref="B231"/>
    </sheetView>
  </sheetViews>
  <sheetFormatPr defaultColWidth="9.140625" defaultRowHeight="12.75"/>
  <cols>
    <col min="1" max="1" width="29.8515625" style="2" customWidth="1"/>
    <col min="2" max="24" width="8.7109375" style="2" customWidth="1"/>
    <col min="25" max="16384" width="9.140625" style="2" customWidth="1"/>
  </cols>
  <sheetData>
    <row r="1" spans="2:24" ht="10.5"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>
        <v>2020</v>
      </c>
      <c r="N1" s="2">
        <v>2021</v>
      </c>
      <c r="O1" s="2">
        <v>2022</v>
      </c>
      <c r="P1" s="2">
        <v>2023</v>
      </c>
      <c r="Q1" s="2">
        <v>2024</v>
      </c>
      <c r="R1" s="2">
        <v>2025</v>
      </c>
      <c r="S1" s="2">
        <v>2026</v>
      </c>
      <c r="T1" s="2">
        <v>2027</v>
      </c>
      <c r="U1" s="2">
        <v>2028</v>
      </c>
      <c r="V1" s="2">
        <v>2029</v>
      </c>
      <c r="W1" s="2">
        <v>2030</v>
      </c>
      <c r="X1" s="2">
        <v>2031</v>
      </c>
    </row>
    <row r="2" spans="2:24" ht="10.5"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</row>
    <row r="3" ht="10.5">
      <c r="A3" s="9" t="s">
        <v>109</v>
      </c>
    </row>
    <row r="4" ht="10.5">
      <c r="A4" s="9" t="s">
        <v>141</v>
      </c>
    </row>
    <row r="5" spans="1:2" ht="10.5">
      <c r="A5" s="68" t="s">
        <v>126</v>
      </c>
      <c r="B5" s="69">
        <v>0.068</v>
      </c>
    </row>
    <row r="6" spans="1:2" ht="10.5">
      <c r="A6" s="67" t="s">
        <v>22</v>
      </c>
      <c r="B6" s="69">
        <v>0.008</v>
      </c>
    </row>
    <row r="7" spans="1:2" ht="10.5">
      <c r="A7" s="67" t="s">
        <v>189</v>
      </c>
      <c r="B7" s="10">
        <v>18000</v>
      </c>
    </row>
    <row r="8" spans="1:4" ht="10.5">
      <c r="A8" s="9" t="s">
        <v>114</v>
      </c>
      <c r="B8" s="8"/>
      <c r="C8" s="8"/>
      <c r="D8" s="8"/>
    </row>
    <row r="9" spans="1:4" ht="10.5">
      <c r="A9" s="2" t="s">
        <v>3</v>
      </c>
      <c r="B9" s="7">
        <v>295</v>
      </c>
      <c r="C9" s="8"/>
      <c r="D9" s="8"/>
    </row>
    <row r="10" spans="1:4" ht="10.5">
      <c r="A10" s="2" t="s">
        <v>4</v>
      </c>
      <c r="B10" s="7">
        <v>12.3</v>
      </c>
      <c r="C10" s="8"/>
      <c r="D10" s="8"/>
    </row>
    <row r="11" spans="1:4" ht="11.25">
      <c r="A11" s="1" t="s">
        <v>5</v>
      </c>
      <c r="B11" s="7">
        <v>10.2</v>
      </c>
      <c r="C11" s="8"/>
      <c r="D11" s="8"/>
    </row>
    <row r="12" spans="1:4" ht="11.25">
      <c r="A12" s="1" t="s">
        <v>6</v>
      </c>
      <c r="B12" s="7">
        <v>12</v>
      </c>
      <c r="C12" s="8"/>
      <c r="D12" s="8"/>
    </row>
    <row r="13" spans="1:4" ht="11.25">
      <c r="A13" s="1" t="s">
        <v>13</v>
      </c>
      <c r="B13" s="7">
        <v>12</v>
      </c>
      <c r="C13" s="8"/>
      <c r="D13" s="8"/>
    </row>
    <row r="14" spans="1:4" ht="11.25">
      <c r="A14" s="1" t="s">
        <v>12</v>
      </c>
      <c r="B14" s="7">
        <v>6.6</v>
      </c>
      <c r="C14" s="8"/>
      <c r="D14" s="8"/>
    </row>
    <row r="15" spans="1:4" ht="11.25">
      <c r="A15" s="1" t="s">
        <v>7</v>
      </c>
      <c r="B15" s="7">
        <v>6.7</v>
      </c>
      <c r="C15" s="8"/>
      <c r="D15" s="8"/>
    </row>
    <row r="16" spans="1:4" ht="11.25">
      <c r="A16" s="1" t="s">
        <v>8</v>
      </c>
      <c r="B16" s="7">
        <v>240</v>
      </c>
      <c r="C16" s="8"/>
      <c r="D16" s="8"/>
    </row>
    <row r="17" spans="1:2" ht="11.25">
      <c r="A17" s="1" t="s">
        <v>9</v>
      </c>
      <c r="B17" s="62">
        <f>SUM(B77:D77)-SUM(B20:D20)</f>
        <v>7.054265600000008</v>
      </c>
    </row>
    <row r="18" spans="1:2" ht="11.25">
      <c r="A18" s="1" t="s">
        <v>10</v>
      </c>
      <c r="B18" s="62">
        <f>SUM(B94:D94)</f>
        <v>11.329477248000009</v>
      </c>
    </row>
    <row r="19" spans="1:2" ht="11.25">
      <c r="A19" s="1" t="s">
        <v>14</v>
      </c>
      <c r="B19" s="7">
        <f>SUM(B9:B18)</f>
        <v>613.183742848</v>
      </c>
    </row>
    <row r="20" spans="1:7" ht="11.25">
      <c r="A20" s="1" t="s">
        <v>142</v>
      </c>
      <c r="B20" s="7">
        <v>38.5</v>
      </c>
      <c r="C20" s="7">
        <v>233.4</v>
      </c>
      <c r="D20" s="62">
        <f>SUM(B9:B16)-C20-B20</f>
        <v>322.9</v>
      </c>
      <c r="F20" s="8"/>
      <c r="G20" s="8"/>
    </row>
    <row r="21" spans="1:4" ht="11.25">
      <c r="A21" s="1" t="s">
        <v>11</v>
      </c>
      <c r="B21" s="7">
        <f>SUM(B9:B11)+B14+B15+B16+B18+B13+B12+B17</f>
        <v>613.183742848</v>
      </c>
      <c r="D21" s="8"/>
    </row>
    <row r="22" spans="1:2" ht="11.25">
      <c r="A22" s="1" t="s">
        <v>116</v>
      </c>
      <c r="B22" s="2">
        <v>20</v>
      </c>
    </row>
    <row r="23" ht="11.25">
      <c r="A23" s="15" t="s">
        <v>46</v>
      </c>
    </row>
    <row r="24" spans="1:2" ht="11.25">
      <c r="A24" s="1" t="s">
        <v>117</v>
      </c>
      <c r="B24" s="2">
        <v>120</v>
      </c>
    </row>
    <row r="25" spans="1:2" ht="11.25">
      <c r="A25" s="11" t="s">
        <v>21</v>
      </c>
      <c r="B25" s="63">
        <f>(1+B26)*(1+$B$6)-1</f>
        <v>0.05360000000000009</v>
      </c>
    </row>
    <row r="26" spans="1:2" ht="11.25">
      <c r="A26" s="11" t="s">
        <v>30</v>
      </c>
      <c r="B26" s="63">
        <f>(1+5.36%)/(1+0.8%)-1</f>
        <v>0.0452380952380953</v>
      </c>
    </row>
    <row r="27" spans="1:2" ht="11.25">
      <c r="A27" s="11" t="s">
        <v>32</v>
      </c>
      <c r="B27" s="2">
        <v>14</v>
      </c>
    </row>
    <row r="28" spans="1:2" ht="11.25">
      <c r="A28" s="11" t="s">
        <v>23</v>
      </c>
      <c r="B28" s="2">
        <v>2</v>
      </c>
    </row>
    <row r="29" spans="1:3" ht="11.25">
      <c r="A29" s="11" t="s">
        <v>24</v>
      </c>
      <c r="B29" s="2">
        <v>3.8</v>
      </c>
      <c r="C29" s="90">
        <f>B24-B29</f>
        <v>116.2</v>
      </c>
    </row>
    <row r="30" spans="1:15" ht="11.25">
      <c r="A30" s="11" t="s">
        <v>31</v>
      </c>
      <c r="F30" s="3">
        <v>0.05</v>
      </c>
      <c r="G30" s="3">
        <v>0.05</v>
      </c>
      <c r="H30" s="3">
        <v>0.05</v>
      </c>
      <c r="I30" s="3">
        <v>0.1</v>
      </c>
      <c r="J30" s="3">
        <v>0.1</v>
      </c>
      <c r="K30" s="3">
        <v>0.1</v>
      </c>
      <c r="L30" s="3">
        <v>0.1</v>
      </c>
      <c r="M30" s="3">
        <v>0.15</v>
      </c>
      <c r="N30" s="3">
        <v>0.15</v>
      </c>
      <c r="O30" s="3">
        <v>0.15</v>
      </c>
    </row>
    <row r="31" spans="1:2" ht="11.25">
      <c r="A31" s="1" t="s">
        <v>118</v>
      </c>
      <c r="B31" s="2">
        <v>156</v>
      </c>
    </row>
    <row r="32" spans="1:2" ht="11.25">
      <c r="A32" s="11" t="s">
        <v>21</v>
      </c>
      <c r="B32" s="63">
        <f>(1+B33)*(1+$B$6)-1</f>
        <v>0.08129999999999993</v>
      </c>
    </row>
    <row r="33" spans="1:2" ht="11.25">
      <c r="A33" s="11" t="s">
        <v>30</v>
      </c>
      <c r="B33" s="63">
        <f>(1+8.13%)/(1+0.8%)-1</f>
        <v>0.07271825396825382</v>
      </c>
    </row>
    <row r="34" spans="1:2" ht="11.25">
      <c r="A34" s="11" t="s">
        <v>32</v>
      </c>
      <c r="B34" s="2">
        <v>11</v>
      </c>
    </row>
    <row r="35" spans="1:2" ht="11.25">
      <c r="A35" s="11" t="s">
        <v>23</v>
      </c>
      <c r="B35" s="2">
        <v>1</v>
      </c>
    </row>
    <row r="36" spans="1:4" ht="11.25">
      <c r="A36" s="11" t="s">
        <v>24</v>
      </c>
      <c r="B36" s="7"/>
      <c r="C36" s="7">
        <v>57.6</v>
      </c>
      <c r="D36" s="62">
        <f>B31-C36</f>
        <v>98.4</v>
      </c>
    </row>
    <row r="37" spans="1:13" ht="11.25">
      <c r="A37" s="11" t="s">
        <v>31</v>
      </c>
      <c r="B37" s="7"/>
      <c r="C37" s="7"/>
      <c r="D37" s="7"/>
      <c r="F37" s="13">
        <f aca="true" t="shared" si="0" ref="F37:M37">(100/8)%</f>
        <v>0.125</v>
      </c>
      <c r="G37" s="13">
        <f t="shared" si="0"/>
        <v>0.125</v>
      </c>
      <c r="H37" s="13">
        <f t="shared" si="0"/>
        <v>0.125</v>
      </c>
      <c r="I37" s="13">
        <f t="shared" si="0"/>
        <v>0.125</v>
      </c>
      <c r="J37" s="13">
        <f t="shared" si="0"/>
        <v>0.125</v>
      </c>
      <c r="K37" s="13">
        <f t="shared" si="0"/>
        <v>0.125</v>
      </c>
      <c r="L37" s="13">
        <f t="shared" si="0"/>
        <v>0.125</v>
      </c>
      <c r="M37" s="13">
        <f t="shared" si="0"/>
        <v>0.125</v>
      </c>
    </row>
    <row r="38" spans="1:4" ht="11.25">
      <c r="A38" s="1" t="s">
        <v>143</v>
      </c>
      <c r="B38" s="7">
        <f>B20-B29-B36</f>
        <v>34.7</v>
      </c>
      <c r="C38" s="7">
        <f>C20-C29-C36</f>
        <v>59.6</v>
      </c>
      <c r="D38" s="7">
        <f>D20-D29-D36</f>
        <v>224.49999999999997</v>
      </c>
    </row>
    <row r="39" spans="1:4" ht="11.25">
      <c r="A39" s="1" t="s">
        <v>59</v>
      </c>
      <c r="B39" s="8"/>
      <c r="C39" s="8"/>
      <c r="D39" s="8"/>
    </row>
    <row r="40" spans="1:4" ht="10.5">
      <c r="A40" s="18" t="s">
        <v>56</v>
      </c>
      <c r="B40" s="19">
        <f>1-B41-B42</f>
        <v>0.5</v>
      </c>
      <c r="C40" s="8"/>
      <c r="D40" s="8"/>
    </row>
    <row r="41" spans="1:4" ht="10.5">
      <c r="A41" s="18" t="s">
        <v>57</v>
      </c>
      <c r="B41" s="19">
        <v>0.45</v>
      </c>
      <c r="C41" s="8"/>
      <c r="D41" s="8"/>
    </row>
    <row r="42" spans="1:4" ht="10.5">
      <c r="A42" s="18" t="s">
        <v>58</v>
      </c>
      <c r="B42" s="19">
        <v>0.05</v>
      </c>
      <c r="C42" s="8"/>
      <c r="D42" s="8"/>
    </row>
    <row r="43" spans="1:4" ht="10.5">
      <c r="A43" s="21" t="s">
        <v>60</v>
      </c>
      <c r="B43" s="7">
        <f>B19</f>
        <v>613.183742848</v>
      </c>
      <c r="C43" s="13">
        <f aca="true" t="shared" si="1" ref="C43:C50">B43/$B$43</f>
        <v>1</v>
      </c>
      <c r="D43" s="7"/>
    </row>
    <row r="44" spans="1:4" ht="10.5">
      <c r="A44" s="18" t="s">
        <v>25</v>
      </c>
      <c r="B44" s="7">
        <f>B43-B48</f>
        <v>325.85426559999996</v>
      </c>
      <c r="C44" s="13">
        <f t="shared" si="1"/>
        <v>0.5314137391942807</v>
      </c>
      <c r="D44" s="59"/>
    </row>
    <row r="45" spans="1:4" ht="10.5">
      <c r="A45" s="22" t="s">
        <v>56</v>
      </c>
      <c r="B45" s="7">
        <f>$B$44*B40</f>
        <v>162.92713279999998</v>
      </c>
      <c r="C45" s="13">
        <f t="shared" si="1"/>
        <v>0.26570686959714035</v>
      </c>
      <c r="D45" s="7"/>
    </row>
    <row r="46" spans="1:4" ht="10.5">
      <c r="A46" s="22" t="s">
        <v>57</v>
      </c>
      <c r="B46" s="7">
        <f>$B$44*B41</f>
        <v>146.63441952</v>
      </c>
      <c r="C46" s="13">
        <f t="shared" si="1"/>
        <v>0.23913618263742636</v>
      </c>
      <c r="D46" s="8"/>
    </row>
    <row r="47" spans="1:4" ht="10.5">
      <c r="A47" s="22" t="s">
        <v>58</v>
      </c>
      <c r="B47" s="7">
        <f>$B$44*B42</f>
        <v>16.292713279999997</v>
      </c>
      <c r="C47" s="13">
        <f t="shared" si="1"/>
        <v>0.026570686959714037</v>
      </c>
      <c r="D47" s="8"/>
    </row>
    <row r="48" spans="1:4" ht="10.5">
      <c r="A48" s="18" t="s">
        <v>61</v>
      </c>
      <c r="B48" s="7">
        <f>B49+B50</f>
        <v>287.329477248</v>
      </c>
      <c r="C48" s="13">
        <f t="shared" si="1"/>
        <v>0.46858626080571925</v>
      </c>
      <c r="D48" s="8"/>
    </row>
    <row r="49" spans="1:4" ht="10.5">
      <c r="A49" s="22" t="s">
        <v>62</v>
      </c>
      <c r="B49" s="7">
        <f>D84</f>
        <v>126.64659724800002</v>
      </c>
      <c r="C49" s="13">
        <f t="shared" si="1"/>
        <v>0.20653939169974703</v>
      </c>
      <c r="D49" s="8"/>
    </row>
    <row r="50" spans="1:4" ht="10.5">
      <c r="A50" s="22" t="s">
        <v>63</v>
      </c>
      <c r="B50" s="7">
        <f>D92</f>
        <v>160.68287999999998</v>
      </c>
      <c r="C50" s="13">
        <f t="shared" si="1"/>
        <v>0.26204686910597225</v>
      </c>
      <c r="D50" s="8"/>
    </row>
    <row r="51" ht="11.25">
      <c r="A51" s="15" t="s">
        <v>138</v>
      </c>
    </row>
    <row r="52" spans="1:2" ht="10.5">
      <c r="A52" s="2" t="s">
        <v>1</v>
      </c>
      <c r="B52" s="2">
        <v>700</v>
      </c>
    </row>
    <row r="53" spans="1:2" ht="10.5">
      <c r="A53" s="2" t="s">
        <v>2</v>
      </c>
      <c r="B53" s="4">
        <v>0.9</v>
      </c>
    </row>
    <row r="54" spans="1:2" ht="10.5">
      <c r="A54" s="2" t="s">
        <v>144</v>
      </c>
      <c r="B54" s="4">
        <v>0.65</v>
      </c>
    </row>
    <row r="55" spans="1:2" ht="10.5">
      <c r="A55" s="2" t="s">
        <v>15</v>
      </c>
      <c r="B55" s="91">
        <f>B54*365*24</f>
        <v>5694</v>
      </c>
    </row>
    <row r="56" spans="1:2" ht="10.5">
      <c r="A56" s="2" t="s">
        <v>17</v>
      </c>
      <c r="B56" s="92">
        <f>B52*1000*B55/10^6</f>
        <v>3985.8</v>
      </c>
    </row>
    <row r="57" spans="1:2" ht="10.5">
      <c r="A57" s="2" t="s">
        <v>45</v>
      </c>
      <c r="B57" s="5">
        <v>6200</v>
      </c>
    </row>
    <row r="58" spans="1:24" ht="10.5">
      <c r="A58" s="2" t="s">
        <v>131</v>
      </c>
      <c r="B58" s="70">
        <v>8.5</v>
      </c>
      <c r="D58" s="6"/>
      <c r="E58" s="6">
        <f aca="true" t="shared" si="2" ref="E58:X58">$B$58</f>
        <v>8.5</v>
      </c>
      <c r="F58" s="6">
        <f t="shared" si="2"/>
        <v>8.5</v>
      </c>
      <c r="G58" s="6">
        <f t="shared" si="2"/>
        <v>8.5</v>
      </c>
      <c r="H58" s="6">
        <f t="shared" si="2"/>
        <v>8.5</v>
      </c>
      <c r="I58" s="6">
        <f t="shared" si="2"/>
        <v>8.5</v>
      </c>
      <c r="J58" s="6">
        <f t="shared" si="2"/>
        <v>8.5</v>
      </c>
      <c r="K58" s="6">
        <f t="shared" si="2"/>
        <v>8.5</v>
      </c>
      <c r="L58" s="6">
        <f t="shared" si="2"/>
        <v>8.5</v>
      </c>
      <c r="M58" s="6">
        <f t="shared" si="2"/>
        <v>8.5</v>
      </c>
      <c r="N58" s="6">
        <f t="shared" si="2"/>
        <v>8.5</v>
      </c>
      <c r="O58" s="6">
        <f t="shared" si="2"/>
        <v>8.5</v>
      </c>
      <c r="P58" s="6">
        <f t="shared" si="2"/>
        <v>8.5</v>
      </c>
      <c r="Q58" s="6">
        <f t="shared" si="2"/>
        <v>8.5</v>
      </c>
      <c r="R58" s="6">
        <f t="shared" si="2"/>
        <v>8.5</v>
      </c>
      <c r="S58" s="6">
        <f t="shared" si="2"/>
        <v>8.5</v>
      </c>
      <c r="T58" s="6">
        <f t="shared" si="2"/>
        <v>8.5</v>
      </c>
      <c r="U58" s="6">
        <f t="shared" si="2"/>
        <v>8.5</v>
      </c>
      <c r="V58" s="6">
        <f t="shared" si="2"/>
        <v>8.5</v>
      </c>
      <c r="W58" s="6">
        <f t="shared" si="2"/>
        <v>8.5</v>
      </c>
      <c r="X58" s="6">
        <f t="shared" si="2"/>
        <v>8.5</v>
      </c>
    </row>
    <row r="59" spans="1:2" ht="10.5">
      <c r="A59" s="2" t="s">
        <v>16</v>
      </c>
      <c r="B59" s="12">
        <v>9.5</v>
      </c>
    </row>
    <row r="60" spans="1:2" ht="10.5">
      <c r="A60" s="2" t="s">
        <v>44</v>
      </c>
      <c r="B60" s="93">
        <f>B59*B57/10^6*100</f>
        <v>5.89</v>
      </c>
    </row>
    <row r="61" spans="1:2" ht="10.5">
      <c r="A61" s="2" t="s">
        <v>19</v>
      </c>
      <c r="B61" s="7">
        <v>1.15</v>
      </c>
    </row>
    <row r="62" spans="1:2" ht="10.5">
      <c r="A62" s="2" t="s">
        <v>18</v>
      </c>
      <c r="B62" s="90">
        <f>B61*B52*1000*12/10^6</f>
        <v>9.659999999999998</v>
      </c>
    </row>
    <row r="63" spans="1:2" ht="10.5">
      <c r="A63" s="2" t="s">
        <v>20</v>
      </c>
      <c r="B63" s="2">
        <v>0.2</v>
      </c>
    </row>
    <row r="64" spans="1:24" ht="11.25">
      <c r="A64" s="2" t="s">
        <v>41</v>
      </c>
      <c r="B64" s="8"/>
      <c r="E64" s="20">
        <v>9.07</v>
      </c>
      <c r="F64" s="20">
        <v>6</v>
      </c>
      <c r="G64" s="20">
        <v>37.54</v>
      </c>
      <c r="H64" s="20">
        <v>6.3</v>
      </c>
      <c r="I64" s="20">
        <v>16.46</v>
      </c>
      <c r="J64" s="20">
        <v>28.02</v>
      </c>
      <c r="K64" s="20">
        <v>20.91</v>
      </c>
      <c r="L64" s="20">
        <v>9.8</v>
      </c>
      <c r="M64" s="20">
        <v>18.53</v>
      </c>
      <c r="N64" s="20">
        <v>10.98</v>
      </c>
      <c r="O64" s="20">
        <v>10.55</v>
      </c>
      <c r="P64" s="20">
        <v>21.64</v>
      </c>
      <c r="Q64" s="20">
        <v>12.05</v>
      </c>
      <c r="R64" s="20">
        <v>11.37</v>
      </c>
      <c r="S64" s="20">
        <v>24.9</v>
      </c>
      <c r="T64" s="20">
        <v>15.13</v>
      </c>
      <c r="U64" s="20">
        <v>12.24</v>
      </c>
      <c r="V64" s="20">
        <v>23.61</v>
      </c>
      <c r="W64" s="20">
        <v>10.22</v>
      </c>
      <c r="X64" s="20">
        <v>12.94</v>
      </c>
    </row>
    <row r="65" spans="1:24" ht="11.25">
      <c r="A65" s="2" t="s">
        <v>139</v>
      </c>
      <c r="B65" s="19">
        <v>0.01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1.25">
      <c r="A66" s="2" t="s">
        <v>140</v>
      </c>
      <c r="B66" s="19">
        <v>0.03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ht="10.5">
      <c r="A67" s="9" t="s">
        <v>149</v>
      </c>
    </row>
    <row r="68" spans="1:2" ht="10.5">
      <c r="A68" s="2" t="s">
        <v>43</v>
      </c>
      <c r="B68" s="4">
        <v>0.25</v>
      </c>
    </row>
    <row r="69" spans="1:2" ht="10.5">
      <c r="A69" s="2" t="s">
        <v>113</v>
      </c>
      <c r="B69" s="4">
        <v>0.05</v>
      </c>
    </row>
    <row r="70" ht="10.5"/>
    <row r="71" ht="10.5"/>
    <row r="72" ht="10.5">
      <c r="A72" s="9" t="s">
        <v>55</v>
      </c>
    </row>
    <row r="73" spans="1:24" ht="10.5">
      <c r="A73" s="16" t="s">
        <v>187</v>
      </c>
      <c r="B73" s="2">
        <v>1</v>
      </c>
      <c r="C73" s="14">
        <f>B73*(1+$B5)</f>
        <v>1.068</v>
      </c>
      <c r="D73" s="14">
        <f>C73*(1+$B5)</f>
        <v>1.140624</v>
      </c>
      <c r="E73" s="14">
        <f>D73*(1+$B5)</f>
        <v>1.2181864320000002</v>
      </c>
      <c r="F73" s="14">
        <f>E73*(1+$B5)</f>
        <v>1.3010231093760003</v>
      </c>
      <c r="G73" s="14">
        <f>F73*(1+$B5)</f>
        <v>1.3894926808135684</v>
      </c>
      <c r="H73" s="14">
        <f>G73*(1+$B5)</f>
        <v>1.4839781831088912</v>
      </c>
      <c r="I73" s="14">
        <f>H73*(1+$B5)</f>
        <v>1.5848886995602958</v>
      </c>
      <c r="J73" s="14">
        <f>I73*(1+$B5)</f>
        <v>1.692661131130396</v>
      </c>
      <c r="K73" s="14">
        <f>J73*(1+$B5)</f>
        <v>1.8077620880472631</v>
      </c>
      <c r="L73" s="14">
        <f>K73*(1+$B5)</f>
        <v>1.9306899100344772</v>
      </c>
      <c r="M73" s="14">
        <f>L73*(1+$B5)</f>
        <v>2.061976823916822</v>
      </c>
      <c r="N73" s="14">
        <f>M73*(1+$B5)</f>
        <v>2.202191247943166</v>
      </c>
      <c r="O73" s="14">
        <f>N73*(1+$B5)</f>
        <v>2.3519402528033013</v>
      </c>
      <c r="P73" s="14">
        <f>O73*(1+$B5)</f>
        <v>2.511872189993926</v>
      </c>
      <c r="Q73" s="14">
        <f>P73*(1+$B5)</f>
        <v>2.682679498913513</v>
      </c>
      <c r="R73" s="14">
        <f>Q73*(1+$B5)</f>
        <v>2.865101704839632</v>
      </c>
      <c r="S73" s="14">
        <f>R73*(1+$B5)</f>
        <v>3.0599286207687273</v>
      </c>
      <c r="T73" s="14">
        <f>S73*(1+$B5)</f>
        <v>3.268003766981001</v>
      </c>
      <c r="U73" s="14">
        <f>T73*(1+$B5)</f>
        <v>3.4902280231357095</v>
      </c>
      <c r="V73" s="14">
        <f>U73*(1+$B5)</f>
        <v>3.727563528708938</v>
      </c>
      <c r="W73" s="14">
        <f>V73*(1+$B5)</f>
        <v>3.981037848661146</v>
      </c>
      <c r="X73" s="14">
        <f>W73*(1+$B5)</f>
        <v>4.251748422370104</v>
      </c>
    </row>
    <row r="74" spans="1:25" ht="10.5">
      <c r="A74" s="16" t="s">
        <v>127</v>
      </c>
      <c r="B74" s="2">
        <v>1</v>
      </c>
      <c r="C74" s="14">
        <f>B74*(1+$B6)</f>
        <v>1.008</v>
      </c>
      <c r="D74" s="14">
        <f>C74*(1+$B6)</f>
        <v>1.016064</v>
      </c>
      <c r="E74" s="14">
        <f>D74*(1+$B6)</f>
        <v>1.0241925120000002</v>
      </c>
      <c r="F74" s="14">
        <f>E74*(1+$B6)</f>
        <v>1.0323860520960002</v>
      </c>
      <c r="G74" s="14">
        <f>F74*(1+$B6)</f>
        <v>1.0406451405127681</v>
      </c>
      <c r="H74" s="14">
        <f>G74*(1+$B6)</f>
        <v>1.0489703016368703</v>
      </c>
      <c r="I74" s="14">
        <f>H74*(1+$B6)</f>
        <v>1.0573620640499652</v>
      </c>
      <c r="J74" s="14">
        <f>I74*(1+$B6)</f>
        <v>1.065820960562365</v>
      </c>
      <c r="K74" s="14">
        <f>J74*(1+$B6)</f>
        <v>1.074347528246864</v>
      </c>
      <c r="L74" s="14">
        <f>K74*(1+$B6)</f>
        <v>1.082942308472839</v>
      </c>
      <c r="M74" s="14">
        <f>L74*(1+$B6)</f>
        <v>1.0916058469406216</v>
      </c>
      <c r="N74" s="14">
        <f>M74*(1+$B6)</f>
        <v>1.1003386937161466</v>
      </c>
      <c r="O74" s="14">
        <f>N74*(1+$B6)</f>
        <v>1.1091414032658757</v>
      </c>
      <c r="P74" s="14">
        <f>O74*(1+$B6)</f>
        <v>1.1180145344920027</v>
      </c>
      <c r="Q74" s="14">
        <f>P74*(1+$B6)</f>
        <v>1.1269586507679388</v>
      </c>
      <c r="R74" s="14">
        <f>Q74*(1+$B6)</f>
        <v>1.1359743199740824</v>
      </c>
      <c r="S74" s="14">
        <f>R74*(1+$B6)</f>
        <v>1.145062114533875</v>
      </c>
      <c r="T74" s="14">
        <f>S74*(1+$B6)</f>
        <v>1.1542226114501462</v>
      </c>
      <c r="U74" s="14">
        <f>T74*(1+$B6)</f>
        <v>1.1634563923417474</v>
      </c>
      <c r="V74" s="14">
        <f>U74*(1+$B6)</f>
        <v>1.1727640434804814</v>
      </c>
      <c r="W74" s="14">
        <f>V74*(1+$B6)</f>
        <v>1.1821461558283253</v>
      </c>
      <c r="X74" s="14">
        <f>W74*(1+$B6)</f>
        <v>1.1916033250749518</v>
      </c>
      <c r="Y74" s="14"/>
    </row>
    <row r="75" spans="1:25" ht="10.5">
      <c r="A75" s="16" t="s">
        <v>188</v>
      </c>
      <c r="B75" s="10">
        <f>B7</f>
        <v>18000</v>
      </c>
      <c r="C75" s="10">
        <f>$B$75*C73/C74</f>
        <v>19071.428571428572</v>
      </c>
      <c r="D75" s="10">
        <f aca="true" t="shared" si="3" ref="D75:X75">$B$75*D73/D74</f>
        <v>20206.632653061224</v>
      </c>
      <c r="E75" s="10">
        <f t="shared" si="3"/>
        <v>21409.40840621963</v>
      </c>
      <c r="F75" s="10">
        <f t="shared" si="3"/>
        <v>22683.777954208894</v>
      </c>
      <c r="G75" s="10">
        <f t="shared" si="3"/>
        <v>24034.002832435617</v>
      </c>
      <c r="H75" s="10">
        <f t="shared" si="3"/>
        <v>25464.598239128216</v>
      </c>
      <c r="I75" s="10">
        <f t="shared" si="3"/>
        <v>26980.34813431442</v>
      </c>
      <c r="J75" s="10">
        <f t="shared" si="3"/>
        <v>28586.32123754742</v>
      </c>
      <c r="K75" s="10">
        <f t="shared" si="3"/>
        <v>30287.887977877628</v>
      </c>
      <c r="L75" s="10">
        <f t="shared" si="3"/>
        <v>32090.7384527513</v>
      </c>
      <c r="M75" s="10">
        <f t="shared" si="3"/>
        <v>34000.90145589127</v>
      </c>
      <c r="N75" s="10">
        <f t="shared" si="3"/>
        <v>36024.76463778955</v>
      </c>
      <c r="O75" s="10">
        <f t="shared" si="3"/>
        <v>38169.09586622941</v>
      </c>
      <c r="P75" s="10">
        <f t="shared" si="3"/>
        <v>40441.06585826687</v>
      </c>
      <c r="Q75" s="10">
        <f t="shared" si="3"/>
        <v>42848.272159354194</v>
      </c>
      <c r="R75" s="10">
        <f t="shared" si="3"/>
        <v>45398.76454979194</v>
      </c>
      <c r="S75" s="10">
        <f t="shared" si="3"/>
        <v>48101.07196347003</v>
      </c>
      <c r="T75" s="10">
        <f t="shared" si="3"/>
        <v>50964.231008914685</v>
      </c>
      <c r="U75" s="10">
        <f t="shared" si="3"/>
        <v>53997.81618801675</v>
      </c>
      <c r="V75" s="10">
        <f t="shared" si="3"/>
        <v>57211.971913493944</v>
      </c>
      <c r="W75" s="10">
        <f t="shared" si="3"/>
        <v>60617.44643215429</v>
      </c>
      <c r="X75" s="10">
        <f t="shared" si="3"/>
        <v>64225.62776740159</v>
      </c>
      <c r="Y75" s="10"/>
    </row>
    <row r="76" spans="1:25" ht="10.5">
      <c r="A76" s="9" t="s">
        <v>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0.5">
      <c r="A77" s="16" t="s">
        <v>115</v>
      </c>
      <c r="B77" s="71">
        <f>B20*B74</f>
        <v>38.5</v>
      </c>
      <c r="C77" s="71">
        <f>C20*C74</f>
        <v>235.2672</v>
      </c>
      <c r="D77" s="71">
        <f>D20*D74</f>
        <v>328.0870656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4" ht="10.5">
      <c r="A78" s="9" t="s">
        <v>34</v>
      </c>
      <c r="B78" s="7"/>
      <c r="C78" s="7"/>
      <c r="D78" s="7"/>
    </row>
    <row r="79" spans="1:15" ht="10.5">
      <c r="A79" s="2" t="s">
        <v>26</v>
      </c>
      <c r="B79" s="6">
        <v>0</v>
      </c>
      <c r="C79" s="6">
        <f aca="true" t="shared" si="4" ref="C79:O79">B84</f>
        <v>3.8</v>
      </c>
      <c r="D79" s="6">
        <f t="shared" si="4"/>
        <v>120.20368</v>
      </c>
      <c r="E79" s="14">
        <f t="shared" si="4"/>
        <v>126.64659724800002</v>
      </c>
      <c r="F79" s="6">
        <f t="shared" si="4"/>
        <v>126.64659724800002</v>
      </c>
      <c r="G79" s="6">
        <f t="shared" si="4"/>
        <v>120.31426738560002</v>
      </c>
      <c r="H79" s="6">
        <f t="shared" si="4"/>
        <v>113.98193752320002</v>
      </c>
      <c r="I79" s="6">
        <f t="shared" si="4"/>
        <v>107.64960766080002</v>
      </c>
      <c r="J79" s="6">
        <f t="shared" si="4"/>
        <v>94.98494793600001</v>
      </c>
      <c r="K79" s="6">
        <f t="shared" si="4"/>
        <v>82.32028821120001</v>
      </c>
      <c r="L79" s="6">
        <f t="shared" si="4"/>
        <v>69.6556284864</v>
      </c>
      <c r="M79" s="6">
        <f t="shared" si="4"/>
        <v>56.9909687616</v>
      </c>
      <c r="N79" s="6">
        <f t="shared" si="4"/>
        <v>37.993979174399996</v>
      </c>
      <c r="O79" s="6">
        <f t="shared" si="4"/>
        <v>18.996989587199995</v>
      </c>
    </row>
    <row r="80" spans="1:15" ht="10.5">
      <c r="A80" s="2" t="s">
        <v>24</v>
      </c>
      <c r="B80" s="6">
        <f aca="true" t="shared" si="5" ref="B80:O80">B29</f>
        <v>3.8</v>
      </c>
      <c r="C80" s="6">
        <f t="shared" si="5"/>
        <v>116.2</v>
      </c>
      <c r="D80" s="6">
        <f t="shared" si="5"/>
        <v>0</v>
      </c>
      <c r="E80" s="6">
        <f t="shared" si="5"/>
        <v>0</v>
      </c>
      <c r="F80" s="6">
        <f t="shared" si="5"/>
        <v>0</v>
      </c>
      <c r="G80" s="6">
        <f t="shared" si="5"/>
        <v>0</v>
      </c>
      <c r="H80" s="6">
        <f t="shared" si="5"/>
        <v>0</v>
      </c>
      <c r="I80" s="6">
        <f t="shared" si="5"/>
        <v>0</v>
      </c>
      <c r="J80" s="6">
        <f t="shared" si="5"/>
        <v>0</v>
      </c>
      <c r="K80" s="6">
        <f t="shared" si="5"/>
        <v>0</v>
      </c>
      <c r="L80" s="6">
        <f t="shared" si="5"/>
        <v>0</v>
      </c>
      <c r="M80" s="6">
        <f t="shared" si="5"/>
        <v>0</v>
      </c>
      <c r="N80" s="6">
        <f t="shared" si="5"/>
        <v>0</v>
      </c>
      <c r="O80" s="6">
        <f t="shared" si="5"/>
        <v>0</v>
      </c>
    </row>
    <row r="81" spans="1:15" ht="10.5">
      <c r="A81" s="2" t="s">
        <v>27</v>
      </c>
      <c r="B81" s="6">
        <v>0</v>
      </c>
      <c r="C81" s="6">
        <v>0</v>
      </c>
      <c r="D81" s="6">
        <v>0</v>
      </c>
      <c r="E81" s="6">
        <f aca="true" t="shared" si="6" ref="E81:O81">E79*$B$25</f>
        <v>6.788257612492813</v>
      </c>
      <c r="F81" s="6">
        <f t="shared" si="6"/>
        <v>6.788257612492813</v>
      </c>
      <c r="G81" s="6">
        <f t="shared" si="6"/>
        <v>6.448844731868172</v>
      </c>
      <c r="H81" s="6">
        <f t="shared" si="6"/>
        <v>6.1094318512435315</v>
      </c>
      <c r="I81" s="6">
        <f t="shared" si="6"/>
        <v>5.7700189706188905</v>
      </c>
      <c r="J81" s="6">
        <f t="shared" si="6"/>
        <v>5.091193209369609</v>
      </c>
      <c r="K81" s="6">
        <f t="shared" si="6"/>
        <v>4.412367448120328</v>
      </c>
      <c r="L81" s="6">
        <f t="shared" si="6"/>
        <v>3.7335416868710465</v>
      </c>
      <c r="M81" s="6">
        <f t="shared" si="6"/>
        <v>3.0547159256217653</v>
      </c>
      <c r="N81" s="6">
        <f t="shared" si="6"/>
        <v>2.036477283747843</v>
      </c>
      <c r="O81" s="6">
        <f t="shared" si="6"/>
        <v>1.0182386418739215</v>
      </c>
    </row>
    <row r="82" spans="1:15" ht="10.5">
      <c r="A82" s="2" t="s">
        <v>64</v>
      </c>
      <c r="B82" s="6">
        <f>B79*$B$25</f>
        <v>0</v>
      </c>
      <c r="C82" s="6">
        <f>C79*$B$25</f>
        <v>0.20368000000000033</v>
      </c>
      <c r="D82" s="6">
        <f>D79*$B$25</f>
        <v>6.442917248000011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0.5">
      <c r="A83" s="2" t="s">
        <v>28</v>
      </c>
      <c r="B83" s="6">
        <v>0</v>
      </c>
      <c r="C83" s="6">
        <v>0</v>
      </c>
      <c r="D83" s="6">
        <v>0</v>
      </c>
      <c r="E83" s="6">
        <v>0</v>
      </c>
      <c r="F83" s="6">
        <f aca="true" t="shared" si="7" ref="F83:O83">$D$84*F$30</f>
        <v>6.332329862400002</v>
      </c>
      <c r="G83" s="6">
        <f t="shared" si="7"/>
        <v>6.332329862400002</v>
      </c>
      <c r="H83" s="6">
        <f t="shared" si="7"/>
        <v>6.332329862400002</v>
      </c>
      <c r="I83" s="6">
        <f t="shared" si="7"/>
        <v>12.664659724800003</v>
      </c>
      <c r="J83" s="6">
        <f t="shared" si="7"/>
        <v>12.664659724800003</v>
      </c>
      <c r="K83" s="6">
        <f t="shared" si="7"/>
        <v>12.664659724800003</v>
      </c>
      <c r="L83" s="6">
        <f t="shared" si="7"/>
        <v>12.664659724800003</v>
      </c>
      <c r="M83" s="6">
        <f t="shared" si="7"/>
        <v>18.9969895872</v>
      </c>
      <c r="N83" s="6">
        <f t="shared" si="7"/>
        <v>18.9969895872</v>
      </c>
      <c r="O83" s="6">
        <f t="shared" si="7"/>
        <v>18.9969895872</v>
      </c>
    </row>
    <row r="84" spans="1:15" ht="10.5">
      <c r="A84" s="2" t="s">
        <v>29</v>
      </c>
      <c r="B84" s="6">
        <f aca="true" t="shared" si="8" ref="B84:O84">B79+B80-B83+B82</f>
        <v>3.8</v>
      </c>
      <c r="C84" s="6">
        <f t="shared" si="8"/>
        <v>120.20368</v>
      </c>
      <c r="D84" s="6">
        <f t="shared" si="8"/>
        <v>126.64659724800002</v>
      </c>
      <c r="E84" s="6">
        <f t="shared" si="8"/>
        <v>126.64659724800002</v>
      </c>
      <c r="F84" s="6">
        <f t="shared" si="8"/>
        <v>120.31426738560002</v>
      </c>
      <c r="G84" s="6">
        <f t="shared" si="8"/>
        <v>113.98193752320002</v>
      </c>
      <c r="H84" s="6">
        <f t="shared" si="8"/>
        <v>107.64960766080002</v>
      </c>
      <c r="I84" s="6">
        <f t="shared" si="8"/>
        <v>94.98494793600001</v>
      </c>
      <c r="J84" s="6">
        <f t="shared" si="8"/>
        <v>82.32028821120001</v>
      </c>
      <c r="K84" s="6">
        <f t="shared" si="8"/>
        <v>69.6556284864</v>
      </c>
      <c r="L84" s="6">
        <f t="shared" si="8"/>
        <v>56.9909687616</v>
      </c>
      <c r="M84" s="6">
        <f t="shared" si="8"/>
        <v>37.993979174399996</v>
      </c>
      <c r="N84" s="6">
        <f t="shared" si="8"/>
        <v>18.996989587199995</v>
      </c>
      <c r="O84" s="6">
        <f t="shared" si="8"/>
        <v>-7.105427357601002E-15</v>
      </c>
    </row>
    <row r="85" spans="1:17" ht="10.5">
      <c r="A85" s="2" t="s">
        <v>47</v>
      </c>
      <c r="B85" s="6">
        <f aca="true" t="shared" si="9" ref="B85:O85">B80-B81-B83</f>
        <v>3.8</v>
      </c>
      <c r="C85" s="6">
        <f t="shared" si="9"/>
        <v>116.2</v>
      </c>
      <c r="D85" s="6">
        <f t="shared" si="9"/>
        <v>0</v>
      </c>
      <c r="E85" s="6">
        <f t="shared" si="9"/>
        <v>-6.788257612492813</v>
      </c>
      <c r="F85" s="6">
        <f t="shared" si="9"/>
        <v>-13.120587474892815</v>
      </c>
      <c r="G85" s="6">
        <f t="shared" si="9"/>
        <v>-12.781174594268172</v>
      </c>
      <c r="H85" s="6">
        <f t="shared" si="9"/>
        <v>-12.441761713643533</v>
      </c>
      <c r="I85" s="6">
        <f t="shared" si="9"/>
        <v>-18.434678695418896</v>
      </c>
      <c r="J85" s="6">
        <f t="shared" si="9"/>
        <v>-17.755852934169614</v>
      </c>
      <c r="K85" s="6">
        <f t="shared" si="9"/>
        <v>-17.07702717292033</v>
      </c>
      <c r="L85" s="6">
        <f t="shared" si="9"/>
        <v>-16.39820141167105</v>
      </c>
      <c r="M85" s="6">
        <f t="shared" si="9"/>
        <v>-22.051705512821766</v>
      </c>
      <c r="N85" s="6">
        <f t="shared" si="9"/>
        <v>-21.033466870947844</v>
      </c>
      <c r="O85" s="6">
        <f t="shared" si="9"/>
        <v>-20.015228229073923</v>
      </c>
      <c r="P85" s="3"/>
      <c r="Q85" s="3"/>
    </row>
    <row r="86" spans="1:2" ht="10.5">
      <c r="A86" s="9" t="s">
        <v>35</v>
      </c>
      <c r="B86" s="3"/>
    </row>
    <row r="87" spans="1:15" ht="10.5">
      <c r="A87" s="2" t="s">
        <v>26</v>
      </c>
      <c r="B87" s="6">
        <v>0</v>
      </c>
      <c r="C87" s="6">
        <f aca="true" t="shared" si="10" ref="C87:M87">B92</f>
        <v>0</v>
      </c>
      <c r="D87" s="6">
        <f t="shared" si="10"/>
        <v>57.6</v>
      </c>
      <c r="E87" s="14">
        <f t="shared" si="10"/>
        <v>160.68287999999998</v>
      </c>
      <c r="F87" s="6">
        <f t="shared" si="10"/>
        <v>160.68287999999998</v>
      </c>
      <c r="G87" s="6">
        <f t="shared" si="10"/>
        <v>140.59751999999997</v>
      </c>
      <c r="H87" s="6">
        <f t="shared" si="10"/>
        <v>120.51215999999998</v>
      </c>
      <c r="I87" s="6">
        <f t="shared" si="10"/>
        <v>100.42679999999999</v>
      </c>
      <c r="J87" s="6">
        <f t="shared" si="10"/>
        <v>80.34143999999999</v>
      </c>
      <c r="K87" s="6">
        <f t="shared" si="10"/>
        <v>60.25608</v>
      </c>
      <c r="L87" s="6">
        <f t="shared" si="10"/>
        <v>40.17072</v>
      </c>
      <c r="M87" s="6">
        <f t="shared" si="10"/>
        <v>20.085360000000005</v>
      </c>
      <c r="N87" s="12"/>
      <c r="O87" s="12"/>
    </row>
    <row r="88" spans="1:15" ht="10.5">
      <c r="A88" s="2" t="s">
        <v>24</v>
      </c>
      <c r="B88" s="6">
        <f aca="true" t="shared" si="11" ref="B88:M88">B36</f>
        <v>0</v>
      </c>
      <c r="C88" s="6">
        <f t="shared" si="11"/>
        <v>57.6</v>
      </c>
      <c r="D88" s="6">
        <f t="shared" si="11"/>
        <v>98.4</v>
      </c>
      <c r="E88" s="6">
        <f t="shared" si="11"/>
        <v>0</v>
      </c>
      <c r="F88" s="6">
        <f t="shared" si="11"/>
        <v>0</v>
      </c>
      <c r="G88" s="6">
        <f t="shared" si="11"/>
        <v>0</v>
      </c>
      <c r="H88" s="6">
        <f t="shared" si="11"/>
        <v>0</v>
      </c>
      <c r="I88" s="6">
        <f t="shared" si="11"/>
        <v>0</v>
      </c>
      <c r="J88" s="6">
        <f t="shared" si="11"/>
        <v>0</v>
      </c>
      <c r="K88" s="6">
        <f t="shared" si="11"/>
        <v>0</v>
      </c>
      <c r="L88" s="6">
        <f t="shared" si="11"/>
        <v>0</v>
      </c>
      <c r="M88" s="6">
        <f t="shared" si="11"/>
        <v>0</v>
      </c>
      <c r="N88" s="12"/>
      <c r="O88" s="12"/>
    </row>
    <row r="89" spans="1:15" ht="10.5">
      <c r="A89" s="2" t="s">
        <v>27</v>
      </c>
      <c r="B89" s="6">
        <v>0</v>
      </c>
      <c r="C89" s="6">
        <v>0</v>
      </c>
      <c r="D89" s="6">
        <v>0</v>
      </c>
      <c r="E89" s="6">
        <f aca="true" t="shared" si="12" ref="E89:M89">E87*$B$32</f>
        <v>13.063518143999987</v>
      </c>
      <c r="F89" s="6">
        <f t="shared" si="12"/>
        <v>13.063518143999987</v>
      </c>
      <c r="G89" s="6">
        <f t="shared" si="12"/>
        <v>11.430578375999987</v>
      </c>
      <c r="H89" s="6">
        <f t="shared" si="12"/>
        <v>9.797638607999989</v>
      </c>
      <c r="I89" s="6">
        <f t="shared" si="12"/>
        <v>8.164698839999991</v>
      </c>
      <c r="J89" s="6">
        <f t="shared" si="12"/>
        <v>6.531759071999994</v>
      </c>
      <c r="K89" s="6">
        <f t="shared" si="12"/>
        <v>4.898819303999995</v>
      </c>
      <c r="L89" s="6">
        <f t="shared" si="12"/>
        <v>3.2658795359999973</v>
      </c>
      <c r="M89" s="6">
        <f t="shared" si="12"/>
        <v>1.6329397679999988</v>
      </c>
      <c r="N89" s="12"/>
      <c r="O89" s="12"/>
    </row>
    <row r="90" spans="1:15" ht="10.5">
      <c r="A90" s="2" t="s">
        <v>64</v>
      </c>
      <c r="B90" s="6">
        <f>B87*$B$32</f>
        <v>0</v>
      </c>
      <c r="C90" s="6">
        <f>C87*$B$32</f>
        <v>0</v>
      </c>
      <c r="D90" s="6">
        <f>D87*$B$32</f>
        <v>4.682879999999996</v>
      </c>
      <c r="E90" s="6"/>
      <c r="F90" s="6"/>
      <c r="G90" s="6"/>
      <c r="H90" s="6"/>
      <c r="I90" s="6"/>
      <c r="J90" s="6"/>
      <c r="K90" s="6"/>
      <c r="L90" s="6"/>
      <c r="M90" s="6"/>
      <c r="N90" s="12"/>
      <c r="O90" s="12"/>
    </row>
    <row r="91" spans="1:15" ht="10.5">
      <c r="A91" s="2" t="s">
        <v>28</v>
      </c>
      <c r="B91" s="6">
        <f>$B$31*B37</f>
        <v>0</v>
      </c>
      <c r="C91" s="6">
        <f>$B$31*C37</f>
        <v>0</v>
      </c>
      <c r="D91" s="6">
        <f>$B$31*D37</f>
        <v>0</v>
      </c>
      <c r="E91" s="6">
        <f>$B$31*E37</f>
        <v>0</v>
      </c>
      <c r="F91" s="6">
        <f aca="true" t="shared" si="13" ref="F91:M91">$D$92*F37</f>
        <v>20.085359999999998</v>
      </c>
      <c r="G91" s="6">
        <f t="shared" si="13"/>
        <v>20.085359999999998</v>
      </c>
      <c r="H91" s="6">
        <f t="shared" si="13"/>
        <v>20.085359999999998</v>
      </c>
      <c r="I91" s="6">
        <f t="shared" si="13"/>
        <v>20.085359999999998</v>
      </c>
      <c r="J91" s="6">
        <f t="shared" si="13"/>
        <v>20.085359999999998</v>
      </c>
      <c r="K91" s="6">
        <f t="shared" si="13"/>
        <v>20.085359999999998</v>
      </c>
      <c r="L91" s="6">
        <f t="shared" si="13"/>
        <v>20.085359999999998</v>
      </c>
      <c r="M91" s="6">
        <f t="shared" si="13"/>
        <v>20.085359999999998</v>
      </c>
      <c r="N91" s="12"/>
      <c r="O91" s="12"/>
    </row>
    <row r="92" spans="1:15" ht="10.5">
      <c r="A92" s="2" t="s">
        <v>29</v>
      </c>
      <c r="B92" s="6">
        <f aca="true" t="shared" si="14" ref="B92:M92">B87+B88-B91+B90</f>
        <v>0</v>
      </c>
      <c r="C92" s="6">
        <f t="shared" si="14"/>
        <v>57.6</v>
      </c>
      <c r="D92" s="6">
        <f t="shared" si="14"/>
        <v>160.68287999999998</v>
      </c>
      <c r="E92" s="6">
        <f t="shared" si="14"/>
        <v>160.68287999999998</v>
      </c>
      <c r="F92" s="6">
        <f t="shared" si="14"/>
        <v>140.59751999999997</v>
      </c>
      <c r="G92" s="6">
        <f t="shared" si="14"/>
        <v>120.51215999999998</v>
      </c>
      <c r="H92" s="6">
        <f t="shared" si="14"/>
        <v>100.42679999999999</v>
      </c>
      <c r="I92" s="6">
        <f t="shared" si="14"/>
        <v>80.34143999999999</v>
      </c>
      <c r="J92" s="6">
        <f t="shared" si="14"/>
        <v>60.25608</v>
      </c>
      <c r="K92" s="6">
        <f t="shared" si="14"/>
        <v>40.17072</v>
      </c>
      <c r="L92" s="6">
        <f t="shared" si="14"/>
        <v>20.085360000000005</v>
      </c>
      <c r="M92" s="6">
        <f t="shared" si="14"/>
        <v>7.105427357601002E-15</v>
      </c>
      <c r="N92" s="12"/>
      <c r="O92" s="12"/>
    </row>
    <row r="93" spans="1:17" ht="10.5">
      <c r="A93" s="2" t="s">
        <v>47</v>
      </c>
      <c r="B93" s="6">
        <f aca="true" t="shared" si="15" ref="B93:M93">B88-B89-B91</f>
        <v>0</v>
      </c>
      <c r="C93" s="6">
        <f t="shared" si="15"/>
        <v>57.6</v>
      </c>
      <c r="D93" s="6">
        <f t="shared" si="15"/>
        <v>98.4</v>
      </c>
      <c r="E93" s="6">
        <f t="shared" si="15"/>
        <v>-13.063518143999987</v>
      </c>
      <c r="F93" s="6">
        <f t="shared" si="15"/>
        <v>-33.14887814399999</v>
      </c>
      <c r="G93" s="6">
        <f t="shared" si="15"/>
        <v>-31.515938375999987</v>
      </c>
      <c r="H93" s="6">
        <f t="shared" si="15"/>
        <v>-29.882998607999987</v>
      </c>
      <c r="I93" s="6">
        <f t="shared" si="15"/>
        <v>-28.250058839999987</v>
      </c>
      <c r="J93" s="6">
        <f t="shared" si="15"/>
        <v>-26.61711907199999</v>
      </c>
      <c r="K93" s="6">
        <f t="shared" si="15"/>
        <v>-24.984179303999994</v>
      </c>
      <c r="L93" s="6">
        <f t="shared" si="15"/>
        <v>-23.351239535999994</v>
      </c>
      <c r="M93" s="6">
        <f t="shared" si="15"/>
        <v>-21.718299767999998</v>
      </c>
      <c r="P93" s="3"/>
      <c r="Q93" s="3"/>
    </row>
    <row r="94" spans="1:13" ht="10.5">
      <c r="A94" s="9" t="s">
        <v>33</v>
      </c>
      <c r="B94" s="6">
        <f>B82+B90</f>
        <v>0</v>
      </c>
      <c r="C94" s="6">
        <f>C82+C90</f>
        <v>0.20368000000000033</v>
      </c>
      <c r="D94" s="6">
        <f>D82+D90</f>
        <v>11.125797248000008</v>
      </c>
      <c r="E94" s="12"/>
      <c r="F94" s="3"/>
      <c r="G94" s="3"/>
      <c r="H94" s="3"/>
      <c r="I94" s="3"/>
      <c r="J94" s="3"/>
      <c r="K94" s="3"/>
      <c r="L94" s="3"/>
      <c r="M94" s="3"/>
    </row>
    <row r="95" spans="2:13" ht="10.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0.5">
      <c r="A96" s="9" t="s">
        <v>36</v>
      </c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24" ht="10.5">
      <c r="A97" s="2" t="s">
        <v>37</v>
      </c>
      <c r="B97" s="3"/>
      <c r="D97" s="3"/>
      <c r="E97" s="12">
        <f>$B$21</f>
        <v>613.183742848</v>
      </c>
      <c r="F97" s="12">
        <f aca="true" t="shared" si="16" ref="F97:X97">E99</f>
        <v>582.5245557055999</v>
      </c>
      <c r="G97" s="12">
        <f t="shared" si="16"/>
        <v>551.8653685631999</v>
      </c>
      <c r="H97" s="12">
        <f t="shared" si="16"/>
        <v>521.2061814207999</v>
      </c>
      <c r="I97" s="12">
        <f t="shared" si="16"/>
        <v>490.5469942783999</v>
      </c>
      <c r="J97" s="12">
        <f t="shared" si="16"/>
        <v>459.8878071359999</v>
      </c>
      <c r="K97" s="12">
        <f t="shared" si="16"/>
        <v>429.22861999359986</v>
      </c>
      <c r="L97" s="12">
        <f t="shared" si="16"/>
        <v>398.56943285119985</v>
      </c>
      <c r="M97" s="12">
        <f t="shared" si="16"/>
        <v>367.91024570879983</v>
      </c>
      <c r="N97" s="12">
        <f t="shared" si="16"/>
        <v>337.2510585663998</v>
      </c>
      <c r="O97" s="12">
        <f t="shared" si="16"/>
        <v>306.5918714239998</v>
      </c>
      <c r="P97" s="12">
        <f t="shared" si="16"/>
        <v>275.9326842815998</v>
      </c>
      <c r="Q97" s="12">
        <f t="shared" si="16"/>
        <v>245.2734971391998</v>
      </c>
      <c r="R97" s="12">
        <f t="shared" si="16"/>
        <v>214.61430999679982</v>
      </c>
      <c r="S97" s="12">
        <f t="shared" si="16"/>
        <v>183.95512285439983</v>
      </c>
      <c r="T97" s="12">
        <f t="shared" si="16"/>
        <v>153.29593571199985</v>
      </c>
      <c r="U97" s="12">
        <f t="shared" si="16"/>
        <v>122.63674856959985</v>
      </c>
      <c r="V97" s="12">
        <f t="shared" si="16"/>
        <v>91.97756142719984</v>
      </c>
      <c r="W97" s="12">
        <f t="shared" si="16"/>
        <v>61.318374284799845</v>
      </c>
      <c r="X97" s="12">
        <f t="shared" si="16"/>
        <v>30.659187142399848</v>
      </c>
    </row>
    <row r="98" spans="1:24" ht="10.5">
      <c r="A98" s="2" t="s">
        <v>38</v>
      </c>
      <c r="B98" s="3"/>
      <c r="D98" s="3"/>
      <c r="E98" s="12">
        <f aca="true" t="shared" si="17" ref="E98:X98">$E$97/$B$22</f>
        <v>30.659187142399997</v>
      </c>
      <c r="F98" s="12">
        <f t="shared" si="17"/>
        <v>30.659187142399997</v>
      </c>
      <c r="G98" s="12">
        <f t="shared" si="17"/>
        <v>30.659187142399997</v>
      </c>
      <c r="H98" s="12">
        <f t="shared" si="17"/>
        <v>30.659187142399997</v>
      </c>
      <c r="I98" s="12">
        <f t="shared" si="17"/>
        <v>30.659187142399997</v>
      </c>
      <c r="J98" s="12">
        <f t="shared" si="17"/>
        <v>30.659187142399997</v>
      </c>
      <c r="K98" s="12">
        <f t="shared" si="17"/>
        <v>30.659187142399997</v>
      </c>
      <c r="L98" s="12">
        <f t="shared" si="17"/>
        <v>30.659187142399997</v>
      </c>
      <c r="M98" s="12">
        <f t="shared" si="17"/>
        <v>30.659187142399997</v>
      </c>
      <c r="N98" s="12">
        <f t="shared" si="17"/>
        <v>30.659187142399997</v>
      </c>
      <c r="O98" s="12">
        <f t="shared" si="17"/>
        <v>30.659187142399997</v>
      </c>
      <c r="P98" s="12">
        <f t="shared" si="17"/>
        <v>30.659187142399997</v>
      </c>
      <c r="Q98" s="12">
        <f t="shared" si="17"/>
        <v>30.659187142399997</v>
      </c>
      <c r="R98" s="12">
        <f t="shared" si="17"/>
        <v>30.659187142399997</v>
      </c>
      <c r="S98" s="12">
        <f t="shared" si="17"/>
        <v>30.659187142399997</v>
      </c>
      <c r="T98" s="12">
        <f t="shared" si="17"/>
        <v>30.659187142399997</v>
      </c>
      <c r="U98" s="12">
        <f t="shared" si="17"/>
        <v>30.659187142399997</v>
      </c>
      <c r="V98" s="12">
        <f t="shared" si="17"/>
        <v>30.659187142399997</v>
      </c>
      <c r="W98" s="12">
        <f t="shared" si="17"/>
        <v>30.659187142399997</v>
      </c>
      <c r="X98" s="12">
        <f t="shared" si="17"/>
        <v>30.659187142399997</v>
      </c>
    </row>
    <row r="99" spans="1:24" ht="10.5">
      <c r="A99" s="2" t="s">
        <v>39</v>
      </c>
      <c r="B99" s="3"/>
      <c r="D99" s="12"/>
      <c r="E99" s="12">
        <f aca="true" t="shared" si="18" ref="E99:X99">E97-E98</f>
        <v>582.5245557055999</v>
      </c>
      <c r="F99" s="12">
        <f t="shared" si="18"/>
        <v>551.8653685631999</v>
      </c>
      <c r="G99" s="12">
        <f t="shared" si="18"/>
        <v>521.2061814207999</v>
      </c>
      <c r="H99" s="12">
        <f t="shared" si="18"/>
        <v>490.5469942783999</v>
      </c>
      <c r="I99" s="12">
        <f t="shared" si="18"/>
        <v>459.8878071359999</v>
      </c>
      <c r="J99" s="12">
        <f t="shared" si="18"/>
        <v>429.22861999359986</v>
      </c>
      <c r="K99" s="12">
        <f t="shared" si="18"/>
        <v>398.56943285119985</v>
      </c>
      <c r="L99" s="12">
        <f t="shared" si="18"/>
        <v>367.91024570879983</v>
      </c>
      <c r="M99" s="12">
        <f t="shared" si="18"/>
        <v>337.2510585663998</v>
      </c>
      <c r="N99" s="12">
        <f t="shared" si="18"/>
        <v>306.5918714239998</v>
      </c>
      <c r="O99" s="12">
        <f t="shared" si="18"/>
        <v>275.9326842815998</v>
      </c>
      <c r="P99" s="12">
        <f t="shared" si="18"/>
        <v>245.2734971391998</v>
      </c>
      <c r="Q99" s="12">
        <f t="shared" si="18"/>
        <v>214.61430999679982</v>
      </c>
      <c r="R99" s="12">
        <f t="shared" si="18"/>
        <v>183.95512285439983</v>
      </c>
      <c r="S99" s="12">
        <f t="shared" si="18"/>
        <v>153.29593571199985</v>
      </c>
      <c r="T99" s="12">
        <f t="shared" si="18"/>
        <v>122.63674856959985</v>
      </c>
      <c r="U99" s="12">
        <f t="shared" si="18"/>
        <v>91.97756142719984</v>
      </c>
      <c r="V99" s="12">
        <f t="shared" si="18"/>
        <v>61.318374284799845</v>
      </c>
      <c r="W99" s="12">
        <f t="shared" si="18"/>
        <v>30.659187142399848</v>
      </c>
      <c r="X99" s="12">
        <f t="shared" si="18"/>
        <v>-1.4921397450962104E-13</v>
      </c>
    </row>
    <row r="100" spans="2:24" ht="10.5">
      <c r="B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13" ht="10.5">
      <c r="A101" s="9" t="s">
        <v>48</v>
      </c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26" ht="10.5">
      <c r="A102" s="2" t="s">
        <v>40</v>
      </c>
      <c r="B102" s="3"/>
      <c r="D102" s="3"/>
      <c r="E102" s="6">
        <f>E223*$B$56/100</f>
        <v>338.793</v>
      </c>
      <c r="F102" s="6">
        <f>F223*$B$56/100</f>
        <v>338.793</v>
      </c>
      <c r="G102" s="6">
        <f>G223*$B$56/100</f>
        <v>338.793</v>
      </c>
      <c r="H102" s="6">
        <f>H223*$B$56/100</f>
        <v>338.793</v>
      </c>
      <c r="I102" s="6">
        <f>I223*$B$56/100</f>
        <v>338.793</v>
      </c>
      <c r="J102" s="6">
        <f>J223*$B$56/100</f>
        <v>338.793</v>
      </c>
      <c r="K102" s="6">
        <f>K223*$B$56/100</f>
        <v>338.793</v>
      </c>
      <c r="L102" s="6">
        <f>L223*$B$56/100</f>
        <v>338.793</v>
      </c>
      <c r="M102" s="6">
        <f>M223*$B$56/100</f>
        <v>338.793</v>
      </c>
      <c r="N102" s="6">
        <f>N223*$B$56/100</f>
        <v>338.793</v>
      </c>
      <c r="O102" s="6">
        <f>O223*$B$56/100</f>
        <v>338.793</v>
      </c>
      <c r="P102" s="6">
        <f>P223*$B$56/100</f>
        <v>338.793</v>
      </c>
      <c r="Q102" s="6">
        <f>Q223*$B$56/100</f>
        <v>338.793</v>
      </c>
      <c r="R102" s="6">
        <f>R223*$B$56/100</f>
        <v>338.793</v>
      </c>
      <c r="S102" s="6">
        <f>S223*$B$56/100</f>
        <v>338.793</v>
      </c>
      <c r="T102" s="6">
        <f>T223*$B$56/100</f>
        <v>338.793</v>
      </c>
      <c r="U102" s="6">
        <f>U223*$B$56/100</f>
        <v>338.793</v>
      </c>
      <c r="V102" s="6">
        <f>V223*$B$56/100</f>
        <v>338.793</v>
      </c>
      <c r="W102" s="6">
        <f>W223*$B$56/100</f>
        <v>338.793</v>
      </c>
      <c r="X102" s="6">
        <f>X223*$B$56/100</f>
        <v>338.793</v>
      </c>
      <c r="Y102" s="12"/>
      <c r="Z102" s="12"/>
    </row>
    <row r="103" spans="1:24" ht="10.5">
      <c r="A103" s="64" t="s">
        <v>145</v>
      </c>
      <c r="B103" s="3"/>
      <c r="D103" s="3"/>
      <c r="E103" s="6">
        <f>$B$60*$B$56/100*(1+$B$6+$B$192)^E2</f>
        <v>246.2135338119475</v>
      </c>
      <c r="F103" s="6">
        <f>$B$60*$B$56/100*(1+$B$6+$B$192)^F2</f>
        <v>250.1529503529387</v>
      </c>
      <c r="G103" s="6">
        <f>$B$60*$B$56/100*(1+$B$6+$B$192)^G2</f>
        <v>254.15539755858572</v>
      </c>
      <c r="H103" s="6">
        <f>$B$60*$B$56/100*(1+$B$6+$B$192)^H2</f>
        <v>258.22188391952307</v>
      </c>
      <c r="I103" s="6">
        <f aca="true" t="shared" si="19" ref="I103:X103">$B$60*$B$56/100*(1+$B$6+$B$192)^I2</f>
        <v>262.35343406223546</v>
      </c>
      <c r="J103" s="6">
        <f t="shared" si="19"/>
        <v>266.5510890072312</v>
      </c>
      <c r="K103" s="6">
        <f t="shared" si="19"/>
        <v>270.81590643134695</v>
      </c>
      <c r="L103" s="6">
        <f t="shared" si="19"/>
        <v>275.1489609342485</v>
      </c>
      <c r="M103" s="6">
        <f t="shared" si="19"/>
        <v>279.55134430919645</v>
      </c>
      <c r="N103" s="6">
        <f t="shared" si="19"/>
        <v>284.0241658181436</v>
      </c>
      <c r="O103" s="6">
        <f t="shared" si="19"/>
        <v>288.56855247123394</v>
      </c>
      <c r="P103" s="6">
        <f t="shared" si="19"/>
        <v>293.18564931077367</v>
      </c>
      <c r="Q103" s="6">
        <f t="shared" si="19"/>
        <v>297.876619699746</v>
      </c>
      <c r="R103" s="6">
        <f t="shared" si="19"/>
        <v>302.64264561494196</v>
      </c>
      <c r="S103" s="6">
        <f t="shared" si="19"/>
        <v>307.4849279447811</v>
      </c>
      <c r="T103" s="6">
        <f t="shared" si="19"/>
        <v>312.4046867918975</v>
      </c>
      <c r="U103" s="6">
        <f t="shared" si="19"/>
        <v>317.40316178056787</v>
      </c>
      <c r="V103" s="6">
        <f t="shared" si="19"/>
        <v>322.481612369057</v>
      </c>
      <c r="W103" s="6">
        <f t="shared" si="19"/>
        <v>327.6413181669619</v>
      </c>
      <c r="X103" s="6">
        <f t="shared" si="19"/>
        <v>332.8835792576333</v>
      </c>
    </row>
    <row r="104" spans="1:24" ht="10.5">
      <c r="A104" s="64" t="s">
        <v>146</v>
      </c>
      <c r="B104" s="3"/>
      <c r="D104" s="3"/>
      <c r="E104" s="6">
        <f aca="true" t="shared" si="20" ref="E104:X104">$B$62*E74</f>
        <v>9.89369966592</v>
      </c>
      <c r="F104" s="6">
        <f t="shared" si="20"/>
        <v>9.97284926324736</v>
      </c>
      <c r="G104" s="6">
        <f t="shared" si="20"/>
        <v>10.052632057353339</v>
      </c>
      <c r="H104" s="6">
        <f t="shared" si="20"/>
        <v>10.133053113812165</v>
      </c>
      <c r="I104" s="6">
        <f t="shared" si="20"/>
        <v>10.214117538722663</v>
      </c>
      <c r="J104" s="6">
        <f t="shared" si="20"/>
        <v>10.295830479032444</v>
      </c>
      <c r="K104" s="6">
        <f t="shared" si="20"/>
        <v>10.378197122864703</v>
      </c>
      <c r="L104" s="6">
        <f t="shared" si="20"/>
        <v>10.461222699847623</v>
      </c>
      <c r="M104" s="6">
        <f t="shared" si="20"/>
        <v>10.544912481446403</v>
      </c>
      <c r="N104" s="6">
        <f t="shared" si="20"/>
        <v>10.629271781297975</v>
      </c>
      <c r="O104" s="6">
        <f t="shared" si="20"/>
        <v>10.714305955548358</v>
      </c>
      <c r="P104" s="6">
        <f t="shared" si="20"/>
        <v>10.800020403192745</v>
      </c>
      <c r="Q104" s="6">
        <f t="shared" si="20"/>
        <v>10.886420566418288</v>
      </c>
      <c r="R104" s="6">
        <f t="shared" si="20"/>
        <v>10.973511930949634</v>
      </c>
      <c r="S104" s="6">
        <f t="shared" si="20"/>
        <v>11.061300026397232</v>
      </c>
      <c r="T104" s="6">
        <f t="shared" si="20"/>
        <v>11.14979042660841</v>
      </c>
      <c r="U104" s="6">
        <f t="shared" si="20"/>
        <v>11.238988750021278</v>
      </c>
      <c r="V104" s="6">
        <f t="shared" si="20"/>
        <v>11.328900660021448</v>
      </c>
      <c r="W104" s="6">
        <f t="shared" si="20"/>
        <v>11.41953186530162</v>
      </c>
      <c r="X104" s="6">
        <f t="shared" si="20"/>
        <v>11.510888120224033</v>
      </c>
    </row>
    <row r="105" spans="1:26" ht="10.5">
      <c r="A105" s="64" t="s">
        <v>147</v>
      </c>
      <c r="B105" s="3"/>
      <c r="D105" s="3"/>
      <c r="E105" s="6">
        <f aca="true" t="shared" si="21" ref="E105:X105">$B$63*$B$56/100*E74</f>
        <v>8.164453028659201</v>
      </c>
      <c r="F105" s="6">
        <f t="shared" si="21"/>
        <v>8.229768652888476</v>
      </c>
      <c r="G105" s="6">
        <f t="shared" si="21"/>
        <v>8.295606802111584</v>
      </c>
      <c r="H105" s="6">
        <f t="shared" si="21"/>
        <v>8.361971656528477</v>
      </c>
      <c r="I105" s="6">
        <f t="shared" si="21"/>
        <v>8.428867429780704</v>
      </c>
      <c r="J105" s="6">
        <f t="shared" si="21"/>
        <v>8.49629836921895</v>
      </c>
      <c r="K105" s="6">
        <f t="shared" si="21"/>
        <v>8.564268756172702</v>
      </c>
      <c r="L105" s="6">
        <f t="shared" si="21"/>
        <v>8.632782906222083</v>
      </c>
      <c r="M105" s="6">
        <f t="shared" si="21"/>
        <v>8.70184516947186</v>
      </c>
      <c r="N105" s="6">
        <f t="shared" si="21"/>
        <v>8.771459930827634</v>
      </c>
      <c r="O105" s="6">
        <f t="shared" si="21"/>
        <v>8.841631610274256</v>
      </c>
      <c r="P105" s="6">
        <f t="shared" si="21"/>
        <v>8.912364663156449</v>
      </c>
      <c r="Q105" s="6">
        <f t="shared" si="21"/>
        <v>8.983663580461702</v>
      </c>
      <c r="R105" s="6">
        <f t="shared" si="21"/>
        <v>9.055532889105395</v>
      </c>
      <c r="S105" s="6">
        <f t="shared" si="21"/>
        <v>9.12797715221824</v>
      </c>
      <c r="T105" s="6">
        <f t="shared" si="21"/>
        <v>9.201000969435986</v>
      </c>
      <c r="U105" s="6">
        <f t="shared" si="21"/>
        <v>9.274608977191473</v>
      </c>
      <c r="V105" s="6">
        <f t="shared" si="21"/>
        <v>9.348805849009006</v>
      </c>
      <c r="W105" s="6">
        <f t="shared" si="21"/>
        <v>9.423596295801078</v>
      </c>
      <c r="X105" s="6">
        <f t="shared" si="21"/>
        <v>9.498985066167487</v>
      </c>
      <c r="Y105" s="12"/>
      <c r="Z105" s="12"/>
    </row>
    <row r="106" spans="1:27" ht="10.5">
      <c r="A106" s="64" t="s">
        <v>148</v>
      </c>
      <c r="B106" s="3"/>
      <c r="D106" s="3"/>
      <c r="E106" s="6">
        <f aca="true" t="shared" si="22" ref="E106:X106">E64*E74</f>
        <v>9.289426083840002</v>
      </c>
      <c r="F106" s="6">
        <f t="shared" si="22"/>
        <v>6.194316312576001</v>
      </c>
      <c r="G106" s="6">
        <f t="shared" si="22"/>
        <v>39.06581857484932</v>
      </c>
      <c r="H106" s="6">
        <f t="shared" si="22"/>
        <v>6.608512900312283</v>
      </c>
      <c r="I106" s="6">
        <f t="shared" si="22"/>
        <v>17.40417957426243</v>
      </c>
      <c r="J106" s="6">
        <f t="shared" si="22"/>
        <v>29.864303314957468</v>
      </c>
      <c r="K106" s="6">
        <f t="shared" si="22"/>
        <v>22.464606815641925</v>
      </c>
      <c r="L106" s="6">
        <f t="shared" si="22"/>
        <v>10.612834623033821</v>
      </c>
      <c r="M106" s="6">
        <f t="shared" si="22"/>
        <v>20.22745634380972</v>
      </c>
      <c r="N106" s="6">
        <f t="shared" si="22"/>
        <v>12.08171885700329</v>
      </c>
      <c r="O106" s="6">
        <f t="shared" si="22"/>
        <v>11.70144180445499</v>
      </c>
      <c r="P106" s="6">
        <f t="shared" si="22"/>
        <v>24.19383452640694</v>
      </c>
      <c r="Q106" s="6">
        <f t="shared" si="22"/>
        <v>13.579851741753663</v>
      </c>
      <c r="R106" s="6">
        <f t="shared" si="22"/>
        <v>12.916028018105315</v>
      </c>
      <c r="S106" s="6">
        <f t="shared" si="22"/>
        <v>28.51204665189349</v>
      </c>
      <c r="T106" s="6">
        <f t="shared" si="22"/>
        <v>17.46338811124071</v>
      </c>
      <c r="U106" s="6">
        <f t="shared" si="22"/>
        <v>14.240706242262988</v>
      </c>
      <c r="V106" s="6">
        <f t="shared" si="22"/>
        <v>27.688959066574164</v>
      </c>
      <c r="W106" s="6">
        <f t="shared" si="22"/>
        <v>12.081533712565484</v>
      </c>
      <c r="X106" s="6">
        <f t="shared" si="22"/>
        <v>15.419347026469875</v>
      </c>
      <c r="Y106" s="12"/>
      <c r="Z106" s="12"/>
      <c r="AA106" s="12"/>
    </row>
    <row r="107" spans="1:27" s="67" customFormat="1" ht="10.5">
      <c r="A107" s="67" t="s">
        <v>132</v>
      </c>
      <c r="B107" s="69"/>
      <c r="D107" s="69"/>
      <c r="E107" s="73">
        <f aca="true" t="shared" si="23" ref="E107:X107">E102-SUM(E103:E106)</f>
        <v>65.23188740963332</v>
      </c>
      <c r="F107" s="73">
        <f t="shared" si="23"/>
        <v>64.24311541834948</v>
      </c>
      <c r="G107" s="73">
        <f t="shared" si="23"/>
        <v>27.22354500710003</v>
      </c>
      <c r="H107" s="73">
        <f t="shared" si="23"/>
        <v>55.46757840982406</v>
      </c>
      <c r="I107" s="73">
        <f t="shared" si="23"/>
        <v>40.39240139499873</v>
      </c>
      <c r="J107" s="73">
        <f t="shared" si="23"/>
        <v>23.585478829559975</v>
      </c>
      <c r="K107" s="73">
        <f t="shared" si="23"/>
        <v>26.57002087397376</v>
      </c>
      <c r="L107" s="73">
        <f t="shared" si="23"/>
        <v>33.93719883664795</v>
      </c>
      <c r="M107" s="73">
        <f t="shared" si="23"/>
        <v>19.767441696075537</v>
      </c>
      <c r="N107" s="73">
        <f t="shared" si="23"/>
        <v>23.28638361272749</v>
      </c>
      <c r="O107" s="73">
        <f t="shared" si="23"/>
        <v>18.967068158488473</v>
      </c>
      <c r="P107" s="73">
        <f t="shared" si="23"/>
        <v>1.7011310964702488</v>
      </c>
      <c r="Q107" s="73">
        <f t="shared" si="23"/>
        <v>7.46644441162033</v>
      </c>
      <c r="R107" s="73">
        <f t="shared" si="23"/>
        <v>3.2052815468977087</v>
      </c>
      <c r="S107" s="73">
        <f t="shared" si="23"/>
        <v>-17.393251775290082</v>
      </c>
      <c r="T107" s="73">
        <f t="shared" si="23"/>
        <v>-11.425866299182644</v>
      </c>
      <c r="U107" s="73">
        <f t="shared" si="23"/>
        <v>-13.364465750043621</v>
      </c>
      <c r="V107" s="73">
        <f t="shared" si="23"/>
        <v>-32.05527794466167</v>
      </c>
      <c r="W107" s="73">
        <f t="shared" si="23"/>
        <v>-21.772980040630102</v>
      </c>
      <c r="X107" s="73">
        <f t="shared" si="23"/>
        <v>-30.519799470494718</v>
      </c>
      <c r="Y107" s="74"/>
      <c r="Z107" s="74"/>
      <c r="AA107" s="74"/>
    </row>
    <row r="108" spans="1:27" s="67" customFormat="1" ht="10.5">
      <c r="A108" s="67" t="s">
        <v>133</v>
      </c>
      <c r="B108" s="69"/>
      <c r="D108" s="69"/>
      <c r="E108" s="73">
        <f aca="true" t="shared" si="24" ref="E108:X108">E102*$B$65+E107*$B$66</f>
        <v>5.344886622289</v>
      </c>
      <c r="F108" s="73">
        <f t="shared" si="24"/>
        <v>5.315223462550485</v>
      </c>
      <c r="G108" s="73">
        <f t="shared" si="24"/>
        <v>4.2046363502130015</v>
      </c>
      <c r="H108" s="73">
        <f t="shared" si="24"/>
        <v>5.051957352294722</v>
      </c>
      <c r="I108" s="73">
        <f t="shared" si="24"/>
        <v>4.599702041849962</v>
      </c>
      <c r="J108" s="73">
        <f t="shared" si="24"/>
        <v>4.095494364886799</v>
      </c>
      <c r="K108" s="73">
        <f t="shared" si="24"/>
        <v>4.185030626219213</v>
      </c>
      <c r="L108" s="73">
        <f t="shared" si="24"/>
        <v>4.406045965099439</v>
      </c>
      <c r="M108" s="73">
        <f t="shared" si="24"/>
        <v>3.9809532508822665</v>
      </c>
      <c r="N108" s="73">
        <f t="shared" si="24"/>
        <v>4.086521508381825</v>
      </c>
      <c r="O108" s="73">
        <f t="shared" si="24"/>
        <v>3.9569420447546544</v>
      </c>
      <c r="P108" s="73">
        <f t="shared" si="24"/>
        <v>3.438963932894108</v>
      </c>
      <c r="Q108" s="73">
        <f t="shared" si="24"/>
        <v>3.6119233323486104</v>
      </c>
      <c r="R108" s="73">
        <f t="shared" si="24"/>
        <v>3.4840884464069317</v>
      </c>
      <c r="S108" s="73">
        <f t="shared" si="24"/>
        <v>2.8661324467412976</v>
      </c>
      <c r="T108" s="73">
        <f t="shared" si="24"/>
        <v>3.045154011024521</v>
      </c>
      <c r="U108" s="73">
        <f t="shared" si="24"/>
        <v>2.9869960274986918</v>
      </c>
      <c r="V108" s="73">
        <f t="shared" si="24"/>
        <v>2.4262716616601505</v>
      </c>
      <c r="W108" s="73">
        <f t="shared" si="24"/>
        <v>2.734740598781097</v>
      </c>
      <c r="X108" s="73">
        <f t="shared" si="24"/>
        <v>2.472336015885159</v>
      </c>
      <c r="Y108" s="74"/>
      <c r="Z108" s="74"/>
      <c r="AA108" s="74"/>
    </row>
    <row r="109" spans="1:27" ht="10.5">
      <c r="A109" s="67" t="s">
        <v>134</v>
      </c>
      <c r="B109" s="3"/>
      <c r="D109" s="3"/>
      <c r="E109" s="6">
        <f aca="true" t="shared" si="25" ref="E109:X109">E107-E108</f>
        <v>59.88700078734432</v>
      </c>
      <c r="F109" s="6">
        <f t="shared" si="25"/>
        <v>58.92789195579899</v>
      </c>
      <c r="G109" s="6">
        <f t="shared" si="25"/>
        <v>23.018908656887028</v>
      </c>
      <c r="H109" s="6">
        <f t="shared" si="25"/>
        <v>50.415621057529336</v>
      </c>
      <c r="I109" s="6">
        <f t="shared" si="25"/>
        <v>35.79269935314876</v>
      </c>
      <c r="J109" s="6">
        <f t="shared" si="25"/>
        <v>19.489984464673174</v>
      </c>
      <c r="K109" s="6">
        <f t="shared" si="25"/>
        <v>22.384990247754548</v>
      </c>
      <c r="L109" s="6">
        <f t="shared" si="25"/>
        <v>29.531152871548514</v>
      </c>
      <c r="M109" s="6">
        <f t="shared" si="25"/>
        <v>15.786488445193271</v>
      </c>
      <c r="N109" s="6">
        <f t="shared" si="25"/>
        <v>19.199862104345666</v>
      </c>
      <c r="O109" s="6">
        <f t="shared" si="25"/>
        <v>15.010126113733818</v>
      </c>
      <c r="P109" s="6">
        <f t="shared" si="25"/>
        <v>-1.737832836423859</v>
      </c>
      <c r="Q109" s="6">
        <f t="shared" si="25"/>
        <v>3.8545210792717195</v>
      </c>
      <c r="R109" s="6">
        <f t="shared" si="25"/>
        <v>-0.278806899509223</v>
      </c>
      <c r="S109" s="6">
        <f t="shared" si="25"/>
        <v>-20.25938422203138</v>
      </c>
      <c r="T109" s="6">
        <f t="shared" si="25"/>
        <v>-14.471020310207166</v>
      </c>
      <c r="U109" s="6">
        <f t="shared" si="25"/>
        <v>-16.351461777542312</v>
      </c>
      <c r="V109" s="6">
        <f t="shared" si="25"/>
        <v>-34.48154960632182</v>
      </c>
      <c r="W109" s="6">
        <f t="shared" si="25"/>
        <v>-24.5077206394112</v>
      </c>
      <c r="X109" s="6">
        <f t="shared" si="25"/>
        <v>-32.99213548637988</v>
      </c>
      <c r="Y109" s="12"/>
      <c r="Z109" s="12"/>
      <c r="AA109" s="12"/>
    </row>
    <row r="110" spans="1:27" ht="10.5">
      <c r="A110" s="64" t="s">
        <v>128</v>
      </c>
      <c r="B110" s="3"/>
      <c r="D110" s="3"/>
      <c r="E110" s="6">
        <f aca="true" t="shared" si="26" ref="E110:X110">E98</f>
        <v>30.659187142399997</v>
      </c>
      <c r="F110" s="6">
        <f t="shared" si="26"/>
        <v>30.659187142399997</v>
      </c>
      <c r="G110" s="6">
        <f t="shared" si="26"/>
        <v>30.659187142399997</v>
      </c>
      <c r="H110" s="6">
        <f t="shared" si="26"/>
        <v>30.659187142399997</v>
      </c>
      <c r="I110" s="6">
        <f t="shared" si="26"/>
        <v>30.659187142399997</v>
      </c>
      <c r="J110" s="6">
        <f t="shared" si="26"/>
        <v>30.659187142399997</v>
      </c>
      <c r="K110" s="6">
        <f t="shared" si="26"/>
        <v>30.659187142399997</v>
      </c>
      <c r="L110" s="6">
        <f t="shared" si="26"/>
        <v>30.659187142399997</v>
      </c>
      <c r="M110" s="6">
        <f t="shared" si="26"/>
        <v>30.659187142399997</v>
      </c>
      <c r="N110" s="6">
        <f t="shared" si="26"/>
        <v>30.659187142399997</v>
      </c>
      <c r="O110" s="6">
        <f t="shared" si="26"/>
        <v>30.659187142399997</v>
      </c>
      <c r="P110" s="6">
        <f t="shared" si="26"/>
        <v>30.659187142399997</v>
      </c>
      <c r="Q110" s="6">
        <f t="shared" si="26"/>
        <v>30.659187142399997</v>
      </c>
      <c r="R110" s="6">
        <f t="shared" si="26"/>
        <v>30.659187142399997</v>
      </c>
      <c r="S110" s="6">
        <f t="shared" si="26"/>
        <v>30.659187142399997</v>
      </c>
      <c r="T110" s="6">
        <f t="shared" si="26"/>
        <v>30.659187142399997</v>
      </c>
      <c r="U110" s="6">
        <f t="shared" si="26"/>
        <v>30.659187142399997</v>
      </c>
      <c r="V110" s="6">
        <f t="shared" si="26"/>
        <v>30.659187142399997</v>
      </c>
      <c r="W110" s="6">
        <f t="shared" si="26"/>
        <v>30.659187142399997</v>
      </c>
      <c r="X110" s="6">
        <f t="shared" si="26"/>
        <v>30.659187142399997</v>
      </c>
      <c r="Y110" s="12"/>
      <c r="Z110" s="12"/>
      <c r="AA110" s="12"/>
    </row>
    <row r="111" spans="1:27" ht="10.5">
      <c r="A111" s="67" t="s">
        <v>135</v>
      </c>
      <c r="B111" s="3"/>
      <c r="D111" s="3"/>
      <c r="E111" s="6">
        <f aca="true" t="shared" si="27" ref="E111:X111">E109-E110</f>
        <v>29.227813644944323</v>
      </c>
      <c r="F111" s="6">
        <f t="shared" si="27"/>
        <v>28.268704813398994</v>
      </c>
      <c r="G111" s="6">
        <f t="shared" si="27"/>
        <v>-7.640278485512969</v>
      </c>
      <c r="H111" s="6">
        <f t="shared" si="27"/>
        <v>19.75643391512934</v>
      </c>
      <c r="I111" s="6">
        <f t="shared" si="27"/>
        <v>5.133512210748766</v>
      </c>
      <c r="J111" s="6">
        <f t="shared" si="27"/>
        <v>-11.169202677726823</v>
      </c>
      <c r="K111" s="6">
        <f t="shared" si="27"/>
        <v>-8.27419689464545</v>
      </c>
      <c r="L111" s="6">
        <f t="shared" si="27"/>
        <v>-1.128034270851483</v>
      </c>
      <c r="M111" s="6">
        <f t="shared" si="27"/>
        <v>-14.872698697206726</v>
      </c>
      <c r="N111" s="6">
        <f t="shared" si="27"/>
        <v>-11.459325038054331</v>
      </c>
      <c r="O111" s="6">
        <f t="shared" si="27"/>
        <v>-15.649061028666178</v>
      </c>
      <c r="P111" s="6">
        <f t="shared" si="27"/>
        <v>-32.397019978823856</v>
      </c>
      <c r="Q111" s="6">
        <f t="shared" si="27"/>
        <v>-26.804666063128277</v>
      </c>
      <c r="R111" s="6">
        <f t="shared" si="27"/>
        <v>-30.93799404190922</v>
      </c>
      <c r="S111" s="6">
        <f t="shared" si="27"/>
        <v>-50.91857136443137</v>
      </c>
      <c r="T111" s="6">
        <f t="shared" si="27"/>
        <v>-45.130207452607166</v>
      </c>
      <c r="U111" s="6">
        <f t="shared" si="27"/>
        <v>-47.01064891994231</v>
      </c>
      <c r="V111" s="6">
        <f t="shared" si="27"/>
        <v>-65.14073674872182</v>
      </c>
      <c r="W111" s="6">
        <f t="shared" si="27"/>
        <v>-55.1669077818112</v>
      </c>
      <c r="X111" s="6">
        <f t="shared" si="27"/>
        <v>-63.65132262877988</v>
      </c>
      <c r="Y111" s="12"/>
      <c r="Z111" s="12"/>
      <c r="AA111" s="12"/>
    </row>
    <row r="112" spans="1:27" ht="10.5">
      <c r="A112" s="64" t="s">
        <v>129</v>
      </c>
      <c r="B112" s="3"/>
      <c r="D112" s="12"/>
      <c r="E112" s="6">
        <f aca="true" t="shared" si="28" ref="E112:X112">E81+E89</f>
        <v>19.8517757564928</v>
      </c>
      <c r="F112" s="6">
        <f t="shared" si="28"/>
        <v>19.8517757564928</v>
      </c>
      <c r="G112" s="6">
        <f t="shared" si="28"/>
        <v>17.87942310786816</v>
      </c>
      <c r="H112" s="6">
        <f t="shared" si="28"/>
        <v>15.90707045924352</v>
      </c>
      <c r="I112" s="6">
        <f t="shared" si="28"/>
        <v>13.934717810618881</v>
      </c>
      <c r="J112" s="6">
        <f t="shared" si="28"/>
        <v>11.622952281369603</v>
      </c>
      <c r="K112" s="6">
        <f t="shared" si="28"/>
        <v>9.311186752120324</v>
      </c>
      <c r="L112" s="6">
        <f t="shared" si="28"/>
        <v>6.999421222871044</v>
      </c>
      <c r="M112" s="6">
        <f t="shared" si="28"/>
        <v>4.687655693621764</v>
      </c>
      <c r="N112" s="6">
        <f t="shared" si="28"/>
        <v>2.036477283747843</v>
      </c>
      <c r="O112" s="6">
        <f t="shared" si="28"/>
        <v>1.0182386418739215</v>
      </c>
      <c r="P112" s="6">
        <f t="shared" si="28"/>
        <v>0</v>
      </c>
      <c r="Q112" s="6">
        <f t="shared" si="28"/>
        <v>0</v>
      </c>
      <c r="R112" s="6">
        <f t="shared" si="28"/>
        <v>0</v>
      </c>
      <c r="S112" s="6">
        <f t="shared" si="28"/>
        <v>0</v>
      </c>
      <c r="T112" s="6">
        <f t="shared" si="28"/>
        <v>0</v>
      </c>
      <c r="U112" s="6">
        <f t="shared" si="28"/>
        <v>0</v>
      </c>
      <c r="V112" s="6">
        <f t="shared" si="28"/>
        <v>0</v>
      </c>
      <c r="W112" s="6">
        <f t="shared" si="28"/>
        <v>0</v>
      </c>
      <c r="X112" s="6">
        <f t="shared" si="28"/>
        <v>0</v>
      </c>
      <c r="Y112" s="12"/>
      <c r="Z112" s="12"/>
      <c r="AA112" s="12"/>
    </row>
    <row r="113" spans="1:27" ht="10.5">
      <c r="A113" s="67" t="s">
        <v>136</v>
      </c>
      <c r="B113" s="3"/>
      <c r="D113" s="3"/>
      <c r="E113" s="6">
        <f aca="true" t="shared" si="29" ref="E113:X113">E111-E112</f>
        <v>9.376037888451524</v>
      </c>
      <c r="F113" s="6">
        <f t="shared" si="29"/>
        <v>8.416929056906195</v>
      </c>
      <c r="G113" s="6">
        <f t="shared" si="29"/>
        <v>-25.51970159338113</v>
      </c>
      <c r="H113" s="6">
        <f t="shared" si="29"/>
        <v>3.8493634558858183</v>
      </c>
      <c r="I113" s="6">
        <f t="shared" si="29"/>
        <v>-8.801205599870116</v>
      </c>
      <c r="J113" s="6">
        <f t="shared" si="29"/>
        <v>-22.792154959096425</v>
      </c>
      <c r="K113" s="6">
        <f t="shared" si="29"/>
        <v>-17.585383646765774</v>
      </c>
      <c r="L113" s="6">
        <f t="shared" si="29"/>
        <v>-8.127455493722527</v>
      </c>
      <c r="M113" s="6">
        <f t="shared" si="29"/>
        <v>-19.56035439082849</v>
      </c>
      <c r="N113" s="6">
        <f t="shared" si="29"/>
        <v>-13.495802321802174</v>
      </c>
      <c r="O113" s="6">
        <f t="shared" si="29"/>
        <v>-16.6672996705401</v>
      </c>
      <c r="P113" s="6">
        <f t="shared" si="29"/>
        <v>-32.397019978823856</v>
      </c>
      <c r="Q113" s="6">
        <f t="shared" si="29"/>
        <v>-26.804666063128277</v>
      </c>
      <c r="R113" s="6">
        <f t="shared" si="29"/>
        <v>-30.93799404190922</v>
      </c>
      <c r="S113" s="6">
        <f t="shared" si="29"/>
        <v>-50.91857136443137</v>
      </c>
      <c r="T113" s="6">
        <f t="shared" si="29"/>
        <v>-45.130207452607166</v>
      </c>
      <c r="U113" s="6">
        <f t="shared" si="29"/>
        <v>-47.01064891994231</v>
      </c>
      <c r="V113" s="6">
        <f t="shared" si="29"/>
        <v>-65.14073674872182</v>
      </c>
      <c r="W113" s="6">
        <f t="shared" si="29"/>
        <v>-55.1669077818112</v>
      </c>
      <c r="X113" s="6">
        <f t="shared" si="29"/>
        <v>-63.65132262877988</v>
      </c>
      <c r="Y113" s="12"/>
      <c r="Z113" s="12"/>
      <c r="AA113" s="12"/>
    </row>
    <row r="114" spans="1:27" ht="10.5">
      <c r="A114" s="2" t="s">
        <v>42</v>
      </c>
      <c r="B114" s="3"/>
      <c r="D114" s="3"/>
      <c r="E114" s="6">
        <v>0</v>
      </c>
      <c r="F114" s="6">
        <v>0</v>
      </c>
      <c r="G114" s="6">
        <v>0</v>
      </c>
      <c r="H114" s="6">
        <f aca="true" t="shared" si="30" ref="H114:X114">MAX(0,H113*$B$68)</f>
        <v>0.9623408639714546</v>
      </c>
      <c r="I114" s="6">
        <f t="shared" si="30"/>
        <v>0</v>
      </c>
      <c r="J114" s="6">
        <f t="shared" si="30"/>
        <v>0</v>
      </c>
      <c r="K114" s="6">
        <f t="shared" si="30"/>
        <v>0</v>
      </c>
      <c r="L114" s="6">
        <f t="shared" si="30"/>
        <v>0</v>
      </c>
      <c r="M114" s="6">
        <f t="shared" si="30"/>
        <v>0</v>
      </c>
      <c r="N114" s="6">
        <f t="shared" si="30"/>
        <v>0</v>
      </c>
      <c r="O114" s="6">
        <f t="shared" si="30"/>
        <v>0</v>
      </c>
      <c r="P114" s="6">
        <f t="shared" si="30"/>
        <v>0</v>
      </c>
      <c r="Q114" s="6">
        <f t="shared" si="30"/>
        <v>0</v>
      </c>
      <c r="R114" s="6">
        <f t="shared" si="30"/>
        <v>0</v>
      </c>
      <c r="S114" s="6">
        <f t="shared" si="30"/>
        <v>0</v>
      </c>
      <c r="T114" s="6">
        <f t="shared" si="30"/>
        <v>0</v>
      </c>
      <c r="U114" s="6">
        <f t="shared" si="30"/>
        <v>0</v>
      </c>
      <c r="V114" s="6">
        <f t="shared" si="30"/>
        <v>0</v>
      </c>
      <c r="W114" s="6">
        <f t="shared" si="30"/>
        <v>0</v>
      </c>
      <c r="X114" s="6">
        <f t="shared" si="30"/>
        <v>0</v>
      </c>
      <c r="Y114" s="12"/>
      <c r="Z114" s="12"/>
      <c r="AA114" s="12"/>
    </row>
    <row r="115" spans="1:27" ht="10.5">
      <c r="A115" s="67" t="s">
        <v>137</v>
      </c>
      <c r="B115" s="3"/>
      <c r="D115" s="3"/>
      <c r="E115" s="6">
        <f aca="true" t="shared" si="31" ref="E115:X115">E113-E114</f>
        <v>9.376037888451524</v>
      </c>
      <c r="F115" s="6">
        <f t="shared" si="31"/>
        <v>8.416929056906195</v>
      </c>
      <c r="G115" s="6">
        <f t="shared" si="31"/>
        <v>-25.51970159338113</v>
      </c>
      <c r="H115" s="6">
        <f t="shared" si="31"/>
        <v>2.8870225919143637</v>
      </c>
      <c r="I115" s="6">
        <f t="shared" si="31"/>
        <v>-8.801205599870116</v>
      </c>
      <c r="J115" s="6">
        <f t="shared" si="31"/>
        <v>-22.792154959096425</v>
      </c>
      <c r="K115" s="6">
        <f t="shared" si="31"/>
        <v>-17.585383646765774</v>
      </c>
      <c r="L115" s="6">
        <f t="shared" si="31"/>
        <v>-8.127455493722527</v>
      </c>
      <c r="M115" s="6">
        <f t="shared" si="31"/>
        <v>-19.56035439082849</v>
      </c>
      <c r="N115" s="6">
        <f t="shared" si="31"/>
        <v>-13.495802321802174</v>
      </c>
      <c r="O115" s="6">
        <f t="shared" si="31"/>
        <v>-16.6672996705401</v>
      </c>
      <c r="P115" s="6">
        <f t="shared" si="31"/>
        <v>-32.397019978823856</v>
      </c>
      <c r="Q115" s="6">
        <f t="shared" si="31"/>
        <v>-26.804666063128277</v>
      </c>
      <c r="R115" s="6">
        <f t="shared" si="31"/>
        <v>-30.93799404190922</v>
      </c>
      <c r="S115" s="6">
        <f t="shared" si="31"/>
        <v>-50.91857136443137</v>
      </c>
      <c r="T115" s="6">
        <f t="shared" si="31"/>
        <v>-45.130207452607166</v>
      </c>
      <c r="U115" s="6">
        <f t="shared" si="31"/>
        <v>-47.01064891994231</v>
      </c>
      <c r="V115" s="6">
        <f t="shared" si="31"/>
        <v>-65.14073674872182</v>
      </c>
      <c r="W115" s="6">
        <f t="shared" si="31"/>
        <v>-55.1669077818112</v>
      </c>
      <c r="X115" s="6">
        <f t="shared" si="31"/>
        <v>-63.65132262877988</v>
      </c>
      <c r="Y115" s="12"/>
      <c r="Z115" s="12"/>
      <c r="AA115" s="12"/>
    </row>
    <row r="116" spans="2:27" ht="10.5">
      <c r="B116" s="3"/>
      <c r="D116" s="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5" ht="10.5">
      <c r="A117" s="5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0.5">
      <c r="A118" s="60" t="s">
        <v>119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0.5">
      <c r="A119" s="61" t="s">
        <v>121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0.5">
      <c r="A120" s="55" t="s">
        <v>120</v>
      </c>
      <c r="B120" s="7"/>
      <c r="C120" s="7"/>
      <c r="D120" s="7">
        <f>E97</f>
        <v>613.183742848</v>
      </c>
      <c r="E120" s="7">
        <f aca="true" t="shared" si="32" ref="E120:X120">E99</f>
        <v>582.5245557055999</v>
      </c>
      <c r="F120" s="7">
        <f t="shared" si="32"/>
        <v>551.8653685631999</v>
      </c>
      <c r="G120" s="7">
        <f t="shared" si="32"/>
        <v>521.2061814207999</v>
      </c>
      <c r="H120" s="7">
        <f t="shared" si="32"/>
        <v>490.5469942783999</v>
      </c>
      <c r="I120" s="7">
        <f t="shared" si="32"/>
        <v>459.8878071359999</v>
      </c>
      <c r="J120" s="7">
        <f t="shared" si="32"/>
        <v>429.22861999359986</v>
      </c>
      <c r="K120" s="7">
        <f t="shared" si="32"/>
        <v>398.56943285119985</v>
      </c>
      <c r="L120" s="7">
        <f t="shared" si="32"/>
        <v>367.91024570879983</v>
      </c>
      <c r="M120" s="7">
        <f t="shared" si="32"/>
        <v>337.2510585663998</v>
      </c>
      <c r="N120" s="7">
        <f t="shared" si="32"/>
        <v>306.5918714239998</v>
      </c>
      <c r="O120" s="7">
        <f t="shared" si="32"/>
        <v>275.9326842815998</v>
      </c>
      <c r="P120" s="7">
        <f t="shared" si="32"/>
        <v>245.2734971391998</v>
      </c>
      <c r="Q120" s="7">
        <f t="shared" si="32"/>
        <v>214.61430999679982</v>
      </c>
      <c r="R120" s="7">
        <f t="shared" si="32"/>
        <v>183.95512285439983</v>
      </c>
      <c r="S120" s="7">
        <f t="shared" si="32"/>
        <v>153.29593571199985</v>
      </c>
      <c r="T120" s="7">
        <f t="shared" si="32"/>
        <v>122.63674856959985</v>
      </c>
      <c r="U120" s="7">
        <f t="shared" si="32"/>
        <v>91.97756142719984</v>
      </c>
      <c r="V120" s="7">
        <f t="shared" si="32"/>
        <v>61.318374284799845</v>
      </c>
      <c r="W120" s="7">
        <f t="shared" si="32"/>
        <v>30.659187142399848</v>
      </c>
      <c r="X120" s="7">
        <f t="shared" si="32"/>
        <v>-1.4921397450962104E-13</v>
      </c>
      <c r="Y120" s="7"/>
    </row>
    <row r="121" spans="1:25" ht="10.5">
      <c r="A121" s="55" t="s">
        <v>122</v>
      </c>
      <c r="B121" s="7"/>
      <c r="C121" s="7"/>
      <c r="D121" s="7">
        <f aca="true" t="shared" si="33" ref="D121:X121">D120</f>
        <v>613.183742848</v>
      </c>
      <c r="E121" s="7">
        <f t="shared" si="33"/>
        <v>582.5245557055999</v>
      </c>
      <c r="F121" s="7">
        <f t="shared" si="33"/>
        <v>551.8653685631999</v>
      </c>
      <c r="G121" s="7">
        <f t="shared" si="33"/>
        <v>521.2061814207999</v>
      </c>
      <c r="H121" s="7">
        <f t="shared" si="33"/>
        <v>490.5469942783999</v>
      </c>
      <c r="I121" s="7">
        <f t="shared" si="33"/>
        <v>459.8878071359999</v>
      </c>
      <c r="J121" s="7">
        <f t="shared" si="33"/>
        <v>429.22861999359986</v>
      </c>
      <c r="K121" s="7">
        <f t="shared" si="33"/>
        <v>398.56943285119985</v>
      </c>
      <c r="L121" s="7">
        <f t="shared" si="33"/>
        <v>367.91024570879983</v>
      </c>
      <c r="M121" s="7">
        <f t="shared" si="33"/>
        <v>337.2510585663998</v>
      </c>
      <c r="N121" s="7">
        <f t="shared" si="33"/>
        <v>306.5918714239998</v>
      </c>
      <c r="O121" s="7">
        <f t="shared" si="33"/>
        <v>275.9326842815998</v>
      </c>
      <c r="P121" s="7">
        <f t="shared" si="33"/>
        <v>245.2734971391998</v>
      </c>
      <c r="Q121" s="7">
        <f t="shared" si="33"/>
        <v>214.61430999679982</v>
      </c>
      <c r="R121" s="7">
        <f t="shared" si="33"/>
        <v>183.95512285439983</v>
      </c>
      <c r="S121" s="7">
        <f t="shared" si="33"/>
        <v>153.29593571199985</v>
      </c>
      <c r="T121" s="7">
        <f t="shared" si="33"/>
        <v>122.63674856959985</v>
      </c>
      <c r="U121" s="7">
        <f t="shared" si="33"/>
        <v>91.97756142719984</v>
      </c>
      <c r="V121" s="7">
        <f t="shared" si="33"/>
        <v>61.318374284799845</v>
      </c>
      <c r="W121" s="7">
        <f t="shared" si="33"/>
        <v>30.659187142399848</v>
      </c>
      <c r="X121" s="7">
        <f t="shared" si="33"/>
        <v>-1.4921397450962104E-13</v>
      </c>
      <c r="Y121" s="7"/>
    </row>
    <row r="122" spans="1:25" ht="10.5">
      <c r="A122" s="56" t="s">
        <v>123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0.5">
      <c r="A123" s="55" t="s">
        <v>61</v>
      </c>
      <c r="B123" s="7"/>
      <c r="C123" s="7"/>
      <c r="D123" s="7">
        <f>D84+D92</f>
        <v>287.329477248</v>
      </c>
      <c r="E123" s="7">
        <f aca="true" t="shared" si="34" ref="E123:X123">E84+E92</f>
        <v>287.329477248</v>
      </c>
      <c r="F123" s="7">
        <f t="shared" si="34"/>
        <v>260.9117873856</v>
      </c>
      <c r="G123" s="7">
        <f t="shared" si="34"/>
        <v>234.4940975232</v>
      </c>
      <c r="H123" s="7">
        <f t="shared" si="34"/>
        <v>208.0764076608</v>
      </c>
      <c r="I123" s="7">
        <f t="shared" si="34"/>
        <v>175.326387936</v>
      </c>
      <c r="J123" s="7">
        <f t="shared" si="34"/>
        <v>142.57636821120002</v>
      </c>
      <c r="K123" s="7">
        <f t="shared" si="34"/>
        <v>109.82634848640001</v>
      </c>
      <c r="L123" s="7">
        <f t="shared" si="34"/>
        <v>77.07632876160001</v>
      </c>
      <c r="M123" s="7">
        <f t="shared" si="34"/>
        <v>37.9939791744</v>
      </c>
      <c r="N123" s="7">
        <f t="shared" si="34"/>
        <v>18.996989587199995</v>
      </c>
      <c r="O123" s="7">
        <f t="shared" si="34"/>
        <v>-7.105427357601002E-15</v>
      </c>
      <c r="P123" s="7">
        <f t="shared" si="34"/>
        <v>0</v>
      </c>
      <c r="Q123" s="7">
        <f t="shared" si="34"/>
        <v>0</v>
      </c>
      <c r="R123" s="7">
        <f t="shared" si="34"/>
        <v>0</v>
      </c>
      <c r="S123" s="7">
        <f t="shared" si="34"/>
        <v>0</v>
      </c>
      <c r="T123" s="7">
        <f t="shared" si="34"/>
        <v>0</v>
      </c>
      <c r="U123" s="7">
        <f t="shared" si="34"/>
        <v>0</v>
      </c>
      <c r="V123" s="7">
        <f t="shared" si="34"/>
        <v>0</v>
      </c>
      <c r="W123" s="7">
        <f t="shared" si="34"/>
        <v>0</v>
      </c>
      <c r="X123" s="7">
        <f t="shared" si="34"/>
        <v>0</v>
      </c>
      <c r="Y123" s="7"/>
    </row>
    <row r="124" spans="1:25" ht="10.5">
      <c r="A124" s="55" t="s">
        <v>108</v>
      </c>
      <c r="B124" s="7"/>
      <c r="C124" s="7"/>
      <c r="D124" s="7">
        <f aca="true" t="shared" si="35" ref="D124:X124">D121-SUM(D123:D123)</f>
        <v>325.85426559999996</v>
      </c>
      <c r="E124" s="7">
        <f t="shared" si="35"/>
        <v>295.19507845759995</v>
      </c>
      <c r="F124" s="7">
        <f t="shared" si="35"/>
        <v>290.9535811775999</v>
      </c>
      <c r="G124" s="7">
        <f t="shared" si="35"/>
        <v>286.7120838975999</v>
      </c>
      <c r="H124" s="7">
        <f t="shared" si="35"/>
        <v>282.4705866175999</v>
      </c>
      <c r="I124" s="7">
        <f t="shared" si="35"/>
        <v>284.5614191999999</v>
      </c>
      <c r="J124" s="7">
        <f t="shared" si="35"/>
        <v>286.65225178239984</v>
      </c>
      <c r="K124" s="7">
        <f t="shared" si="35"/>
        <v>288.74308436479987</v>
      </c>
      <c r="L124" s="7">
        <f t="shared" si="35"/>
        <v>290.83391694719984</v>
      </c>
      <c r="M124" s="7">
        <f t="shared" si="35"/>
        <v>299.2570793919998</v>
      </c>
      <c r="N124" s="7">
        <f t="shared" si="35"/>
        <v>287.5948818367998</v>
      </c>
      <c r="O124" s="7">
        <f t="shared" si="35"/>
        <v>275.9326842815998</v>
      </c>
      <c r="P124" s="7">
        <f t="shared" si="35"/>
        <v>245.2734971391998</v>
      </c>
      <c r="Q124" s="7">
        <f t="shared" si="35"/>
        <v>214.61430999679982</v>
      </c>
      <c r="R124" s="7">
        <f t="shared" si="35"/>
        <v>183.95512285439983</v>
      </c>
      <c r="S124" s="7">
        <f t="shared" si="35"/>
        <v>153.29593571199985</v>
      </c>
      <c r="T124" s="7">
        <f t="shared" si="35"/>
        <v>122.63674856959985</v>
      </c>
      <c r="U124" s="7">
        <f t="shared" si="35"/>
        <v>91.97756142719984</v>
      </c>
      <c r="V124" s="7">
        <f t="shared" si="35"/>
        <v>61.318374284799845</v>
      </c>
      <c r="W124" s="7">
        <f t="shared" si="35"/>
        <v>30.659187142399848</v>
      </c>
      <c r="X124" s="7">
        <f t="shared" si="35"/>
        <v>-1.4921397450962104E-13</v>
      </c>
      <c r="Y124" s="7"/>
    </row>
    <row r="125" spans="1:25" ht="10.5">
      <c r="A125" s="55" t="s">
        <v>122</v>
      </c>
      <c r="B125" s="7"/>
      <c r="C125" s="7"/>
      <c r="D125" s="7">
        <f aca="true" t="shared" si="36" ref="D125:X125">SUM(D123:D124)</f>
        <v>613.183742848</v>
      </c>
      <c r="E125" s="7">
        <f t="shared" si="36"/>
        <v>582.5245557055999</v>
      </c>
      <c r="F125" s="7">
        <f t="shared" si="36"/>
        <v>551.8653685631999</v>
      </c>
      <c r="G125" s="7">
        <f t="shared" si="36"/>
        <v>521.2061814207999</v>
      </c>
      <c r="H125" s="7">
        <f t="shared" si="36"/>
        <v>490.5469942783999</v>
      </c>
      <c r="I125" s="7">
        <f t="shared" si="36"/>
        <v>459.8878071359999</v>
      </c>
      <c r="J125" s="7">
        <f t="shared" si="36"/>
        <v>429.22861999359986</v>
      </c>
      <c r="K125" s="7">
        <f t="shared" si="36"/>
        <v>398.56943285119985</v>
      </c>
      <c r="L125" s="7">
        <f t="shared" si="36"/>
        <v>367.91024570879983</v>
      </c>
      <c r="M125" s="7">
        <f t="shared" si="36"/>
        <v>337.2510585663998</v>
      </c>
      <c r="N125" s="7">
        <f t="shared" si="36"/>
        <v>306.5918714239998</v>
      </c>
      <c r="O125" s="7">
        <f t="shared" si="36"/>
        <v>275.9326842815998</v>
      </c>
      <c r="P125" s="7">
        <f t="shared" si="36"/>
        <v>245.2734971391998</v>
      </c>
      <c r="Q125" s="7">
        <f t="shared" si="36"/>
        <v>214.61430999679982</v>
      </c>
      <c r="R125" s="7">
        <f t="shared" si="36"/>
        <v>183.95512285439983</v>
      </c>
      <c r="S125" s="7">
        <f t="shared" si="36"/>
        <v>153.29593571199985</v>
      </c>
      <c r="T125" s="7">
        <f t="shared" si="36"/>
        <v>122.63674856959985</v>
      </c>
      <c r="U125" s="7">
        <f t="shared" si="36"/>
        <v>91.97756142719984</v>
      </c>
      <c r="V125" s="7">
        <f t="shared" si="36"/>
        <v>61.318374284799845</v>
      </c>
      <c r="W125" s="7">
        <f t="shared" si="36"/>
        <v>30.659187142399848</v>
      </c>
      <c r="X125" s="7">
        <f t="shared" si="36"/>
        <v>-1.4921397450962104E-13</v>
      </c>
      <c r="Y125" s="7"/>
    </row>
    <row r="126" spans="1:25" ht="10.5">
      <c r="A126" s="5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0.5">
      <c r="A127" s="9" t="s">
        <v>47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0.5">
      <c r="A128" s="16" t="s">
        <v>50</v>
      </c>
      <c r="B128" s="7">
        <f aca="true" t="shared" si="37" ref="B128:X128">B129</f>
        <v>0</v>
      </c>
      <c r="C128" s="7">
        <f t="shared" si="37"/>
        <v>0</v>
      </c>
      <c r="D128" s="7">
        <f t="shared" si="37"/>
        <v>0</v>
      </c>
      <c r="E128" s="7">
        <f t="shared" si="37"/>
        <v>338.793</v>
      </c>
      <c r="F128" s="7">
        <f t="shared" si="37"/>
        <v>338.793</v>
      </c>
      <c r="G128" s="7">
        <f t="shared" si="37"/>
        <v>338.793</v>
      </c>
      <c r="H128" s="7">
        <f t="shared" si="37"/>
        <v>338.793</v>
      </c>
      <c r="I128" s="7">
        <f t="shared" si="37"/>
        <v>338.793</v>
      </c>
      <c r="J128" s="7">
        <f t="shared" si="37"/>
        <v>338.793</v>
      </c>
      <c r="K128" s="7">
        <f t="shared" si="37"/>
        <v>338.793</v>
      </c>
      <c r="L128" s="7">
        <f t="shared" si="37"/>
        <v>338.793</v>
      </c>
      <c r="M128" s="7">
        <f t="shared" si="37"/>
        <v>338.793</v>
      </c>
      <c r="N128" s="7">
        <f t="shared" si="37"/>
        <v>338.793</v>
      </c>
      <c r="O128" s="7">
        <f t="shared" si="37"/>
        <v>338.793</v>
      </c>
      <c r="P128" s="7">
        <f t="shared" si="37"/>
        <v>338.793</v>
      </c>
      <c r="Q128" s="7">
        <f t="shared" si="37"/>
        <v>338.793</v>
      </c>
      <c r="R128" s="7">
        <f t="shared" si="37"/>
        <v>338.793</v>
      </c>
      <c r="S128" s="7">
        <f t="shared" si="37"/>
        <v>338.793</v>
      </c>
      <c r="T128" s="7">
        <f t="shared" si="37"/>
        <v>338.793</v>
      </c>
      <c r="U128" s="7">
        <f t="shared" si="37"/>
        <v>338.793</v>
      </c>
      <c r="V128" s="7">
        <f t="shared" si="37"/>
        <v>338.793</v>
      </c>
      <c r="W128" s="7">
        <f t="shared" si="37"/>
        <v>338.793</v>
      </c>
      <c r="X128" s="7">
        <f t="shared" si="37"/>
        <v>338.793</v>
      </c>
      <c r="Y128" s="7"/>
    </row>
    <row r="129" spans="1:25" ht="10.5">
      <c r="A129" s="18" t="s">
        <v>40</v>
      </c>
      <c r="B129" s="7">
        <f aca="true" t="shared" si="38" ref="B129:X129">B102</f>
        <v>0</v>
      </c>
      <c r="C129" s="7">
        <f t="shared" si="38"/>
        <v>0</v>
      </c>
      <c r="D129" s="7">
        <f t="shared" si="38"/>
        <v>0</v>
      </c>
      <c r="E129" s="7">
        <f t="shared" si="38"/>
        <v>338.793</v>
      </c>
      <c r="F129" s="7">
        <f t="shared" si="38"/>
        <v>338.793</v>
      </c>
      <c r="G129" s="7">
        <f t="shared" si="38"/>
        <v>338.793</v>
      </c>
      <c r="H129" s="7">
        <f t="shared" si="38"/>
        <v>338.793</v>
      </c>
      <c r="I129" s="7">
        <f t="shared" si="38"/>
        <v>338.793</v>
      </c>
      <c r="J129" s="7">
        <f t="shared" si="38"/>
        <v>338.793</v>
      </c>
      <c r="K129" s="7">
        <f t="shared" si="38"/>
        <v>338.793</v>
      </c>
      <c r="L129" s="7">
        <f t="shared" si="38"/>
        <v>338.793</v>
      </c>
      <c r="M129" s="7">
        <f t="shared" si="38"/>
        <v>338.793</v>
      </c>
      <c r="N129" s="7">
        <f t="shared" si="38"/>
        <v>338.793</v>
      </c>
      <c r="O129" s="7">
        <f t="shared" si="38"/>
        <v>338.793</v>
      </c>
      <c r="P129" s="7">
        <f t="shared" si="38"/>
        <v>338.793</v>
      </c>
      <c r="Q129" s="7">
        <f t="shared" si="38"/>
        <v>338.793</v>
      </c>
      <c r="R129" s="7">
        <f t="shared" si="38"/>
        <v>338.793</v>
      </c>
      <c r="S129" s="7">
        <f t="shared" si="38"/>
        <v>338.793</v>
      </c>
      <c r="T129" s="7">
        <f t="shared" si="38"/>
        <v>338.793</v>
      </c>
      <c r="U129" s="7">
        <f t="shared" si="38"/>
        <v>338.793</v>
      </c>
      <c r="V129" s="7">
        <f t="shared" si="38"/>
        <v>338.793</v>
      </c>
      <c r="W129" s="7">
        <f t="shared" si="38"/>
        <v>338.793</v>
      </c>
      <c r="X129" s="7">
        <f t="shared" si="38"/>
        <v>338.793</v>
      </c>
      <c r="Y129" s="7"/>
    </row>
    <row r="130" spans="1:25" ht="10.5">
      <c r="A130" s="2" t="s">
        <v>51</v>
      </c>
      <c r="B130" s="7">
        <f aca="true" t="shared" si="39" ref="B130:X130">SUM(B131:B137)</f>
        <v>38.5</v>
      </c>
      <c r="C130" s="7">
        <f t="shared" si="39"/>
        <v>235.2672</v>
      </c>
      <c r="D130" s="7">
        <f t="shared" si="39"/>
        <v>328.0870656</v>
      </c>
      <c r="E130" s="7">
        <f t="shared" si="39"/>
        <v>278.9059992126557</v>
      </c>
      <c r="F130" s="7">
        <f t="shared" si="39"/>
        <v>279.865108044201</v>
      </c>
      <c r="G130" s="7">
        <f t="shared" si="39"/>
        <v>315.77409134311296</v>
      </c>
      <c r="H130" s="7">
        <f t="shared" si="39"/>
        <v>289.33971980644213</v>
      </c>
      <c r="I130" s="7">
        <f t="shared" si="39"/>
        <v>303.00030064685126</v>
      </c>
      <c r="J130" s="7">
        <f t="shared" si="39"/>
        <v>319.30301553532684</v>
      </c>
      <c r="K130" s="7">
        <f t="shared" si="39"/>
        <v>316.40800975224545</v>
      </c>
      <c r="L130" s="7">
        <f t="shared" si="39"/>
        <v>309.2618471284515</v>
      </c>
      <c r="M130" s="7">
        <f t="shared" si="39"/>
        <v>323.00651155480676</v>
      </c>
      <c r="N130" s="7">
        <f t="shared" si="39"/>
        <v>319.59313789565437</v>
      </c>
      <c r="O130" s="7">
        <f t="shared" si="39"/>
        <v>323.7828738862662</v>
      </c>
      <c r="P130" s="7">
        <f t="shared" si="39"/>
        <v>340.5308328364239</v>
      </c>
      <c r="Q130" s="7">
        <f t="shared" si="39"/>
        <v>334.9384789207283</v>
      </c>
      <c r="R130" s="7">
        <f t="shared" si="39"/>
        <v>339.0718068995092</v>
      </c>
      <c r="S130" s="7">
        <f t="shared" si="39"/>
        <v>359.0523842220314</v>
      </c>
      <c r="T130" s="7">
        <f t="shared" si="39"/>
        <v>353.2640203102072</v>
      </c>
      <c r="U130" s="7">
        <f t="shared" si="39"/>
        <v>355.14446177754235</v>
      </c>
      <c r="V130" s="7">
        <f t="shared" si="39"/>
        <v>373.27454960632184</v>
      </c>
      <c r="W130" s="7">
        <f t="shared" si="39"/>
        <v>363.3007206394112</v>
      </c>
      <c r="X130" s="7">
        <f t="shared" si="39"/>
        <v>371.7851354863799</v>
      </c>
      <c r="Y130" s="7"/>
    </row>
    <row r="131" spans="1:25" ht="10.5">
      <c r="A131" s="18" t="s">
        <v>156</v>
      </c>
      <c r="B131" s="7">
        <f aca="true" t="shared" si="40" ref="B131:X131">B103</f>
        <v>0</v>
      </c>
      <c r="C131" s="7">
        <f t="shared" si="40"/>
        <v>0</v>
      </c>
      <c r="D131" s="7">
        <f t="shared" si="40"/>
        <v>0</v>
      </c>
      <c r="E131" s="7">
        <f t="shared" si="40"/>
        <v>246.2135338119475</v>
      </c>
      <c r="F131" s="7">
        <f t="shared" si="40"/>
        <v>250.1529503529387</v>
      </c>
      <c r="G131" s="7">
        <f t="shared" si="40"/>
        <v>254.15539755858572</v>
      </c>
      <c r="H131" s="7">
        <f t="shared" si="40"/>
        <v>258.22188391952307</v>
      </c>
      <c r="I131" s="7">
        <f t="shared" si="40"/>
        <v>262.35343406223546</v>
      </c>
      <c r="J131" s="7">
        <f t="shared" si="40"/>
        <v>266.5510890072312</v>
      </c>
      <c r="K131" s="7">
        <f t="shared" si="40"/>
        <v>270.81590643134695</v>
      </c>
      <c r="L131" s="7">
        <f t="shared" si="40"/>
        <v>275.1489609342485</v>
      </c>
      <c r="M131" s="7">
        <f t="shared" si="40"/>
        <v>279.55134430919645</v>
      </c>
      <c r="N131" s="7">
        <f t="shared" si="40"/>
        <v>284.0241658181436</v>
      </c>
      <c r="O131" s="7">
        <f t="shared" si="40"/>
        <v>288.56855247123394</v>
      </c>
      <c r="P131" s="7">
        <f t="shared" si="40"/>
        <v>293.18564931077367</v>
      </c>
      <c r="Q131" s="7">
        <f t="shared" si="40"/>
        <v>297.876619699746</v>
      </c>
      <c r="R131" s="7">
        <f t="shared" si="40"/>
        <v>302.64264561494196</v>
      </c>
      <c r="S131" s="7">
        <f t="shared" si="40"/>
        <v>307.4849279447811</v>
      </c>
      <c r="T131" s="7">
        <f t="shared" si="40"/>
        <v>312.4046867918975</v>
      </c>
      <c r="U131" s="7">
        <f t="shared" si="40"/>
        <v>317.40316178056787</v>
      </c>
      <c r="V131" s="7">
        <f t="shared" si="40"/>
        <v>322.481612369057</v>
      </c>
      <c r="W131" s="7">
        <f t="shared" si="40"/>
        <v>327.6413181669619</v>
      </c>
      <c r="X131" s="7">
        <f t="shared" si="40"/>
        <v>332.8835792576333</v>
      </c>
      <c r="Y131" s="7"/>
    </row>
    <row r="132" spans="1:25" ht="10.5">
      <c r="A132" s="18" t="s">
        <v>157</v>
      </c>
      <c r="B132" s="7">
        <f aca="true" t="shared" si="41" ref="B132:X132">B104</f>
        <v>0</v>
      </c>
      <c r="C132" s="7">
        <f t="shared" si="41"/>
        <v>0</v>
      </c>
      <c r="D132" s="7">
        <f t="shared" si="41"/>
        <v>0</v>
      </c>
      <c r="E132" s="7">
        <f t="shared" si="41"/>
        <v>9.89369966592</v>
      </c>
      <c r="F132" s="7">
        <f t="shared" si="41"/>
        <v>9.97284926324736</v>
      </c>
      <c r="G132" s="7">
        <f t="shared" si="41"/>
        <v>10.052632057353339</v>
      </c>
      <c r="H132" s="7">
        <f t="shared" si="41"/>
        <v>10.133053113812165</v>
      </c>
      <c r="I132" s="7">
        <f t="shared" si="41"/>
        <v>10.214117538722663</v>
      </c>
      <c r="J132" s="7">
        <f t="shared" si="41"/>
        <v>10.295830479032444</v>
      </c>
      <c r="K132" s="7">
        <f t="shared" si="41"/>
        <v>10.378197122864703</v>
      </c>
      <c r="L132" s="7">
        <f t="shared" si="41"/>
        <v>10.461222699847623</v>
      </c>
      <c r="M132" s="7">
        <f t="shared" si="41"/>
        <v>10.544912481446403</v>
      </c>
      <c r="N132" s="7">
        <f t="shared" si="41"/>
        <v>10.629271781297975</v>
      </c>
      <c r="O132" s="7">
        <f t="shared" si="41"/>
        <v>10.714305955548358</v>
      </c>
      <c r="P132" s="7">
        <f t="shared" si="41"/>
        <v>10.800020403192745</v>
      </c>
      <c r="Q132" s="7">
        <f t="shared" si="41"/>
        <v>10.886420566418288</v>
      </c>
      <c r="R132" s="7">
        <f t="shared" si="41"/>
        <v>10.973511930949634</v>
      </c>
      <c r="S132" s="7">
        <f t="shared" si="41"/>
        <v>11.061300026397232</v>
      </c>
      <c r="T132" s="7">
        <f t="shared" si="41"/>
        <v>11.14979042660841</v>
      </c>
      <c r="U132" s="7">
        <f t="shared" si="41"/>
        <v>11.238988750021278</v>
      </c>
      <c r="V132" s="7">
        <f t="shared" si="41"/>
        <v>11.328900660021448</v>
      </c>
      <c r="W132" s="7">
        <f t="shared" si="41"/>
        <v>11.41953186530162</v>
      </c>
      <c r="X132" s="7">
        <f t="shared" si="41"/>
        <v>11.510888120224033</v>
      </c>
      <c r="Y132" s="7"/>
    </row>
    <row r="133" spans="1:25" ht="10.5">
      <c r="A133" s="18" t="s">
        <v>158</v>
      </c>
      <c r="B133" s="7">
        <f aca="true" t="shared" si="42" ref="B133:X133">B105</f>
        <v>0</v>
      </c>
      <c r="C133" s="7">
        <f t="shared" si="42"/>
        <v>0</v>
      </c>
      <c r="D133" s="7">
        <f t="shared" si="42"/>
        <v>0</v>
      </c>
      <c r="E133" s="7">
        <f t="shared" si="42"/>
        <v>8.164453028659201</v>
      </c>
      <c r="F133" s="7">
        <f t="shared" si="42"/>
        <v>8.229768652888476</v>
      </c>
      <c r="G133" s="7">
        <f t="shared" si="42"/>
        <v>8.295606802111584</v>
      </c>
      <c r="H133" s="7">
        <f t="shared" si="42"/>
        <v>8.361971656528477</v>
      </c>
      <c r="I133" s="7">
        <f t="shared" si="42"/>
        <v>8.428867429780704</v>
      </c>
      <c r="J133" s="7">
        <f t="shared" si="42"/>
        <v>8.49629836921895</v>
      </c>
      <c r="K133" s="7">
        <f t="shared" si="42"/>
        <v>8.564268756172702</v>
      </c>
      <c r="L133" s="7">
        <f t="shared" si="42"/>
        <v>8.632782906222083</v>
      </c>
      <c r="M133" s="7">
        <f t="shared" si="42"/>
        <v>8.70184516947186</v>
      </c>
      <c r="N133" s="7">
        <f t="shared" si="42"/>
        <v>8.771459930827634</v>
      </c>
      <c r="O133" s="7">
        <f t="shared" si="42"/>
        <v>8.841631610274256</v>
      </c>
      <c r="P133" s="7">
        <f t="shared" si="42"/>
        <v>8.912364663156449</v>
      </c>
      <c r="Q133" s="7">
        <f t="shared" si="42"/>
        <v>8.983663580461702</v>
      </c>
      <c r="R133" s="7">
        <f t="shared" si="42"/>
        <v>9.055532889105395</v>
      </c>
      <c r="S133" s="7">
        <f t="shared" si="42"/>
        <v>9.12797715221824</v>
      </c>
      <c r="T133" s="7">
        <f t="shared" si="42"/>
        <v>9.201000969435986</v>
      </c>
      <c r="U133" s="7">
        <f t="shared" si="42"/>
        <v>9.274608977191473</v>
      </c>
      <c r="V133" s="7">
        <f t="shared" si="42"/>
        <v>9.348805849009006</v>
      </c>
      <c r="W133" s="7">
        <f t="shared" si="42"/>
        <v>9.423596295801078</v>
      </c>
      <c r="X133" s="7">
        <f t="shared" si="42"/>
        <v>9.498985066167487</v>
      </c>
      <c r="Y133" s="7"/>
    </row>
    <row r="134" spans="1:25" ht="10.5">
      <c r="A134" s="18" t="s">
        <v>159</v>
      </c>
      <c r="B134" s="7">
        <f aca="true" t="shared" si="43" ref="B134:X134">B106</f>
        <v>0</v>
      </c>
      <c r="C134" s="7">
        <f t="shared" si="43"/>
        <v>0</v>
      </c>
      <c r="D134" s="7">
        <f t="shared" si="43"/>
        <v>0</v>
      </c>
      <c r="E134" s="7">
        <f t="shared" si="43"/>
        <v>9.289426083840002</v>
      </c>
      <c r="F134" s="7">
        <f t="shared" si="43"/>
        <v>6.194316312576001</v>
      </c>
      <c r="G134" s="7">
        <f t="shared" si="43"/>
        <v>39.06581857484932</v>
      </c>
      <c r="H134" s="7">
        <f t="shared" si="43"/>
        <v>6.608512900312283</v>
      </c>
      <c r="I134" s="7">
        <f t="shared" si="43"/>
        <v>17.40417957426243</v>
      </c>
      <c r="J134" s="7">
        <f t="shared" si="43"/>
        <v>29.864303314957468</v>
      </c>
      <c r="K134" s="7">
        <f t="shared" si="43"/>
        <v>22.464606815641925</v>
      </c>
      <c r="L134" s="7">
        <f t="shared" si="43"/>
        <v>10.612834623033821</v>
      </c>
      <c r="M134" s="7">
        <f t="shared" si="43"/>
        <v>20.22745634380972</v>
      </c>
      <c r="N134" s="7">
        <f t="shared" si="43"/>
        <v>12.08171885700329</v>
      </c>
      <c r="O134" s="7">
        <f t="shared" si="43"/>
        <v>11.70144180445499</v>
      </c>
      <c r="P134" s="7">
        <f t="shared" si="43"/>
        <v>24.19383452640694</v>
      </c>
      <c r="Q134" s="7">
        <f t="shared" si="43"/>
        <v>13.579851741753663</v>
      </c>
      <c r="R134" s="7">
        <f t="shared" si="43"/>
        <v>12.916028018105315</v>
      </c>
      <c r="S134" s="7">
        <f t="shared" si="43"/>
        <v>28.51204665189349</v>
      </c>
      <c r="T134" s="7">
        <f t="shared" si="43"/>
        <v>17.46338811124071</v>
      </c>
      <c r="U134" s="7">
        <f t="shared" si="43"/>
        <v>14.240706242262988</v>
      </c>
      <c r="V134" s="7">
        <f t="shared" si="43"/>
        <v>27.688959066574164</v>
      </c>
      <c r="W134" s="7">
        <f t="shared" si="43"/>
        <v>12.081533712565484</v>
      </c>
      <c r="X134" s="7">
        <f t="shared" si="43"/>
        <v>15.419347026469875</v>
      </c>
      <c r="Y134" s="7"/>
    </row>
    <row r="135" spans="1:25" s="67" customFormat="1" ht="10.5">
      <c r="A135" s="72" t="s">
        <v>133</v>
      </c>
      <c r="B135" s="71">
        <f aca="true" t="shared" si="44" ref="B135:X135">B108</f>
        <v>0</v>
      </c>
      <c r="C135" s="71">
        <f t="shared" si="44"/>
        <v>0</v>
      </c>
      <c r="D135" s="71">
        <f t="shared" si="44"/>
        <v>0</v>
      </c>
      <c r="E135" s="71">
        <f t="shared" si="44"/>
        <v>5.344886622289</v>
      </c>
      <c r="F135" s="71">
        <f t="shared" si="44"/>
        <v>5.315223462550485</v>
      </c>
      <c r="G135" s="71">
        <f t="shared" si="44"/>
        <v>4.2046363502130015</v>
      </c>
      <c r="H135" s="71">
        <f t="shared" si="44"/>
        <v>5.051957352294722</v>
      </c>
      <c r="I135" s="71">
        <f t="shared" si="44"/>
        <v>4.599702041849962</v>
      </c>
      <c r="J135" s="71">
        <f t="shared" si="44"/>
        <v>4.095494364886799</v>
      </c>
      <c r="K135" s="71">
        <f t="shared" si="44"/>
        <v>4.185030626219213</v>
      </c>
      <c r="L135" s="71">
        <f t="shared" si="44"/>
        <v>4.406045965099439</v>
      </c>
      <c r="M135" s="71">
        <f t="shared" si="44"/>
        <v>3.9809532508822665</v>
      </c>
      <c r="N135" s="71">
        <f t="shared" si="44"/>
        <v>4.086521508381825</v>
      </c>
      <c r="O135" s="71">
        <f t="shared" si="44"/>
        <v>3.9569420447546544</v>
      </c>
      <c r="P135" s="71">
        <f t="shared" si="44"/>
        <v>3.438963932894108</v>
      </c>
      <c r="Q135" s="71">
        <f t="shared" si="44"/>
        <v>3.6119233323486104</v>
      </c>
      <c r="R135" s="71">
        <f t="shared" si="44"/>
        <v>3.4840884464069317</v>
      </c>
      <c r="S135" s="71">
        <f t="shared" si="44"/>
        <v>2.8661324467412976</v>
      </c>
      <c r="T135" s="71">
        <f t="shared" si="44"/>
        <v>3.045154011024521</v>
      </c>
      <c r="U135" s="71">
        <f t="shared" si="44"/>
        <v>2.9869960274986918</v>
      </c>
      <c r="V135" s="71">
        <f t="shared" si="44"/>
        <v>2.4262716616601505</v>
      </c>
      <c r="W135" s="71">
        <f t="shared" si="44"/>
        <v>2.734740598781097</v>
      </c>
      <c r="X135" s="71">
        <f t="shared" si="44"/>
        <v>2.472336015885159</v>
      </c>
      <c r="Y135" s="71"/>
    </row>
    <row r="136" spans="1:25" ht="10.5">
      <c r="A136" s="18" t="s">
        <v>49</v>
      </c>
      <c r="B136" s="7">
        <f aca="true" t="shared" si="45" ref="B136:X136">B114</f>
        <v>0</v>
      </c>
      <c r="C136" s="7">
        <f t="shared" si="45"/>
        <v>0</v>
      </c>
      <c r="D136" s="7">
        <f t="shared" si="45"/>
        <v>0</v>
      </c>
      <c r="E136" s="7">
        <f t="shared" si="45"/>
        <v>0</v>
      </c>
      <c r="F136" s="7">
        <f t="shared" si="45"/>
        <v>0</v>
      </c>
      <c r="G136" s="7">
        <f t="shared" si="45"/>
        <v>0</v>
      </c>
      <c r="H136" s="7">
        <f t="shared" si="45"/>
        <v>0.9623408639714546</v>
      </c>
      <c r="I136" s="7">
        <f t="shared" si="45"/>
        <v>0</v>
      </c>
      <c r="J136" s="7">
        <f t="shared" si="45"/>
        <v>0</v>
      </c>
      <c r="K136" s="7">
        <f t="shared" si="45"/>
        <v>0</v>
      </c>
      <c r="L136" s="7">
        <f t="shared" si="45"/>
        <v>0</v>
      </c>
      <c r="M136" s="7">
        <f t="shared" si="45"/>
        <v>0</v>
      </c>
      <c r="N136" s="7">
        <f t="shared" si="45"/>
        <v>0</v>
      </c>
      <c r="O136" s="7">
        <f t="shared" si="45"/>
        <v>0</v>
      </c>
      <c r="P136" s="7">
        <f t="shared" si="45"/>
        <v>0</v>
      </c>
      <c r="Q136" s="7">
        <f t="shared" si="45"/>
        <v>0</v>
      </c>
      <c r="R136" s="7">
        <f t="shared" si="45"/>
        <v>0</v>
      </c>
      <c r="S136" s="7">
        <f t="shared" si="45"/>
        <v>0</v>
      </c>
      <c r="T136" s="7">
        <f t="shared" si="45"/>
        <v>0</v>
      </c>
      <c r="U136" s="7">
        <f t="shared" si="45"/>
        <v>0</v>
      </c>
      <c r="V136" s="7">
        <f t="shared" si="45"/>
        <v>0</v>
      </c>
      <c r="W136" s="7">
        <f t="shared" si="45"/>
        <v>0</v>
      </c>
      <c r="X136" s="7">
        <f t="shared" si="45"/>
        <v>0</v>
      </c>
      <c r="Y136" s="7"/>
    </row>
    <row r="137" spans="1:25" ht="10.5">
      <c r="A137" s="18" t="s">
        <v>0</v>
      </c>
      <c r="B137" s="7">
        <f>B77</f>
        <v>38.5</v>
      </c>
      <c r="C137" s="7">
        <f>C77</f>
        <v>235.2672</v>
      </c>
      <c r="D137" s="7">
        <f>D77</f>
        <v>328.0870656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0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0.5">
      <c r="A139" s="9" t="s">
        <v>52</v>
      </c>
      <c r="B139" s="7">
        <f aca="true" t="shared" si="46" ref="B139:X139">B128-B130</f>
        <v>-38.5</v>
      </c>
      <c r="C139" s="7">
        <f t="shared" si="46"/>
        <v>-235.2672</v>
      </c>
      <c r="D139" s="7">
        <f t="shared" si="46"/>
        <v>-328.0870656</v>
      </c>
      <c r="E139" s="7">
        <f t="shared" si="46"/>
        <v>59.887000787344334</v>
      </c>
      <c r="F139" s="7">
        <f t="shared" si="46"/>
        <v>58.927891955799</v>
      </c>
      <c r="G139" s="7">
        <f t="shared" si="46"/>
        <v>23.01890865688705</v>
      </c>
      <c r="H139" s="7">
        <f t="shared" si="46"/>
        <v>49.45328019355787</v>
      </c>
      <c r="I139" s="7">
        <f t="shared" si="46"/>
        <v>35.79269935314875</v>
      </c>
      <c r="J139" s="7">
        <f t="shared" si="46"/>
        <v>19.48998446467317</v>
      </c>
      <c r="K139" s="7">
        <f t="shared" si="46"/>
        <v>22.38499024775456</v>
      </c>
      <c r="L139" s="7">
        <f t="shared" si="46"/>
        <v>29.5311528715485</v>
      </c>
      <c r="M139" s="7">
        <f t="shared" si="46"/>
        <v>15.786488445193243</v>
      </c>
      <c r="N139" s="7">
        <f t="shared" si="46"/>
        <v>19.19986210434564</v>
      </c>
      <c r="O139" s="7">
        <f t="shared" si="46"/>
        <v>15.010126113733804</v>
      </c>
      <c r="P139" s="7">
        <f t="shared" si="46"/>
        <v>-1.7378328364238769</v>
      </c>
      <c r="Q139" s="7">
        <f t="shared" si="46"/>
        <v>3.8545210792717057</v>
      </c>
      <c r="R139" s="7">
        <f t="shared" si="46"/>
        <v>-0.27880689950922033</v>
      </c>
      <c r="S139" s="7">
        <f t="shared" si="46"/>
        <v>-20.259384222031372</v>
      </c>
      <c r="T139" s="7">
        <f t="shared" si="46"/>
        <v>-14.471020310207166</v>
      </c>
      <c r="U139" s="7">
        <f t="shared" si="46"/>
        <v>-16.35146177754234</v>
      </c>
      <c r="V139" s="7">
        <f t="shared" si="46"/>
        <v>-34.481549606321835</v>
      </c>
      <c r="W139" s="7">
        <f t="shared" si="46"/>
        <v>-24.507720639411218</v>
      </c>
      <c r="X139" s="7">
        <f t="shared" si="46"/>
        <v>-32.99213548637988</v>
      </c>
      <c r="Y139" s="7"/>
    </row>
    <row r="140" spans="1:25" ht="10.5">
      <c r="A140" s="2" t="s">
        <v>53</v>
      </c>
      <c r="B140" s="7">
        <f aca="true" t="shared" si="47" ref="B140:X140">B85+B93</f>
        <v>3.8</v>
      </c>
      <c r="C140" s="7">
        <f t="shared" si="47"/>
        <v>173.8</v>
      </c>
      <c r="D140" s="7">
        <f t="shared" si="47"/>
        <v>98.4</v>
      </c>
      <c r="E140" s="7">
        <f t="shared" si="47"/>
        <v>-19.8517757564928</v>
      </c>
      <c r="F140" s="7">
        <f t="shared" si="47"/>
        <v>-46.2694656188928</v>
      </c>
      <c r="G140" s="7">
        <f t="shared" si="47"/>
        <v>-44.29711297026816</v>
      </c>
      <c r="H140" s="7">
        <f t="shared" si="47"/>
        <v>-42.324760321643524</v>
      </c>
      <c r="I140" s="7">
        <f t="shared" si="47"/>
        <v>-46.68473753541888</v>
      </c>
      <c r="J140" s="7">
        <f t="shared" si="47"/>
        <v>-44.372972006169604</v>
      </c>
      <c r="K140" s="7">
        <f t="shared" si="47"/>
        <v>-42.061206476920326</v>
      </c>
      <c r="L140" s="7">
        <f t="shared" si="47"/>
        <v>-39.74944094767105</v>
      </c>
      <c r="M140" s="7">
        <f t="shared" si="47"/>
        <v>-43.77000528082176</v>
      </c>
      <c r="N140" s="7">
        <f t="shared" si="47"/>
        <v>-21.033466870947844</v>
      </c>
      <c r="O140" s="7">
        <f t="shared" si="47"/>
        <v>-20.015228229073923</v>
      </c>
      <c r="P140" s="7">
        <f t="shared" si="47"/>
        <v>0</v>
      </c>
      <c r="Q140" s="7">
        <f t="shared" si="47"/>
        <v>0</v>
      </c>
      <c r="R140" s="7">
        <f t="shared" si="47"/>
        <v>0</v>
      </c>
      <c r="S140" s="7">
        <f t="shared" si="47"/>
        <v>0</v>
      </c>
      <c r="T140" s="7">
        <f t="shared" si="47"/>
        <v>0</v>
      </c>
      <c r="U140" s="7">
        <f t="shared" si="47"/>
        <v>0</v>
      </c>
      <c r="V140" s="7">
        <f t="shared" si="47"/>
        <v>0</v>
      </c>
      <c r="W140" s="7">
        <f t="shared" si="47"/>
        <v>0</v>
      </c>
      <c r="X140" s="7">
        <f t="shared" si="47"/>
        <v>0</v>
      </c>
      <c r="Y140" s="7"/>
    </row>
    <row r="141" spans="1:25" ht="10.5">
      <c r="A141" s="9" t="s">
        <v>54</v>
      </c>
      <c r="B141" s="7">
        <f aca="true" t="shared" si="48" ref="B141:X141">B139+B140</f>
        <v>-34.7</v>
      </c>
      <c r="C141" s="7">
        <f t="shared" si="48"/>
        <v>-61.46719999999999</v>
      </c>
      <c r="D141" s="7">
        <f t="shared" si="48"/>
        <v>-229.6870656</v>
      </c>
      <c r="E141" s="7">
        <f t="shared" si="48"/>
        <v>40.035225030851535</v>
      </c>
      <c r="F141" s="7">
        <f t="shared" si="48"/>
        <v>12.658426336906196</v>
      </c>
      <c r="G141" s="7">
        <f t="shared" si="48"/>
        <v>-21.27820431338111</v>
      </c>
      <c r="H141" s="7">
        <f t="shared" si="48"/>
        <v>7.128519871914349</v>
      </c>
      <c r="I141" s="7">
        <f t="shared" si="48"/>
        <v>-10.892038182270134</v>
      </c>
      <c r="J141" s="7">
        <f t="shared" si="48"/>
        <v>-24.882987541496433</v>
      </c>
      <c r="K141" s="7">
        <f t="shared" si="48"/>
        <v>-19.676216229165767</v>
      </c>
      <c r="L141" s="7">
        <f t="shared" si="48"/>
        <v>-10.218288076122548</v>
      </c>
      <c r="M141" s="7">
        <f t="shared" si="48"/>
        <v>-27.98351683562852</v>
      </c>
      <c r="N141" s="7">
        <f t="shared" si="48"/>
        <v>-1.8336047666022033</v>
      </c>
      <c r="O141" s="7">
        <f t="shared" si="48"/>
        <v>-5.005102115340119</v>
      </c>
      <c r="P141" s="7">
        <f t="shared" si="48"/>
        <v>-1.7378328364238769</v>
      </c>
      <c r="Q141" s="7">
        <f t="shared" si="48"/>
        <v>3.8545210792717057</v>
      </c>
      <c r="R141" s="7">
        <f t="shared" si="48"/>
        <v>-0.27880689950922033</v>
      </c>
      <c r="S141" s="7">
        <f t="shared" si="48"/>
        <v>-20.259384222031372</v>
      </c>
      <c r="T141" s="7">
        <f t="shared" si="48"/>
        <v>-14.471020310207166</v>
      </c>
      <c r="U141" s="7">
        <f t="shared" si="48"/>
        <v>-16.35146177754234</v>
      </c>
      <c r="V141" s="7">
        <f t="shared" si="48"/>
        <v>-34.481549606321835</v>
      </c>
      <c r="W141" s="7">
        <f t="shared" si="48"/>
        <v>-24.507720639411218</v>
      </c>
      <c r="X141" s="7">
        <f t="shared" si="48"/>
        <v>-32.99213548637988</v>
      </c>
      <c r="Y141" s="7"/>
    </row>
    <row r="142" spans="1:25" ht="10.5">
      <c r="A142" s="18" t="s">
        <v>56</v>
      </c>
      <c r="B142" s="7">
        <f aca="true" t="shared" si="49" ref="B142:X142">B$141*$B40</f>
        <v>-17.35</v>
      </c>
      <c r="C142" s="7">
        <f t="shared" si="49"/>
        <v>-30.733599999999996</v>
      </c>
      <c r="D142" s="7">
        <f t="shared" si="49"/>
        <v>-114.8435328</v>
      </c>
      <c r="E142" s="7">
        <f t="shared" si="49"/>
        <v>20.017612515425768</v>
      </c>
      <c r="F142" s="7">
        <f t="shared" si="49"/>
        <v>6.329213168453098</v>
      </c>
      <c r="G142" s="7">
        <f t="shared" si="49"/>
        <v>-10.639102156690555</v>
      </c>
      <c r="H142" s="7">
        <f t="shared" si="49"/>
        <v>3.5642599359571747</v>
      </c>
      <c r="I142" s="7">
        <f t="shared" si="49"/>
        <v>-5.446019091135067</v>
      </c>
      <c r="J142" s="7">
        <f t="shared" si="49"/>
        <v>-12.441493770748217</v>
      </c>
      <c r="K142" s="7">
        <f t="shared" si="49"/>
        <v>-9.838108114582884</v>
      </c>
      <c r="L142" s="7">
        <f t="shared" si="49"/>
        <v>-5.109144038061274</v>
      </c>
      <c r="M142" s="7">
        <f t="shared" si="49"/>
        <v>-13.99175841781426</v>
      </c>
      <c r="N142" s="7">
        <f t="shared" si="49"/>
        <v>-0.9168023833011016</v>
      </c>
      <c r="O142" s="7">
        <f t="shared" si="49"/>
        <v>-2.5025510576700594</v>
      </c>
      <c r="P142" s="7">
        <f t="shared" si="49"/>
        <v>-0.8689164182119384</v>
      </c>
      <c r="Q142" s="7">
        <f t="shared" si="49"/>
        <v>1.9272605396358529</v>
      </c>
      <c r="R142" s="7">
        <f t="shared" si="49"/>
        <v>-0.13940344975461016</v>
      </c>
      <c r="S142" s="7">
        <f t="shared" si="49"/>
        <v>-10.129692111015686</v>
      </c>
      <c r="T142" s="7">
        <f t="shared" si="49"/>
        <v>-7.235510155103583</v>
      </c>
      <c r="U142" s="7">
        <f t="shared" si="49"/>
        <v>-8.17573088877117</v>
      </c>
      <c r="V142" s="7">
        <f t="shared" si="49"/>
        <v>-17.240774803160917</v>
      </c>
      <c r="W142" s="7">
        <f t="shared" si="49"/>
        <v>-12.253860319705609</v>
      </c>
      <c r="X142" s="7">
        <f t="shared" si="49"/>
        <v>-16.49606774318994</v>
      </c>
      <c r="Y142" s="7"/>
    </row>
    <row r="143" spans="1:25" ht="10.5">
      <c r="A143" s="18" t="s">
        <v>57</v>
      </c>
      <c r="B143" s="7">
        <f aca="true" t="shared" si="50" ref="B143:X143">B$141*$B41</f>
        <v>-15.615000000000002</v>
      </c>
      <c r="C143" s="7">
        <f t="shared" si="50"/>
        <v>-27.660239999999998</v>
      </c>
      <c r="D143" s="7">
        <f t="shared" si="50"/>
        <v>-103.35917952000001</v>
      </c>
      <c r="E143" s="7">
        <f t="shared" si="50"/>
        <v>18.015851263883192</v>
      </c>
      <c r="F143" s="7">
        <f t="shared" si="50"/>
        <v>5.696291851607788</v>
      </c>
      <c r="G143" s="7">
        <f t="shared" si="50"/>
        <v>-9.5751919410215</v>
      </c>
      <c r="H143" s="7">
        <f t="shared" si="50"/>
        <v>3.2078339423614572</v>
      </c>
      <c r="I143" s="7">
        <f t="shared" si="50"/>
        <v>-4.901417182021561</v>
      </c>
      <c r="J143" s="7">
        <f t="shared" si="50"/>
        <v>-11.197344393673395</v>
      </c>
      <c r="K143" s="7">
        <f t="shared" si="50"/>
        <v>-8.854297303124596</v>
      </c>
      <c r="L143" s="7">
        <f t="shared" si="50"/>
        <v>-4.598229634255147</v>
      </c>
      <c r="M143" s="7">
        <f t="shared" si="50"/>
        <v>-12.592582576032834</v>
      </c>
      <c r="N143" s="7">
        <f t="shared" si="50"/>
        <v>-0.8251221449709915</v>
      </c>
      <c r="O143" s="7">
        <f t="shared" si="50"/>
        <v>-2.2522959519030534</v>
      </c>
      <c r="P143" s="7">
        <f t="shared" si="50"/>
        <v>-0.7820247763907446</v>
      </c>
      <c r="Q143" s="7">
        <f t="shared" si="50"/>
        <v>1.7345344856722675</v>
      </c>
      <c r="R143" s="7">
        <f t="shared" si="50"/>
        <v>-0.12546310477914915</v>
      </c>
      <c r="S143" s="7">
        <f t="shared" si="50"/>
        <v>-9.116722899914118</v>
      </c>
      <c r="T143" s="7">
        <f t="shared" si="50"/>
        <v>-6.511959139593225</v>
      </c>
      <c r="U143" s="7">
        <f t="shared" si="50"/>
        <v>-7.3581577998940535</v>
      </c>
      <c r="V143" s="7">
        <f t="shared" si="50"/>
        <v>-15.516697322844825</v>
      </c>
      <c r="W143" s="7">
        <f t="shared" si="50"/>
        <v>-11.02847428773505</v>
      </c>
      <c r="X143" s="7">
        <f t="shared" si="50"/>
        <v>-14.846460968870947</v>
      </c>
      <c r="Y143" s="7"/>
    </row>
    <row r="144" spans="1:25" ht="10.5">
      <c r="A144" s="18" t="s">
        <v>152</v>
      </c>
      <c r="B144" s="7">
        <f aca="true" t="shared" si="51" ref="B144:X144">B$141*$B42</f>
        <v>-1.7350000000000003</v>
      </c>
      <c r="C144" s="7">
        <f t="shared" si="51"/>
        <v>-3.0733599999999996</v>
      </c>
      <c r="D144" s="7">
        <f t="shared" si="51"/>
        <v>-11.48435328</v>
      </c>
      <c r="E144" s="7">
        <f t="shared" si="51"/>
        <v>2.0017612515425767</v>
      </c>
      <c r="F144" s="7">
        <f t="shared" si="51"/>
        <v>0.6329213168453098</v>
      </c>
      <c r="G144" s="7">
        <f t="shared" si="51"/>
        <v>-1.0639102156690556</v>
      </c>
      <c r="H144" s="7">
        <f t="shared" si="51"/>
        <v>0.35642599359571747</v>
      </c>
      <c r="I144" s="7">
        <f t="shared" si="51"/>
        <v>-0.5446019091135067</v>
      </c>
      <c r="J144" s="7">
        <f t="shared" si="51"/>
        <v>-1.2441493770748218</v>
      </c>
      <c r="K144" s="7">
        <f t="shared" si="51"/>
        <v>-0.9838108114582884</v>
      </c>
      <c r="L144" s="7">
        <f t="shared" si="51"/>
        <v>-0.5109144038061274</v>
      </c>
      <c r="M144" s="7">
        <f t="shared" si="51"/>
        <v>-1.3991758417814262</v>
      </c>
      <c r="N144" s="7">
        <f t="shared" si="51"/>
        <v>-0.09168023833011017</v>
      </c>
      <c r="O144" s="7">
        <f t="shared" si="51"/>
        <v>-0.25025510576700594</v>
      </c>
      <c r="P144" s="7">
        <f t="shared" si="51"/>
        <v>-0.08689164182119385</v>
      </c>
      <c r="Q144" s="7">
        <f t="shared" si="51"/>
        <v>0.1927260539635853</v>
      </c>
      <c r="R144" s="7">
        <f t="shared" si="51"/>
        <v>-0.013940344975461018</v>
      </c>
      <c r="S144" s="7">
        <f t="shared" si="51"/>
        <v>-1.0129692111015687</v>
      </c>
      <c r="T144" s="7">
        <f t="shared" si="51"/>
        <v>-0.7235510155103584</v>
      </c>
      <c r="U144" s="7">
        <f t="shared" si="51"/>
        <v>-0.8175730888771171</v>
      </c>
      <c r="V144" s="7">
        <f t="shared" si="51"/>
        <v>-1.7240774803160919</v>
      </c>
      <c r="W144" s="7">
        <f t="shared" si="51"/>
        <v>-1.225386031970561</v>
      </c>
      <c r="X144" s="7">
        <f t="shared" si="51"/>
        <v>-1.6496067743189942</v>
      </c>
      <c r="Y144" s="7"/>
    </row>
    <row r="145" ht="10.5">
      <c r="A145" s="17"/>
    </row>
    <row r="146" ht="10.5"/>
    <row r="147" ht="10.5">
      <c r="A147" s="50" t="s">
        <v>101</v>
      </c>
    </row>
    <row r="148" spans="1:24" ht="11.25">
      <c r="A148" s="51" t="s">
        <v>102</v>
      </c>
      <c r="E148" s="19">
        <f aca="true" t="shared" si="52" ref="E148:X148">E114/E113</f>
        <v>0</v>
      </c>
      <c r="F148" s="19">
        <f t="shared" si="52"/>
        <v>0</v>
      </c>
      <c r="G148" s="19">
        <f t="shared" si="52"/>
        <v>0</v>
      </c>
      <c r="H148" s="19">
        <f t="shared" si="52"/>
        <v>0.25</v>
      </c>
      <c r="I148" s="19">
        <f t="shared" si="52"/>
        <v>0</v>
      </c>
      <c r="J148" s="19">
        <f t="shared" si="52"/>
        <v>0</v>
      </c>
      <c r="K148" s="19">
        <f t="shared" si="52"/>
        <v>0</v>
      </c>
      <c r="L148" s="19">
        <f t="shared" si="52"/>
        <v>0</v>
      </c>
      <c r="M148" s="19">
        <f t="shared" si="52"/>
        <v>0</v>
      </c>
      <c r="N148" s="19">
        <f t="shared" si="52"/>
        <v>0</v>
      </c>
      <c r="O148" s="19">
        <f t="shared" si="52"/>
        <v>0</v>
      </c>
      <c r="P148" s="19">
        <f t="shared" si="52"/>
        <v>0</v>
      </c>
      <c r="Q148" s="19">
        <f t="shared" si="52"/>
        <v>0</v>
      </c>
      <c r="R148" s="19">
        <f t="shared" si="52"/>
        <v>0</v>
      </c>
      <c r="S148" s="19">
        <f t="shared" si="52"/>
        <v>0</v>
      </c>
      <c r="T148" s="19">
        <f t="shared" si="52"/>
        <v>0</v>
      </c>
      <c r="U148" s="19">
        <f t="shared" si="52"/>
        <v>0</v>
      </c>
      <c r="V148" s="19">
        <f t="shared" si="52"/>
        <v>0</v>
      </c>
      <c r="W148" s="19">
        <f t="shared" si="52"/>
        <v>0</v>
      </c>
      <c r="X148" s="19">
        <f t="shared" si="52"/>
        <v>0</v>
      </c>
    </row>
    <row r="149" spans="1:25" ht="11.25">
      <c r="A149" s="51" t="s">
        <v>124</v>
      </c>
      <c r="C149" s="6"/>
      <c r="D149" s="6"/>
      <c r="E149" s="6">
        <f aca="true" t="shared" si="53" ref="E149:X149">D124</f>
        <v>325.85426559999996</v>
      </c>
      <c r="F149" s="6">
        <f t="shared" si="53"/>
        <v>295.19507845759995</v>
      </c>
      <c r="G149" s="6">
        <f t="shared" si="53"/>
        <v>290.9535811775999</v>
      </c>
      <c r="H149" s="6">
        <f t="shared" si="53"/>
        <v>286.7120838975999</v>
      </c>
      <c r="I149" s="6">
        <f t="shared" si="53"/>
        <v>282.4705866175999</v>
      </c>
      <c r="J149" s="6">
        <f t="shared" si="53"/>
        <v>284.5614191999999</v>
      </c>
      <c r="K149" s="6">
        <f t="shared" si="53"/>
        <v>286.65225178239984</v>
      </c>
      <c r="L149" s="6">
        <f t="shared" si="53"/>
        <v>288.74308436479987</v>
      </c>
      <c r="M149" s="6">
        <f t="shared" si="53"/>
        <v>290.83391694719984</v>
      </c>
      <c r="N149" s="6">
        <f t="shared" si="53"/>
        <v>299.2570793919998</v>
      </c>
      <c r="O149" s="6">
        <f t="shared" si="53"/>
        <v>287.5948818367998</v>
      </c>
      <c r="P149" s="6">
        <f t="shared" si="53"/>
        <v>275.9326842815998</v>
      </c>
      <c r="Q149" s="6">
        <f t="shared" si="53"/>
        <v>245.2734971391998</v>
      </c>
      <c r="R149" s="6">
        <f t="shared" si="53"/>
        <v>214.61430999679982</v>
      </c>
      <c r="S149" s="6">
        <f t="shared" si="53"/>
        <v>183.95512285439983</v>
      </c>
      <c r="T149" s="6">
        <f t="shared" si="53"/>
        <v>153.29593571199985</v>
      </c>
      <c r="U149" s="6">
        <f t="shared" si="53"/>
        <v>122.63674856959985</v>
      </c>
      <c r="V149" s="6">
        <f t="shared" si="53"/>
        <v>91.97756142719984</v>
      </c>
      <c r="W149" s="6">
        <f t="shared" si="53"/>
        <v>61.318374284799845</v>
      </c>
      <c r="X149" s="6">
        <f t="shared" si="53"/>
        <v>30.659187142399848</v>
      </c>
      <c r="Y149" s="6"/>
    </row>
    <row r="150" spans="1:25" ht="11.25">
      <c r="A150" s="51" t="s">
        <v>125</v>
      </c>
      <c r="C150" s="6"/>
      <c r="D150" s="6"/>
      <c r="E150" s="6">
        <f aca="true" t="shared" si="54" ref="E150:X150">D123</f>
        <v>287.329477248</v>
      </c>
      <c r="F150" s="6">
        <f t="shared" si="54"/>
        <v>287.329477248</v>
      </c>
      <c r="G150" s="6">
        <f t="shared" si="54"/>
        <v>260.9117873856</v>
      </c>
      <c r="H150" s="6">
        <f t="shared" si="54"/>
        <v>234.4940975232</v>
      </c>
      <c r="I150" s="6">
        <f t="shared" si="54"/>
        <v>208.0764076608</v>
      </c>
      <c r="J150" s="6">
        <f t="shared" si="54"/>
        <v>175.326387936</v>
      </c>
      <c r="K150" s="6">
        <f t="shared" si="54"/>
        <v>142.57636821120002</v>
      </c>
      <c r="L150" s="6">
        <f t="shared" si="54"/>
        <v>109.82634848640001</v>
      </c>
      <c r="M150" s="6">
        <f t="shared" si="54"/>
        <v>77.07632876160001</v>
      </c>
      <c r="N150" s="6">
        <f t="shared" si="54"/>
        <v>37.9939791744</v>
      </c>
      <c r="O150" s="6">
        <f t="shared" si="54"/>
        <v>18.996989587199995</v>
      </c>
      <c r="P150" s="6">
        <f t="shared" si="54"/>
        <v>-7.105427357601002E-15</v>
      </c>
      <c r="Q150" s="6">
        <f t="shared" si="54"/>
        <v>0</v>
      </c>
      <c r="R150" s="6">
        <f t="shared" si="54"/>
        <v>0</v>
      </c>
      <c r="S150" s="6">
        <f t="shared" si="54"/>
        <v>0</v>
      </c>
      <c r="T150" s="6">
        <f t="shared" si="54"/>
        <v>0</v>
      </c>
      <c r="U150" s="6">
        <f t="shared" si="54"/>
        <v>0</v>
      </c>
      <c r="V150" s="6">
        <f t="shared" si="54"/>
        <v>0</v>
      </c>
      <c r="W150" s="6">
        <f t="shared" si="54"/>
        <v>0</v>
      </c>
      <c r="X150" s="6">
        <f t="shared" si="54"/>
        <v>0</v>
      </c>
      <c r="Y150" s="6"/>
    </row>
    <row r="151" spans="1:24" ht="11.25">
      <c r="A151" s="51" t="s">
        <v>103</v>
      </c>
      <c r="C151" s="14"/>
      <c r="D151" s="14"/>
      <c r="E151" s="14">
        <f aca="true" t="shared" si="55" ref="E151:X151">E150/E149</f>
        <v>0.8817729506131714</v>
      </c>
      <c r="F151" s="14">
        <f t="shared" si="55"/>
        <v>0.9733545652227744</v>
      </c>
      <c r="G151" s="14">
        <f t="shared" si="55"/>
        <v>0.8967471248492308</v>
      </c>
      <c r="H151" s="14">
        <f t="shared" si="55"/>
        <v>0.8178730883451368</v>
      </c>
      <c r="I151" s="14">
        <f t="shared" si="55"/>
        <v>0.7366303520390515</v>
      </c>
      <c r="J151" s="14">
        <f t="shared" si="55"/>
        <v>0.6161284563062092</v>
      </c>
      <c r="K151" s="14">
        <f t="shared" si="55"/>
        <v>0.497384434710218</v>
      </c>
      <c r="L151" s="14">
        <f t="shared" si="55"/>
        <v>0.3803601001492548</v>
      </c>
      <c r="M151" s="14">
        <f t="shared" si="55"/>
        <v>0.26501836364426856</v>
      </c>
      <c r="N151" s="14">
        <f t="shared" si="55"/>
        <v>0.12696100373495697</v>
      </c>
      <c r="O151" s="14">
        <f t="shared" si="55"/>
        <v>0.0660546859035556</v>
      </c>
      <c r="P151" s="14">
        <f t="shared" si="55"/>
        <v>-2.575058252377831E-17</v>
      </c>
      <c r="Q151" s="14">
        <f t="shared" si="55"/>
        <v>0</v>
      </c>
      <c r="R151" s="14">
        <f t="shared" si="55"/>
        <v>0</v>
      </c>
      <c r="S151" s="14">
        <f t="shared" si="55"/>
        <v>0</v>
      </c>
      <c r="T151" s="14">
        <f t="shared" si="55"/>
        <v>0</v>
      </c>
      <c r="U151" s="14">
        <f t="shared" si="55"/>
        <v>0</v>
      </c>
      <c r="V151" s="14">
        <f t="shared" si="55"/>
        <v>0</v>
      </c>
      <c r="W151" s="14">
        <f t="shared" si="55"/>
        <v>0</v>
      </c>
      <c r="X151" s="14">
        <f t="shared" si="55"/>
        <v>0</v>
      </c>
    </row>
    <row r="152" ht="11.25">
      <c r="A152" s="51"/>
    </row>
    <row r="153" spans="1:3" ht="10.5">
      <c r="A153" s="9" t="s">
        <v>106</v>
      </c>
      <c r="B153" s="2" t="s">
        <v>86</v>
      </c>
      <c r="C153" s="2" t="s">
        <v>87</v>
      </c>
    </row>
    <row r="154" spans="1:3" ht="10.5">
      <c r="A154" s="54" t="s">
        <v>107</v>
      </c>
      <c r="B154" s="3" t="e">
        <f>IRR(B139:Y139)</f>
        <v>#DIV/0!</v>
      </c>
      <c r="C154" s="58" t="e">
        <f>(1+B154)/(1+$B$6)-1</f>
        <v>#DIV/0!</v>
      </c>
    </row>
    <row r="155" spans="1:3" ht="10.5">
      <c r="A155" s="54" t="s">
        <v>61</v>
      </c>
      <c r="B155" s="3">
        <f>IRR(B140:Y140)</f>
        <v>0.06675877371529261</v>
      </c>
      <c r="C155" s="58">
        <f>(1+B155)/(1+$B$6)-1</f>
        <v>0.05829243424136177</v>
      </c>
    </row>
    <row r="156" spans="1:3" ht="10.5">
      <c r="A156" s="54" t="s">
        <v>108</v>
      </c>
      <c r="B156" s="3" t="e">
        <f>IRR(B141:Y141)</f>
        <v>#DIV/0!</v>
      </c>
      <c r="C156" s="58" t="e">
        <f>(1+B156)/(1+$B$6)-1</f>
        <v>#DIV/0!</v>
      </c>
    </row>
    <row r="157" spans="1:2" ht="10.5">
      <c r="A157" s="9" t="s">
        <v>65</v>
      </c>
      <c r="B157" s="3"/>
    </row>
    <row r="158" spans="1:2" ht="10.5">
      <c r="A158" s="54" t="s">
        <v>107</v>
      </c>
      <c r="B158" s="3">
        <f>'Cost of Capital'!E23</f>
        <v>0.08836347259775215</v>
      </c>
    </row>
    <row r="159" spans="1:2" ht="10.5">
      <c r="A159" s="54" t="s">
        <v>61</v>
      </c>
      <c r="B159" s="3">
        <f>'Cost of Capital'!E21</f>
        <v>0.06675877371529261</v>
      </c>
    </row>
    <row r="160" spans="1:2" ht="10.5">
      <c r="A160" s="54" t="s">
        <v>108</v>
      </c>
      <c r="B160" s="3">
        <f>'Cost of Capital'!E22</f>
        <v>0.10741391167844758</v>
      </c>
    </row>
    <row r="161" spans="1:2" ht="10.5">
      <c r="A161" s="22" t="s">
        <v>56</v>
      </c>
      <c r="B161" s="3">
        <f>'Cost of Capital'!E15</f>
        <v>0.13132782335689513</v>
      </c>
    </row>
    <row r="162" spans="1:2" ht="10.5">
      <c r="A162" s="22" t="s">
        <v>57</v>
      </c>
      <c r="B162" s="3">
        <f>'Cost of Capital'!E16</f>
        <v>0.085</v>
      </c>
    </row>
    <row r="163" spans="1:2" ht="10.5">
      <c r="A163" s="22" t="s">
        <v>152</v>
      </c>
      <c r="B163" s="3">
        <f>'Cost of Capital'!E17</f>
        <v>0.07</v>
      </c>
    </row>
    <row r="164" ht="10.5">
      <c r="A164" s="9" t="s">
        <v>105</v>
      </c>
    </row>
    <row r="165" spans="1:2" ht="10.5">
      <c r="A165" s="54" t="s">
        <v>107</v>
      </c>
      <c r="B165" s="6">
        <f aca="true" t="shared" si="56" ref="B165:B170">NPV(B158,B139:Y139)*(1+B158)</f>
        <v>-353.75326549734734</v>
      </c>
    </row>
    <row r="166" spans="1:2" ht="10.5">
      <c r="A166" s="54" t="s">
        <v>61</v>
      </c>
      <c r="B166" s="6">
        <f t="shared" si="56"/>
        <v>-2.4868995751603507E-14</v>
      </c>
    </row>
    <row r="167" spans="1:2" ht="10.5">
      <c r="A167" s="54" t="s">
        <v>108</v>
      </c>
      <c r="B167" s="6">
        <f t="shared" si="56"/>
        <v>-306.0856306610821</v>
      </c>
    </row>
    <row r="168" spans="1:2" ht="10.5">
      <c r="A168" s="22" t="s">
        <v>56</v>
      </c>
      <c r="B168" s="6">
        <f t="shared" si="56"/>
        <v>-142.7252847942809</v>
      </c>
    </row>
    <row r="169" spans="1:2" ht="10.5">
      <c r="A169" s="22" t="s">
        <v>57</v>
      </c>
      <c r="B169" s="6">
        <f t="shared" si="56"/>
        <v>-148.8021155956712</v>
      </c>
    </row>
    <row r="170" spans="1:2" ht="10.5">
      <c r="A170" s="22" t="s">
        <v>152</v>
      </c>
      <c r="B170" s="6">
        <f t="shared" si="56"/>
        <v>-17.55294876599184</v>
      </c>
    </row>
    <row r="171" spans="1:2" ht="10.5">
      <c r="A171" s="22"/>
      <c r="B171" s="6"/>
    </row>
    <row r="172" spans="1:2" ht="10.5">
      <c r="A172" s="57" t="s">
        <v>110</v>
      </c>
      <c r="B172" s="6"/>
    </row>
    <row r="173" spans="1:25" ht="10.5">
      <c r="A173" s="18" t="s">
        <v>111</v>
      </c>
      <c r="B173" s="6">
        <f aca="true" t="shared" si="57" ref="B173:X173">B102*$B$69</f>
        <v>0</v>
      </c>
      <c r="C173" s="6">
        <f t="shared" si="57"/>
        <v>0</v>
      </c>
      <c r="D173" s="6">
        <f t="shared" si="57"/>
        <v>0</v>
      </c>
      <c r="E173" s="6">
        <f t="shared" si="57"/>
        <v>16.93965</v>
      </c>
      <c r="F173" s="6">
        <f t="shared" si="57"/>
        <v>16.93965</v>
      </c>
      <c r="G173" s="6">
        <f t="shared" si="57"/>
        <v>16.93965</v>
      </c>
      <c r="H173" s="6">
        <f t="shared" si="57"/>
        <v>16.93965</v>
      </c>
      <c r="I173" s="6">
        <f t="shared" si="57"/>
        <v>16.93965</v>
      </c>
      <c r="J173" s="6">
        <f t="shared" si="57"/>
        <v>16.93965</v>
      </c>
      <c r="K173" s="6">
        <f t="shared" si="57"/>
        <v>16.93965</v>
      </c>
      <c r="L173" s="6">
        <f t="shared" si="57"/>
        <v>16.93965</v>
      </c>
      <c r="M173" s="6">
        <f t="shared" si="57"/>
        <v>16.93965</v>
      </c>
      <c r="N173" s="6">
        <f t="shared" si="57"/>
        <v>16.93965</v>
      </c>
      <c r="O173" s="6">
        <f t="shared" si="57"/>
        <v>16.93965</v>
      </c>
      <c r="P173" s="6">
        <f t="shared" si="57"/>
        <v>16.93965</v>
      </c>
      <c r="Q173" s="6">
        <f t="shared" si="57"/>
        <v>16.93965</v>
      </c>
      <c r="R173" s="6">
        <f t="shared" si="57"/>
        <v>16.93965</v>
      </c>
      <c r="S173" s="6">
        <f t="shared" si="57"/>
        <v>16.93965</v>
      </c>
      <c r="T173" s="6">
        <f t="shared" si="57"/>
        <v>16.93965</v>
      </c>
      <c r="U173" s="6">
        <f t="shared" si="57"/>
        <v>16.93965</v>
      </c>
      <c r="V173" s="6">
        <f t="shared" si="57"/>
        <v>16.93965</v>
      </c>
      <c r="W173" s="6">
        <f t="shared" si="57"/>
        <v>16.93965</v>
      </c>
      <c r="X173" s="6">
        <f t="shared" si="57"/>
        <v>16.93965</v>
      </c>
      <c r="Y173" s="6"/>
    </row>
    <row r="174" spans="1:25" ht="10.5">
      <c r="A174" s="18" t="s">
        <v>112</v>
      </c>
      <c r="B174" s="6">
        <f aca="true" t="shared" si="58" ref="B174:X174">B114</f>
        <v>0</v>
      </c>
      <c r="C174" s="6">
        <f t="shared" si="58"/>
        <v>0</v>
      </c>
      <c r="D174" s="6">
        <f t="shared" si="58"/>
        <v>0</v>
      </c>
      <c r="E174" s="6">
        <f t="shared" si="58"/>
        <v>0</v>
      </c>
      <c r="F174" s="6">
        <f t="shared" si="58"/>
        <v>0</v>
      </c>
      <c r="G174" s="6">
        <f t="shared" si="58"/>
        <v>0</v>
      </c>
      <c r="H174" s="6">
        <f t="shared" si="58"/>
        <v>0.9623408639714546</v>
      </c>
      <c r="I174" s="6">
        <f t="shared" si="58"/>
        <v>0</v>
      </c>
      <c r="J174" s="6">
        <f t="shared" si="58"/>
        <v>0</v>
      </c>
      <c r="K174" s="6">
        <f t="shared" si="58"/>
        <v>0</v>
      </c>
      <c r="L174" s="6">
        <f t="shared" si="58"/>
        <v>0</v>
      </c>
      <c r="M174" s="6">
        <f t="shared" si="58"/>
        <v>0</v>
      </c>
      <c r="N174" s="6">
        <f t="shared" si="58"/>
        <v>0</v>
      </c>
      <c r="O174" s="6">
        <f t="shared" si="58"/>
        <v>0</v>
      </c>
      <c r="P174" s="6">
        <f t="shared" si="58"/>
        <v>0</v>
      </c>
      <c r="Q174" s="6">
        <f t="shared" si="58"/>
        <v>0</v>
      </c>
      <c r="R174" s="6">
        <f t="shared" si="58"/>
        <v>0</v>
      </c>
      <c r="S174" s="6">
        <f t="shared" si="58"/>
        <v>0</v>
      </c>
      <c r="T174" s="6">
        <f t="shared" si="58"/>
        <v>0</v>
      </c>
      <c r="U174" s="6">
        <f t="shared" si="58"/>
        <v>0</v>
      </c>
      <c r="V174" s="6">
        <f t="shared" si="58"/>
        <v>0</v>
      </c>
      <c r="W174" s="6">
        <f t="shared" si="58"/>
        <v>0</v>
      </c>
      <c r="X174" s="6">
        <f t="shared" si="58"/>
        <v>0</v>
      </c>
      <c r="Y174" s="6"/>
    </row>
    <row r="175" spans="1:25" ht="10.5">
      <c r="A175" s="57" t="s">
        <v>167</v>
      </c>
      <c r="B175" s="6">
        <f aca="true" t="shared" si="59" ref="B175:X175">B144+B173+B174</f>
        <v>-1.7350000000000003</v>
      </c>
      <c r="C175" s="6">
        <f t="shared" si="59"/>
        <v>-3.0733599999999996</v>
      </c>
      <c r="D175" s="6">
        <f t="shared" si="59"/>
        <v>-11.48435328</v>
      </c>
      <c r="E175" s="6">
        <f t="shared" si="59"/>
        <v>18.941411251542576</v>
      </c>
      <c r="F175" s="6">
        <f t="shared" si="59"/>
        <v>17.57257131684531</v>
      </c>
      <c r="G175" s="6">
        <f t="shared" si="59"/>
        <v>15.875739784330944</v>
      </c>
      <c r="H175" s="6">
        <f t="shared" si="59"/>
        <v>18.258416857567173</v>
      </c>
      <c r="I175" s="6">
        <f t="shared" si="59"/>
        <v>16.395048090886494</v>
      </c>
      <c r="J175" s="6">
        <f t="shared" si="59"/>
        <v>15.695500622925179</v>
      </c>
      <c r="K175" s="6">
        <f t="shared" si="59"/>
        <v>15.955839188541711</v>
      </c>
      <c r="L175" s="6">
        <f t="shared" si="59"/>
        <v>16.428735596193874</v>
      </c>
      <c r="M175" s="6">
        <f t="shared" si="59"/>
        <v>15.540474158218574</v>
      </c>
      <c r="N175" s="6">
        <f t="shared" si="59"/>
        <v>16.84796976166989</v>
      </c>
      <c r="O175" s="6">
        <f t="shared" si="59"/>
        <v>16.689394894232993</v>
      </c>
      <c r="P175" s="6">
        <f t="shared" si="59"/>
        <v>16.852758358178807</v>
      </c>
      <c r="Q175" s="6">
        <f t="shared" si="59"/>
        <v>17.132376053963586</v>
      </c>
      <c r="R175" s="6">
        <f t="shared" si="59"/>
        <v>16.92570965502454</v>
      </c>
      <c r="S175" s="6">
        <f t="shared" si="59"/>
        <v>15.926680788898432</v>
      </c>
      <c r="T175" s="6">
        <f t="shared" si="59"/>
        <v>16.21609898448964</v>
      </c>
      <c r="U175" s="6">
        <f t="shared" si="59"/>
        <v>16.122076911122882</v>
      </c>
      <c r="V175" s="6">
        <f t="shared" si="59"/>
        <v>15.215572519683908</v>
      </c>
      <c r="W175" s="6">
        <f t="shared" si="59"/>
        <v>15.714263968029439</v>
      </c>
      <c r="X175" s="6">
        <f t="shared" si="59"/>
        <v>15.290043225681007</v>
      </c>
      <c r="Y175" s="6"/>
    </row>
    <row r="176" spans="1:2" ht="10.5">
      <c r="A176" s="22" t="s">
        <v>106</v>
      </c>
      <c r="B176" s="58">
        <f>IRR(B175:Y175)</f>
        <v>0.7915999910133927</v>
      </c>
    </row>
    <row r="177" spans="1:2" ht="10.5">
      <c r="A177" s="22" t="s">
        <v>105</v>
      </c>
      <c r="B177" s="6">
        <f>NPV(B163,B175:Y175)*(1+B163)</f>
        <v>139.83464722626886</v>
      </c>
    </row>
    <row r="178" ht="10.5"/>
    <row r="179" spans="1:25" ht="10.5">
      <c r="A179" s="94" t="s">
        <v>169</v>
      </c>
      <c r="Y179" s="6"/>
    </row>
    <row r="180" spans="1:25" ht="10.5">
      <c r="A180" s="2" t="s">
        <v>170</v>
      </c>
      <c r="B180" s="7"/>
      <c r="C180" s="7"/>
      <c r="D180" s="7"/>
      <c r="E180" s="7">
        <f aca="true" t="shared" si="60" ref="E180:X180">E139</f>
        <v>59.887000787344334</v>
      </c>
      <c r="F180" s="7">
        <f t="shared" si="60"/>
        <v>58.927891955799</v>
      </c>
      <c r="G180" s="7">
        <f t="shared" si="60"/>
        <v>23.01890865688705</v>
      </c>
      <c r="H180" s="7">
        <f t="shared" si="60"/>
        <v>49.45328019355787</v>
      </c>
      <c r="I180" s="7">
        <f t="shared" si="60"/>
        <v>35.79269935314875</v>
      </c>
      <c r="J180" s="7">
        <f t="shared" si="60"/>
        <v>19.48998446467317</v>
      </c>
      <c r="K180" s="7">
        <f t="shared" si="60"/>
        <v>22.38499024775456</v>
      </c>
      <c r="L180" s="7">
        <f t="shared" si="60"/>
        <v>29.5311528715485</v>
      </c>
      <c r="M180" s="7">
        <f t="shared" si="60"/>
        <v>15.786488445193243</v>
      </c>
      <c r="N180" s="7">
        <f t="shared" si="60"/>
        <v>19.19986210434564</v>
      </c>
      <c r="O180" s="7">
        <f t="shared" si="60"/>
        <v>15.010126113733804</v>
      </c>
      <c r="P180" s="7">
        <f t="shared" si="60"/>
        <v>-1.7378328364238769</v>
      </c>
      <c r="Q180" s="7">
        <f t="shared" si="60"/>
        <v>3.8545210792717057</v>
      </c>
      <c r="R180" s="7">
        <f t="shared" si="60"/>
        <v>-0.27880689950922033</v>
      </c>
      <c r="S180" s="7">
        <f t="shared" si="60"/>
        <v>-20.259384222031372</v>
      </c>
      <c r="T180" s="7">
        <f t="shared" si="60"/>
        <v>-14.471020310207166</v>
      </c>
      <c r="U180" s="7">
        <f t="shared" si="60"/>
        <v>-16.35146177754234</v>
      </c>
      <c r="V180" s="7">
        <f t="shared" si="60"/>
        <v>-34.481549606321835</v>
      </c>
      <c r="W180" s="7">
        <f t="shared" si="60"/>
        <v>-24.507720639411218</v>
      </c>
      <c r="X180" s="7">
        <f t="shared" si="60"/>
        <v>-32.99213548637988</v>
      </c>
      <c r="Y180" s="6"/>
    </row>
    <row r="181" spans="1:25" ht="10.5">
      <c r="A181" s="2" t="s">
        <v>171</v>
      </c>
      <c r="B181" s="6"/>
      <c r="C181" s="6"/>
      <c r="D181" s="6"/>
      <c r="E181" s="6">
        <f aca="true" t="shared" si="61" ref="E181:X181">E83+E81+E89+E91</f>
        <v>19.8517757564928</v>
      </c>
      <c r="F181" s="6">
        <f t="shared" si="61"/>
        <v>46.269465618892795</v>
      </c>
      <c r="G181" s="6">
        <f t="shared" si="61"/>
        <v>44.29711297026816</v>
      </c>
      <c r="H181" s="6">
        <f t="shared" si="61"/>
        <v>42.324760321643524</v>
      </c>
      <c r="I181" s="6">
        <f t="shared" si="61"/>
        <v>46.68473753541889</v>
      </c>
      <c r="J181" s="6">
        <f t="shared" si="61"/>
        <v>44.372972006169604</v>
      </c>
      <c r="K181" s="6">
        <f t="shared" si="61"/>
        <v>42.061206476920326</v>
      </c>
      <c r="L181" s="6">
        <f t="shared" si="61"/>
        <v>39.74944094767105</v>
      </c>
      <c r="M181" s="6">
        <f t="shared" si="61"/>
        <v>43.77000528082176</v>
      </c>
      <c r="N181" s="6">
        <f t="shared" si="61"/>
        <v>21.033466870947844</v>
      </c>
      <c r="O181" s="6">
        <f t="shared" si="61"/>
        <v>20.015228229073923</v>
      </c>
      <c r="P181" s="6">
        <f t="shared" si="61"/>
        <v>0</v>
      </c>
      <c r="Q181" s="6">
        <f t="shared" si="61"/>
        <v>0</v>
      </c>
      <c r="R181" s="6">
        <f t="shared" si="61"/>
        <v>0</v>
      </c>
      <c r="S181" s="6">
        <f t="shared" si="61"/>
        <v>0</v>
      </c>
      <c r="T181" s="6">
        <f t="shared" si="61"/>
        <v>0</v>
      </c>
      <c r="U181" s="6">
        <f t="shared" si="61"/>
        <v>0</v>
      </c>
      <c r="V181" s="6">
        <f t="shared" si="61"/>
        <v>0</v>
      </c>
      <c r="W181" s="6">
        <f t="shared" si="61"/>
        <v>0</v>
      </c>
      <c r="X181" s="6">
        <f t="shared" si="61"/>
        <v>0</v>
      </c>
      <c r="Y181" s="6"/>
    </row>
    <row r="182" spans="1:15" ht="10.5">
      <c r="A182" s="9" t="s">
        <v>168</v>
      </c>
      <c r="B182" s="95">
        <f>AVERAGE(E182:O182)</f>
        <v>0.952985700494672</v>
      </c>
      <c r="E182" s="6">
        <f>E180/E181</f>
        <v>3.016707498711165</v>
      </c>
      <c r="F182" s="6">
        <f aca="true" t="shared" si="62" ref="F182:O182">F180/F181</f>
        <v>1.2735805604752328</v>
      </c>
      <c r="G182" s="6">
        <f t="shared" si="62"/>
        <v>0.5196480563493414</v>
      </c>
      <c r="H182" s="6">
        <f t="shared" si="62"/>
        <v>1.1684243411596842</v>
      </c>
      <c r="I182" s="6">
        <f t="shared" si="62"/>
        <v>0.7666895272998687</v>
      </c>
      <c r="J182" s="6">
        <f t="shared" si="62"/>
        <v>0.4392309909276144</v>
      </c>
      <c r="K182" s="6">
        <f t="shared" si="62"/>
        <v>0.5322003842195437</v>
      </c>
      <c r="L182" s="6">
        <f t="shared" si="62"/>
        <v>0.7429325335776515</v>
      </c>
      <c r="M182" s="6">
        <f t="shared" si="62"/>
        <v>0.36066910076682673</v>
      </c>
      <c r="N182" s="6">
        <f t="shared" si="62"/>
        <v>0.9128244155919516</v>
      </c>
      <c r="O182" s="6">
        <f t="shared" si="62"/>
        <v>0.7499352963625088</v>
      </c>
    </row>
    <row r="183" ht="10.5"/>
    <row r="184" ht="10.5">
      <c r="A184" s="9" t="s">
        <v>178</v>
      </c>
    </row>
    <row r="185" spans="1:9" ht="10.5">
      <c r="A185" s="9"/>
      <c r="C185" s="104" t="s">
        <v>179</v>
      </c>
      <c r="D185" s="104"/>
      <c r="E185" s="104"/>
      <c r="F185" s="104"/>
      <c r="G185" s="104"/>
      <c r="H185" s="104"/>
      <c r="I185" s="104"/>
    </row>
    <row r="186" spans="1:9" ht="10.5">
      <c r="A186" s="9" t="s">
        <v>174</v>
      </c>
      <c r="C186" s="4">
        <v>-0.15</v>
      </c>
      <c r="D186" s="4">
        <v>-0.1</v>
      </c>
      <c r="E186" s="105">
        <v>-0.07617413326727573</v>
      </c>
      <c r="F186" s="4">
        <v>-0.05</v>
      </c>
      <c r="G186" s="4">
        <v>0</v>
      </c>
      <c r="H186" s="4">
        <v>0.05</v>
      </c>
      <c r="I186" s="4">
        <v>0.1</v>
      </c>
    </row>
    <row r="187" spans="1:9" ht="11.25" thickBot="1">
      <c r="A187" s="9"/>
      <c r="B187" s="8">
        <v>8.5</v>
      </c>
      <c r="C187" s="12">
        <f>$B187*(1+C$186)</f>
        <v>7.225</v>
      </c>
      <c r="D187" s="12">
        <f aca="true" t="shared" si="63" ref="D187:I187">$B187*(1+D$186)</f>
        <v>7.65</v>
      </c>
      <c r="E187" s="108">
        <f t="shared" si="63"/>
        <v>7.852519867228156</v>
      </c>
      <c r="F187" s="2">
        <f t="shared" si="63"/>
        <v>8.075</v>
      </c>
      <c r="G187" s="2">
        <f t="shared" si="63"/>
        <v>8.5</v>
      </c>
      <c r="H187" s="2">
        <f t="shared" si="63"/>
        <v>8.925</v>
      </c>
      <c r="I187" s="2">
        <f t="shared" si="63"/>
        <v>9.350000000000001</v>
      </c>
    </row>
    <row r="188" spans="1:9" ht="10.5">
      <c r="A188" s="2" t="s">
        <v>173</v>
      </c>
      <c r="B188" s="6">
        <f>$B$167</f>
        <v>-306.0856306610821</v>
      </c>
      <c r="C188" s="97">
        <f t="dataTable" ref="C188:I189" dt2D="0" dtr="1" r1="B58"/>
        <v>-627.7872404506127</v>
      </c>
      <c r="D188" s="98">
        <v>-520.3794512029629</v>
      </c>
      <c r="E188" s="106">
        <v>-469.19777774954184</v>
      </c>
      <c r="F188" s="98">
        <v>-412.9716619553132</v>
      </c>
      <c r="G188" s="98">
        <v>-306.0856306610821</v>
      </c>
      <c r="H188" s="98">
        <v>-202.73166333283106</v>
      </c>
      <c r="I188" s="99">
        <v>-107.2476829709097</v>
      </c>
    </row>
    <row r="189" spans="1:9" ht="11.25" thickBot="1">
      <c r="A189" s="2" t="s">
        <v>172</v>
      </c>
      <c r="B189" s="3" t="e">
        <f>$B$156</f>
        <v>#DIV/0!</v>
      </c>
      <c r="C189" s="100" t="e">
        <v>#DIV/0!</v>
      </c>
      <c r="D189" s="101" t="e">
        <v>#DIV/0!</v>
      </c>
      <c r="E189" s="107" t="e">
        <v>#DIV/0!</v>
      </c>
      <c r="F189" s="101" t="e">
        <v>#DIV/0!</v>
      </c>
      <c r="G189" s="102" t="e">
        <v>#DIV/0!</v>
      </c>
      <c r="H189" s="102" t="e">
        <v>#DIV/0!</v>
      </c>
      <c r="I189" s="103">
        <v>0.028109954752632286</v>
      </c>
    </row>
    <row r="190" spans="2:9" ht="10.5">
      <c r="B190" s="3"/>
      <c r="C190" s="133"/>
      <c r="D190" s="134"/>
      <c r="E190" s="135"/>
      <c r="F190" s="134"/>
      <c r="G190" s="133"/>
      <c r="H190" s="133"/>
      <c r="I190" s="133"/>
    </row>
    <row r="191" spans="1:9" ht="10.5">
      <c r="A191" s="9" t="s">
        <v>175</v>
      </c>
      <c r="B191" s="3"/>
      <c r="C191" s="133"/>
      <c r="D191" s="134"/>
      <c r="E191" s="135"/>
      <c r="F191" s="134"/>
      <c r="G191" s="133"/>
      <c r="H191" s="133"/>
      <c r="I191" s="133"/>
    </row>
    <row r="192" spans="1:9" ht="10.5">
      <c r="A192" s="129" t="s">
        <v>197</v>
      </c>
      <c r="B192" s="3">
        <v>0.008</v>
      </c>
      <c r="C192" s="136" t="s">
        <v>198</v>
      </c>
      <c r="D192" s="136"/>
      <c r="E192" s="136"/>
      <c r="F192" s="136"/>
      <c r="G192" s="136"/>
      <c r="H192" s="136"/>
      <c r="I192" s="136"/>
    </row>
    <row r="193" spans="2:9" ht="11.25" thickBot="1">
      <c r="B193" s="3"/>
      <c r="C193" s="133">
        <v>0</v>
      </c>
      <c r="D193" s="134">
        <v>0.002</v>
      </c>
      <c r="E193" s="133">
        <v>0.004</v>
      </c>
      <c r="F193" s="134">
        <v>0.006</v>
      </c>
      <c r="G193" s="133">
        <v>0.008</v>
      </c>
      <c r="H193" s="134">
        <v>0.01</v>
      </c>
      <c r="I193" s="141">
        <v>0.011765115329627592</v>
      </c>
    </row>
    <row r="194" spans="1:9" ht="10.5">
      <c r="A194" s="2" t="s">
        <v>173</v>
      </c>
      <c r="B194" s="6">
        <f>$B$167</f>
        <v>-306.0856306610821</v>
      </c>
      <c r="C194" s="97">
        <f t="dataTable" ref="C194:I195" dt2D="0" dtr="1" r1="B192"/>
        <v>-183.08049012463334</v>
      </c>
      <c r="D194" s="98">
        <v>-211.22855809778983</v>
      </c>
      <c r="E194" s="140">
        <v>-241.3015988825118</v>
      </c>
      <c r="F194" s="98">
        <v>-273.21840714938276</v>
      </c>
      <c r="G194" s="98">
        <v>-306.0856306610821</v>
      </c>
      <c r="H194" s="98">
        <v>-339.7252802505163</v>
      </c>
      <c r="I194" s="138">
        <v>-370.31237832393253</v>
      </c>
    </row>
    <row r="195" spans="1:9" ht="11.25" thickBot="1">
      <c r="A195" s="2" t="s">
        <v>172</v>
      </c>
      <c r="B195" s="3" t="e">
        <f>$B$156</f>
        <v>#DIV/0!</v>
      </c>
      <c r="C195" s="100">
        <v>-0.0010848804117048647</v>
      </c>
      <c r="D195" s="101" t="e">
        <v>#NUM!</v>
      </c>
      <c r="E195" s="137" t="e">
        <v>#DIV/0!</v>
      </c>
      <c r="F195" s="101" t="e">
        <v>#DIV/0!</v>
      </c>
      <c r="G195" s="102" t="e">
        <v>#DIV/0!</v>
      </c>
      <c r="H195" s="102" t="e">
        <v>#DIV/0!</v>
      </c>
      <c r="I195" s="139" t="e">
        <v>#DIV/0!</v>
      </c>
    </row>
    <row r="196" ht="10.5">
      <c r="D196" s="96"/>
    </row>
    <row r="197" spans="1:9" ht="10.5">
      <c r="A197" s="9" t="s">
        <v>180</v>
      </c>
      <c r="C197" s="104" t="s">
        <v>184</v>
      </c>
      <c r="D197" s="104"/>
      <c r="E197" s="104"/>
      <c r="F197" s="104"/>
      <c r="G197" s="104"/>
      <c r="H197" s="104"/>
      <c r="I197" s="104"/>
    </row>
    <row r="198" spans="2:9" ht="11.25" thickBot="1">
      <c r="B198" s="2">
        <v>40</v>
      </c>
      <c r="C198" s="2">
        <v>90</v>
      </c>
      <c r="D198" s="2">
        <v>140</v>
      </c>
      <c r="E198" s="2">
        <v>190</v>
      </c>
      <c r="F198" s="2">
        <v>240</v>
      </c>
      <c r="G198" s="114">
        <v>284.915163106858</v>
      </c>
      <c r="H198" s="2">
        <v>290</v>
      </c>
      <c r="I198" s="7">
        <v>340</v>
      </c>
    </row>
    <row r="199" spans="1:9" ht="10.5">
      <c r="A199" s="2" t="s">
        <v>173</v>
      </c>
      <c r="B199" s="6">
        <f>$B$167</f>
        <v>-306.0856306610821</v>
      </c>
      <c r="C199" s="97">
        <f t="dataTable" ref="C199:I200" dt2D="0" dtr="1" r1="B16"/>
        <v>-177.18744104847556</v>
      </c>
      <c r="D199" s="98">
        <v>-220.6420547154706</v>
      </c>
      <c r="E199" s="98">
        <v>-263.52695057955157</v>
      </c>
      <c r="F199" s="98">
        <v>-306.0856306610821</v>
      </c>
      <c r="G199" s="106">
        <v>-344.1401663727136</v>
      </c>
      <c r="H199" s="98">
        <v>-348.4404417651334</v>
      </c>
      <c r="I199" s="99">
        <v>-390.8282410430158</v>
      </c>
    </row>
    <row r="200" spans="1:9" ht="11.25" thickBot="1">
      <c r="A200" s="2" t="s">
        <v>172</v>
      </c>
      <c r="B200" s="3" t="e">
        <f>$B$156</f>
        <v>#DIV/0!</v>
      </c>
      <c r="C200" s="109" t="e">
        <v>#DIV/0!</v>
      </c>
      <c r="D200" s="101" t="e">
        <v>#DIV/0!</v>
      </c>
      <c r="E200" s="101" t="e">
        <v>#DIV/0!</v>
      </c>
      <c r="F200" s="101" t="e">
        <v>#DIV/0!</v>
      </c>
      <c r="G200" s="107" t="e">
        <v>#DIV/0!</v>
      </c>
      <c r="H200" s="101" t="e">
        <v>#DIV/0!</v>
      </c>
      <c r="I200" s="110" t="e">
        <v>#DIV/0!</v>
      </c>
    </row>
    <row r="201" ht="10.5"/>
    <row r="202" spans="1:9" ht="10.5">
      <c r="A202" s="9" t="s">
        <v>176</v>
      </c>
      <c r="C202" s="104" t="s">
        <v>183</v>
      </c>
      <c r="D202" s="104"/>
      <c r="E202" s="104"/>
      <c r="F202" s="104"/>
      <c r="G202" s="104"/>
      <c r="H202" s="104"/>
      <c r="I202" s="104"/>
    </row>
    <row r="203" spans="1:9" ht="11.25" thickBot="1">
      <c r="A203" s="9"/>
      <c r="C203" s="4">
        <v>0.9</v>
      </c>
      <c r="D203" s="4">
        <v>0.75</v>
      </c>
      <c r="E203" s="4">
        <v>0.7</v>
      </c>
      <c r="F203" s="4">
        <v>0.65</v>
      </c>
      <c r="G203" s="4">
        <v>0.6</v>
      </c>
      <c r="H203" s="125">
        <v>0.543054691882751</v>
      </c>
      <c r="I203" s="4">
        <v>0.5</v>
      </c>
    </row>
    <row r="204" spans="1:9" ht="10.5">
      <c r="A204" s="2" t="s">
        <v>173</v>
      </c>
      <c r="B204" s="6">
        <f>$B$167</f>
        <v>-306.0856306610821</v>
      </c>
      <c r="C204" s="97">
        <f t="dataTable" ref="C204:I205" dt2D="0" dtr="1" r1="B54"/>
        <v>-180.98910873579175</v>
      </c>
      <c r="D204" s="98">
        <v>-254.80053072892417</v>
      </c>
      <c r="E204" s="98">
        <v>-280.39247797278165</v>
      </c>
      <c r="F204" s="98">
        <v>-306.0856306610821</v>
      </c>
      <c r="G204" s="98">
        <v>-331.95200034293725</v>
      </c>
      <c r="H204" s="106">
        <v>-362.0056015194967</v>
      </c>
      <c r="I204" s="99">
        <v>-384.7282556134853</v>
      </c>
    </row>
    <row r="205" spans="1:9" ht="11.25" thickBot="1">
      <c r="A205" s="2" t="s">
        <v>172</v>
      </c>
      <c r="B205" s="3" t="e">
        <f>$B$156</f>
        <v>#DIV/0!</v>
      </c>
      <c r="C205" s="109" t="e">
        <v>#DIV/0!</v>
      </c>
      <c r="D205" s="101" t="e">
        <v>#DIV/0!</v>
      </c>
      <c r="E205" s="101" t="e">
        <v>#DIV/0!</v>
      </c>
      <c r="F205" s="101" t="e">
        <v>#DIV/0!</v>
      </c>
      <c r="G205" s="101" t="e">
        <v>#DIV/0!</v>
      </c>
      <c r="H205" s="107" t="e">
        <v>#DIV/0!</v>
      </c>
      <c r="I205" s="110" t="e">
        <v>#DIV/0!</v>
      </c>
    </row>
    <row r="206" ht="10.5"/>
    <row r="207" ht="10.5">
      <c r="A207" s="9" t="s">
        <v>181</v>
      </c>
    </row>
    <row r="208" spans="1:7" ht="10.5">
      <c r="A208" s="115" t="s">
        <v>182</v>
      </c>
      <c r="B208" s="3"/>
      <c r="C208" s="104" t="s">
        <v>179</v>
      </c>
      <c r="D208" s="104"/>
      <c r="E208" s="104"/>
      <c r="F208" s="104"/>
      <c r="G208" s="104"/>
    </row>
    <row r="209" spans="2:7" ht="11.25" thickBot="1">
      <c r="B209" s="6">
        <f>$B$167</f>
        <v>-306.0856306610821</v>
      </c>
      <c r="C209" s="2">
        <v>7.5</v>
      </c>
      <c r="D209" s="2">
        <v>8</v>
      </c>
      <c r="E209" s="2">
        <v>8.5</v>
      </c>
      <c r="F209" s="2">
        <v>9</v>
      </c>
      <c r="G209" s="2">
        <v>9.5</v>
      </c>
    </row>
    <row r="210" spans="1:7" ht="10.5">
      <c r="A210" s="126" t="s">
        <v>185</v>
      </c>
      <c r="B210" s="2">
        <v>8.5</v>
      </c>
      <c r="C210" s="116">
        <f t="dataTable" ref="C210:G214" dt2D="1" dtr="1" r1="B58" r2="B59"/>
        <v>-374.0720364640471</v>
      </c>
      <c r="D210" s="117">
        <v>-249.2874518282031</v>
      </c>
      <c r="E210" s="117">
        <v>-133.8529787751302</v>
      </c>
      <c r="F210" s="117">
        <v>-25.77187129802188</v>
      </c>
      <c r="G210" s="118">
        <v>79.37046070977644</v>
      </c>
    </row>
    <row r="211" spans="1:7" ht="10.5">
      <c r="A211" s="127"/>
      <c r="B211" s="2">
        <v>9</v>
      </c>
      <c r="C211" s="119">
        <v>-466.18005958309044</v>
      </c>
      <c r="D211" s="120">
        <v>-339.81795458585515</v>
      </c>
      <c r="E211" s="120">
        <v>-216.93390426477183</v>
      </c>
      <c r="F211" s="120">
        <v>-104.22621205550769</v>
      </c>
      <c r="G211" s="121">
        <v>3.3392079391476233</v>
      </c>
    </row>
    <row r="212" spans="1:7" ht="10.5">
      <c r="A212" s="127"/>
      <c r="B212" s="2">
        <v>9.5</v>
      </c>
      <c r="C212" s="119">
        <v>-558.2880827021332</v>
      </c>
      <c r="D212" s="120">
        <v>-431.925977704898</v>
      </c>
      <c r="E212" s="120">
        <v>-306.0856306610821</v>
      </c>
      <c r="F212" s="120">
        <v>-185.30500315906662</v>
      </c>
      <c r="G212" s="121">
        <v>-74.74871921613983</v>
      </c>
    </row>
    <row r="213" spans="1:7" ht="10.5">
      <c r="A213" s="127"/>
      <c r="B213" s="2">
        <v>10</v>
      </c>
      <c r="C213" s="119">
        <v>-650.3961058211765</v>
      </c>
      <c r="D213" s="120">
        <v>-524.0340008239415</v>
      </c>
      <c r="E213" s="120">
        <v>-397.6718958267066</v>
      </c>
      <c r="F213" s="120">
        <v>-272.63789073952944</v>
      </c>
      <c r="G213" s="121">
        <v>-154.74633101907483</v>
      </c>
    </row>
    <row r="214" spans="1:7" ht="11.25" thickBot="1">
      <c r="A214" s="127"/>
      <c r="B214" s="108">
        <v>10.533556580413983</v>
      </c>
      <c r="C214" s="122">
        <v>-748.6857895093535</v>
      </c>
      <c r="D214" s="123">
        <v>-622.3236845121186</v>
      </c>
      <c r="E214" s="123">
        <v>-495.9615795148835</v>
      </c>
      <c r="F214" s="123">
        <v>-369.59947451764833</v>
      </c>
      <c r="G214" s="124">
        <v>-245.5683299450903</v>
      </c>
    </row>
    <row r="215" ht="10.5"/>
    <row r="216" ht="10.5">
      <c r="A216" s="9" t="s">
        <v>177</v>
      </c>
    </row>
    <row r="217" ht="10.5">
      <c r="A217" s="9"/>
    </row>
    <row r="218" spans="1:24" ht="10.5">
      <c r="A218" s="9" t="s">
        <v>174</v>
      </c>
      <c r="E218" s="2">
        <v>2012</v>
      </c>
      <c r="F218" s="2">
        <v>2013</v>
      </c>
      <c r="G218" s="2">
        <v>2014</v>
      </c>
      <c r="H218" s="2">
        <v>2015</v>
      </c>
      <c r="I218" s="2">
        <v>2016</v>
      </c>
      <c r="J218" s="2">
        <v>2017</v>
      </c>
      <c r="K218" s="2">
        <v>2018</v>
      </c>
      <c r="L218" s="2">
        <v>2019</v>
      </c>
      <c r="M218" s="2">
        <v>2020</v>
      </c>
      <c r="N218" s="2">
        <v>2021</v>
      </c>
      <c r="O218" s="2">
        <v>2022</v>
      </c>
      <c r="P218" s="2">
        <v>2023</v>
      </c>
      <c r="Q218" s="2">
        <v>2024</v>
      </c>
      <c r="R218" s="2">
        <v>2025</v>
      </c>
      <c r="S218" s="2">
        <v>2026</v>
      </c>
      <c r="T218" s="2">
        <v>2027</v>
      </c>
      <c r="U218" s="2">
        <v>2028</v>
      </c>
      <c r="V218" s="2">
        <v>2029</v>
      </c>
      <c r="W218" s="2">
        <v>2030</v>
      </c>
      <c r="X218" s="2">
        <v>2031</v>
      </c>
    </row>
    <row r="219" spans="1:24" ht="10.5">
      <c r="A219" s="2" t="s">
        <v>186</v>
      </c>
      <c r="E219" s="6">
        <f>$B$58*E74</f>
        <v>8.705636352</v>
      </c>
      <c r="F219" s="6">
        <f aca="true" t="shared" si="64" ref="F219:X219">$B$58*F74</f>
        <v>8.775281442816002</v>
      </c>
      <c r="G219" s="6">
        <f t="shared" si="64"/>
        <v>8.84548369435853</v>
      </c>
      <c r="H219" s="6">
        <f t="shared" si="64"/>
        <v>8.916247563913398</v>
      </c>
      <c r="I219" s="6">
        <f t="shared" si="64"/>
        <v>8.987577544424704</v>
      </c>
      <c r="J219" s="6">
        <f t="shared" si="64"/>
        <v>9.059478164780103</v>
      </c>
      <c r="K219" s="6">
        <f t="shared" si="64"/>
        <v>9.131953990098344</v>
      </c>
      <c r="L219" s="6">
        <f t="shared" si="64"/>
        <v>9.20500962201913</v>
      </c>
      <c r="M219" s="6">
        <f t="shared" si="64"/>
        <v>9.278649698995283</v>
      </c>
      <c r="N219" s="6">
        <f t="shared" si="64"/>
        <v>9.352878896587246</v>
      </c>
      <c r="O219" s="6">
        <f t="shared" si="64"/>
        <v>9.427701927759944</v>
      </c>
      <c r="P219" s="6">
        <f t="shared" si="64"/>
        <v>9.503123543182022</v>
      </c>
      <c r="Q219" s="6">
        <f t="shared" si="64"/>
        <v>9.57914853152748</v>
      </c>
      <c r="R219" s="6">
        <f t="shared" si="64"/>
        <v>9.6557817197797</v>
      </c>
      <c r="S219" s="6">
        <f t="shared" si="64"/>
        <v>9.733027973537938</v>
      </c>
      <c r="T219" s="6">
        <f t="shared" si="64"/>
        <v>9.810892197326242</v>
      </c>
      <c r="U219" s="6">
        <f t="shared" si="64"/>
        <v>9.889379334904852</v>
      </c>
      <c r="V219" s="6">
        <f t="shared" si="64"/>
        <v>9.968494369584091</v>
      </c>
      <c r="W219" s="6">
        <f t="shared" si="64"/>
        <v>10.048242324540764</v>
      </c>
      <c r="X219" s="6">
        <f t="shared" si="64"/>
        <v>10.12862826313709</v>
      </c>
    </row>
    <row r="220" spans="1:24" ht="10.5">
      <c r="A220" s="2" t="s">
        <v>192</v>
      </c>
      <c r="E220" s="7">
        <f>$B$58</f>
        <v>8.5</v>
      </c>
      <c r="F220" s="7">
        <f aca="true" t="shared" si="65" ref="F220:X220">$B$58</f>
        <v>8.5</v>
      </c>
      <c r="G220" s="7">
        <f t="shared" si="65"/>
        <v>8.5</v>
      </c>
      <c r="H220" s="7">
        <f t="shared" si="65"/>
        <v>8.5</v>
      </c>
      <c r="I220" s="7">
        <f t="shared" si="65"/>
        <v>8.5</v>
      </c>
      <c r="J220" s="7">
        <f t="shared" si="65"/>
        <v>8.5</v>
      </c>
      <c r="K220" s="7">
        <f t="shared" si="65"/>
        <v>8.5</v>
      </c>
      <c r="L220" s="7">
        <f t="shared" si="65"/>
        <v>8.5</v>
      </c>
      <c r="M220" s="7">
        <f t="shared" si="65"/>
        <v>8.5</v>
      </c>
      <c r="N220" s="7">
        <f t="shared" si="65"/>
        <v>8.5</v>
      </c>
      <c r="O220" s="7">
        <f t="shared" si="65"/>
        <v>8.5</v>
      </c>
      <c r="P220" s="7">
        <f t="shared" si="65"/>
        <v>8.5</v>
      </c>
      <c r="Q220" s="7">
        <f t="shared" si="65"/>
        <v>8.5</v>
      </c>
      <c r="R220" s="7">
        <f t="shared" si="65"/>
        <v>8.5</v>
      </c>
      <c r="S220" s="7">
        <f t="shared" si="65"/>
        <v>8.5</v>
      </c>
      <c r="T220" s="7">
        <f t="shared" si="65"/>
        <v>8.5</v>
      </c>
      <c r="U220" s="7">
        <f t="shared" si="65"/>
        <v>8.5</v>
      </c>
      <c r="V220" s="7">
        <f t="shared" si="65"/>
        <v>8.5</v>
      </c>
      <c r="W220" s="7">
        <f t="shared" si="65"/>
        <v>8.5</v>
      </c>
      <c r="X220" s="7">
        <f t="shared" si="65"/>
        <v>8.5</v>
      </c>
    </row>
    <row r="221" spans="1:24" ht="10.5">
      <c r="A221" s="2" t="s">
        <v>193</v>
      </c>
      <c r="E221" s="128">
        <f>($E$219*$E$75)*(1+$B$5/2)^(D2-2)/E75</f>
        <v>8.705636352</v>
      </c>
      <c r="F221" s="128">
        <f>($E$219*$E$75)*(1+$B$5/2)^(E2-2)/F75</f>
        <v>8.49591855044171</v>
      </c>
      <c r="G221" s="128">
        <f aca="true" t="shared" si="66" ref="G221:X221">($E$219*$E$75)*(1+$B$5/2)^(F2-2)/G75</f>
        <v>8.291252827159157</v>
      </c>
      <c r="H221" s="128">
        <f t="shared" si="66"/>
        <v>8.091517478154334</v>
      </c>
      <c r="I221" s="128">
        <f t="shared" si="66"/>
        <v>7.896593731264861</v>
      </c>
      <c r="J221" s="128">
        <f t="shared" si="66"/>
        <v>7.7063656755364125</v>
      </c>
      <c r="K221" s="128">
        <f t="shared" si="66"/>
        <v>7.520720192296523</v>
      </c>
      <c r="L221" s="128">
        <f t="shared" si="66"/>
        <v>7.339546887888841</v>
      </c>
      <c r="M221" s="128">
        <f t="shared" si="66"/>
        <v>7.1627380280277855</v>
      </c>
      <c r="N221" s="128">
        <f t="shared" si="66"/>
        <v>6.990188473734623</v>
      </c>
      <c r="O221" s="128">
        <f t="shared" si="66"/>
        <v>6.8217956188167905</v>
      </c>
      <c r="P221" s="128">
        <f t="shared" si="66"/>
        <v>6.657459328853386</v>
      </c>
      <c r="Q221" s="128">
        <f t="shared" si="66"/>
        <v>6.497081881650442</v>
      </c>
      <c r="R221" s="128">
        <f t="shared" si="66"/>
        <v>6.340567909130684</v>
      </c>
      <c r="S221" s="128">
        <f t="shared" si="66"/>
        <v>6.187824340623086</v>
      </c>
      <c r="T221" s="128">
        <f t="shared" si="66"/>
        <v>6.038760347518637</v>
      </c>
      <c r="U221" s="128">
        <f t="shared" si="66"/>
        <v>5.893287289259311</v>
      </c>
      <c r="V221" s="128">
        <f t="shared" si="66"/>
        <v>5.751318660628165</v>
      </c>
      <c r="W221" s="128">
        <f t="shared" si="66"/>
        <v>5.612770040309212</v>
      </c>
      <c r="X221" s="128">
        <f t="shared" si="66"/>
        <v>5.477559040686482</v>
      </c>
    </row>
    <row r="223" spans="1:24" ht="10.5">
      <c r="A223" s="129" t="s">
        <v>190</v>
      </c>
      <c r="B223" s="16">
        <v>2</v>
      </c>
      <c r="D223" s="115" t="s">
        <v>174</v>
      </c>
      <c r="E223" s="6">
        <f>INDEX($E$219:$X$221,$B$223,E2-2)</f>
        <v>8.5</v>
      </c>
      <c r="F223" s="6">
        <f>INDEX($E$219:$X$221,$B$223,F2-2)</f>
        <v>8.5</v>
      </c>
      <c r="G223" s="6">
        <f>INDEX($E$219:$X$221,$B$223,G2-2)</f>
        <v>8.5</v>
      </c>
      <c r="H223" s="6">
        <f>INDEX($E$219:$X$221,$B$223,H2-2)</f>
        <v>8.5</v>
      </c>
      <c r="I223" s="6">
        <f>INDEX($E$219:$X$221,$B$223,I2-2)</f>
        <v>8.5</v>
      </c>
      <c r="J223" s="6">
        <f>INDEX($E$219:$X$221,$B$223,J2-2)</f>
        <v>8.5</v>
      </c>
      <c r="K223" s="6">
        <f>INDEX($E$219:$X$221,$B$223,K2-2)</f>
        <v>8.5</v>
      </c>
      <c r="L223" s="6">
        <f>INDEX($E$219:$X$221,$B$223,L2-2)</f>
        <v>8.5</v>
      </c>
      <c r="M223" s="6">
        <f>INDEX($E$219:$X$221,$B$223,M2-2)</f>
        <v>8.5</v>
      </c>
      <c r="N223" s="6">
        <f>INDEX($E$219:$X$221,$B$223,N2-2)</f>
        <v>8.5</v>
      </c>
      <c r="O223" s="6">
        <f>INDEX($E$219:$X$221,$B$223,O2-2)</f>
        <v>8.5</v>
      </c>
      <c r="P223" s="6">
        <f>INDEX($E$219:$X$221,$B$223,P2-2)</f>
        <v>8.5</v>
      </c>
      <c r="Q223" s="6">
        <f>INDEX($E$219:$X$221,$B$223,Q2-2)</f>
        <v>8.5</v>
      </c>
      <c r="R223" s="6">
        <f>INDEX($E$219:$X$221,$B$223,R2-2)</f>
        <v>8.5</v>
      </c>
      <c r="S223" s="6">
        <f>INDEX($E$219:$X$221,$B$223,S2-2)</f>
        <v>8.5</v>
      </c>
      <c r="T223" s="6">
        <f>INDEX($E$219:$X$221,$B$223,T2-2)</f>
        <v>8.5</v>
      </c>
      <c r="U223" s="6">
        <f>INDEX($E$219:$X$221,$B$223,U2-2)</f>
        <v>8.5</v>
      </c>
      <c r="V223" s="6">
        <f>INDEX($E$219:$X$221,$B$223,V2-2)</f>
        <v>8.5</v>
      </c>
      <c r="W223" s="6">
        <f>INDEX($E$219:$X$221,$B$223,W2-2)</f>
        <v>8.5</v>
      </c>
      <c r="X223" s="6">
        <f>INDEX($E$219:$X$221,$B$223,X2-2)</f>
        <v>8.5</v>
      </c>
    </row>
    <row r="225" spans="3:5" ht="10.5">
      <c r="C225" s="104" t="s">
        <v>191</v>
      </c>
      <c r="D225" s="104"/>
      <c r="E225" s="104"/>
    </row>
    <row r="226" spans="3:5" ht="11.25" thickBot="1">
      <c r="C226" s="2">
        <v>1</v>
      </c>
      <c r="D226" s="2">
        <v>2</v>
      </c>
      <c r="E226" s="2">
        <v>3</v>
      </c>
    </row>
    <row r="227" spans="1:5" ht="10.5">
      <c r="A227" s="2" t="s">
        <v>173</v>
      </c>
      <c r="B227" s="6">
        <f>$B$167</f>
        <v>-306.0856306610821</v>
      </c>
      <c r="C227" s="111">
        <f t="dataTable" ref="C227:E228" dt2D="0" dtr="1" r1="B223"/>
        <v>-149.95705455912793</v>
      </c>
      <c r="D227" s="112">
        <v>-306.0856306610821</v>
      </c>
      <c r="E227" s="113">
        <v>-553.0276031507409</v>
      </c>
    </row>
    <row r="228" spans="1:5" ht="11.25" thickBot="1">
      <c r="A228" s="2" t="s">
        <v>172</v>
      </c>
      <c r="B228" s="3" t="e">
        <f>$B$156</f>
        <v>#DIV/0!</v>
      </c>
      <c r="C228" s="130">
        <v>0.02649262459322333</v>
      </c>
      <c r="D228" s="131" t="e">
        <v>#DIV/0!</v>
      </c>
      <c r="E228" s="132" t="e">
        <v>#DIV/0!</v>
      </c>
    </row>
    <row r="230" spans="1:3" ht="10.5">
      <c r="A230" s="9" t="s">
        <v>194</v>
      </c>
      <c r="B230" s="2" t="s">
        <v>105</v>
      </c>
      <c r="C230" s="2" t="s">
        <v>106</v>
      </c>
    </row>
    <row r="231" spans="1:3" ht="10.5">
      <c r="A231" s="16" t="s">
        <v>200</v>
      </c>
      <c r="B231" s="6">
        <f>$B$167</f>
        <v>-306.0856306610821</v>
      </c>
      <c r="C231" s="3" t="e">
        <f>$B$156</f>
        <v>#DIV/0!</v>
      </c>
    </row>
    <row r="232" spans="1:3" ht="10.5">
      <c r="A232" s="16" t="s">
        <v>196</v>
      </c>
      <c r="B232" s="6">
        <f>F199</f>
        <v>-306.0856306610821</v>
      </c>
      <c r="C232" s="3" t="e">
        <f>F200</f>
        <v>#DIV/0!</v>
      </c>
    </row>
    <row r="233" spans="1:3" ht="10.5">
      <c r="A233" s="2" t="s">
        <v>195</v>
      </c>
      <c r="B233" s="6">
        <f>D227</f>
        <v>-306.0856306610821</v>
      </c>
      <c r="C233" s="3" t="e">
        <f>D228</f>
        <v>#DIV/0!</v>
      </c>
    </row>
    <row r="234" spans="1:3" ht="10.5">
      <c r="A234" s="2" t="s">
        <v>199</v>
      </c>
      <c r="B234" s="12">
        <f>G194</f>
        <v>-306.0856306610821</v>
      </c>
      <c r="C234" s="17" t="e">
        <f>G195</f>
        <v>#DIV/0!</v>
      </c>
    </row>
    <row r="235" spans="1:3" ht="10.5">
      <c r="A235" s="2" t="s">
        <v>201</v>
      </c>
      <c r="B235" s="12">
        <f>F204</f>
        <v>-306.0856306610821</v>
      </c>
      <c r="C235" s="3" t="e">
        <f>F205</f>
        <v>#DIV/0!</v>
      </c>
    </row>
  </sheetData>
  <sheetProtection/>
  <mergeCells count="7">
    <mergeCell ref="A210:A214"/>
    <mergeCell ref="C225:E225"/>
    <mergeCell ref="C192:I192"/>
    <mergeCell ref="C185:I185"/>
    <mergeCell ref="C197:I197"/>
    <mergeCell ref="C202:I202"/>
    <mergeCell ref="C208:G208"/>
  </mergeCells>
  <conditionalFormatting sqref="C210:G214">
    <cfRule type="cellIs" priority="1" dxfId="0" operator="lessThan" stopIfTrue="1">
      <formula>0</formula>
    </cfRule>
  </conditionalFormatting>
  <printOptions gridLines="1"/>
  <pageMargins left="0.5" right="0.5" top="0.25" bottom="0.25" header="0.3" footer="0.3"/>
  <pageSetup fitToHeight="2" fitToWidth="1" horizontalDpi="600" verticalDpi="600" orientation="landscape" scale="39" r:id="rId3"/>
  <ignoredErrors>
    <ignoredError sqref="E110:X1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0.8515625" style="1" bestFit="1" customWidth="1"/>
    <col min="2" max="2" width="9.140625" style="1" customWidth="1"/>
    <col min="3" max="3" width="3.57421875" style="1" customWidth="1"/>
    <col min="4" max="4" width="46.00390625" style="1" bestFit="1" customWidth="1"/>
    <col min="5" max="5" width="9.8515625" style="1" customWidth="1"/>
    <col min="6" max="6" width="4.140625" style="1" customWidth="1"/>
    <col min="7" max="7" width="24.57421875" style="1" customWidth="1"/>
    <col min="8" max="8" width="6.7109375" style="1" customWidth="1"/>
    <col min="9" max="9" width="4.140625" style="1" customWidth="1"/>
    <col min="10" max="10" width="13.421875" style="1" bestFit="1" customWidth="1"/>
    <col min="11" max="11" width="43.140625" style="1" customWidth="1"/>
    <col min="12" max="16384" width="9.140625" style="1" customWidth="1"/>
  </cols>
  <sheetData>
    <row r="1" spans="1:11" ht="12">
      <c r="A1" s="15" t="s">
        <v>65</v>
      </c>
      <c r="B1" s="15">
        <v>2009</v>
      </c>
      <c r="J1" s="23" t="s">
        <v>104</v>
      </c>
      <c r="K1" s="24" t="s">
        <v>66</v>
      </c>
    </row>
    <row r="2" spans="10:11" ht="11.25">
      <c r="J2" s="25" t="s">
        <v>67</v>
      </c>
      <c r="K2" s="26">
        <v>140</v>
      </c>
    </row>
    <row r="3" spans="1:11" ht="11.25">
      <c r="A3" s="27" t="s">
        <v>68</v>
      </c>
      <c r="B3" s="28"/>
      <c r="D3" s="29" t="s">
        <v>165</v>
      </c>
      <c r="E3" s="28"/>
      <c r="G3" s="29" t="s">
        <v>69</v>
      </c>
      <c r="H3" s="28"/>
      <c r="J3" s="25" t="s">
        <v>70</v>
      </c>
      <c r="K3" s="26">
        <v>160</v>
      </c>
    </row>
    <row r="4" spans="1:11" ht="11.25">
      <c r="A4" s="30" t="s">
        <v>95</v>
      </c>
      <c r="B4" s="33">
        <v>0.0336</v>
      </c>
      <c r="D4" s="30" t="s">
        <v>160</v>
      </c>
      <c r="E4" s="31">
        <v>1</v>
      </c>
      <c r="G4" s="30" t="s">
        <v>71</v>
      </c>
      <c r="H4" s="52" t="s">
        <v>88</v>
      </c>
      <c r="J4" s="25" t="s">
        <v>73</v>
      </c>
      <c r="K4" s="26">
        <v>175</v>
      </c>
    </row>
    <row r="5" spans="1:11" ht="11.25">
      <c r="A5" s="1" t="s">
        <v>96</v>
      </c>
      <c r="B5" s="35"/>
      <c r="D5" s="30" t="s">
        <v>43</v>
      </c>
      <c r="E5" s="32">
        <f>IF(E4=1,Analysis!B68,AVERAGE(Analysis!E148:X148))</f>
        <v>0.25</v>
      </c>
      <c r="G5" s="30" t="s">
        <v>74</v>
      </c>
      <c r="H5" s="32">
        <f>VLOOKUP(H4,$J$2:$K$19,2)/10000</f>
        <v>0.0525</v>
      </c>
      <c r="J5" s="25" t="s">
        <v>75</v>
      </c>
      <c r="K5" s="26">
        <v>70</v>
      </c>
    </row>
    <row r="6" spans="1:11" ht="11.25">
      <c r="A6" s="1" t="s">
        <v>97</v>
      </c>
      <c r="B6" s="35"/>
      <c r="D6" s="30" t="s">
        <v>161</v>
      </c>
      <c r="E6" s="31">
        <v>1</v>
      </c>
      <c r="G6" s="30" t="s">
        <v>130</v>
      </c>
      <c r="H6" s="35">
        <v>0</v>
      </c>
      <c r="J6" s="25" t="s">
        <v>77</v>
      </c>
      <c r="K6" s="26">
        <v>100</v>
      </c>
    </row>
    <row r="7" spans="1:11" ht="11.25">
      <c r="A7" s="30" t="s">
        <v>76</v>
      </c>
      <c r="B7" s="34">
        <f>11.1%-5.45%</f>
        <v>0.0565</v>
      </c>
      <c r="D7" s="30" t="s">
        <v>162</v>
      </c>
      <c r="E7" s="39">
        <f>IF(E6=1,Analysis!B48/Analysis!B44,AVERAGE(Analysis!E151:X151))</f>
        <v>0.8817729506131714</v>
      </c>
      <c r="G7" s="36"/>
      <c r="H7" s="38"/>
      <c r="J7" s="25" t="s">
        <v>78</v>
      </c>
      <c r="K7" s="26">
        <v>120</v>
      </c>
    </row>
    <row r="8" spans="1:11" ht="11.25">
      <c r="A8" s="30" t="s">
        <v>98</v>
      </c>
      <c r="B8" s="39">
        <v>0.78</v>
      </c>
      <c r="D8" s="30" t="s">
        <v>163</v>
      </c>
      <c r="E8" s="32">
        <f>1/(1+E7)</f>
        <v>0.5314137391942807</v>
      </c>
      <c r="J8" s="25" t="s">
        <v>79</v>
      </c>
      <c r="K8" s="26">
        <v>0</v>
      </c>
    </row>
    <row r="9" spans="1:11" ht="11.25">
      <c r="A9" s="40" t="s">
        <v>80</v>
      </c>
      <c r="B9" s="49">
        <v>0.91</v>
      </c>
      <c r="D9" s="36" t="s">
        <v>164</v>
      </c>
      <c r="E9" s="37">
        <f>1-E8</f>
        <v>0.4685862608057193</v>
      </c>
      <c r="J9" s="25" t="s">
        <v>72</v>
      </c>
      <c r="K9" s="26">
        <v>650</v>
      </c>
    </row>
    <row r="10" spans="1:11" ht="11.25">
      <c r="A10" s="40" t="s">
        <v>81</v>
      </c>
      <c r="B10" s="41">
        <v>0.32</v>
      </c>
      <c r="J10" s="25" t="s">
        <v>82</v>
      </c>
      <c r="K10" s="26">
        <v>750</v>
      </c>
    </row>
    <row r="11" spans="1:11" ht="11.25">
      <c r="A11" s="30" t="s">
        <v>99</v>
      </c>
      <c r="B11" s="65">
        <f>B8/(1+(1-B10)*B9)</f>
        <v>0.48183839881393625</v>
      </c>
      <c r="J11" s="25" t="s">
        <v>83</v>
      </c>
      <c r="K11" s="26">
        <v>900</v>
      </c>
    </row>
    <row r="12" spans="1:11" ht="11.25">
      <c r="A12" s="30"/>
      <c r="B12" s="31"/>
      <c r="F12" s="47"/>
      <c r="G12" s="47"/>
      <c r="J12" s="25" t="s">
        <v>84</v>
      </c>
      <c r="K12" s="26">
        <v>300</v>
      </c>
    </row>
    <row r="13" spans="1:11" ht="11.25">
      <c r="A13" s="36" t="s">
        <v>100</v>
      </c>
      <c r="B13" s="66">
        <f>B11*(1+(1-E5)*E7)</f>
        <v>0.8004924487946042</v>
      </c>
      <c r="J13" s="25" t="s">
        <v>85</v>
      </c>
      <c r="K13" s="26">
        <v>400</v>
      </c>
    </row>
    <row r="14" spans="10:11" ht="11.25">
      <c r="J14" s="25" t="s">
        <v>88</v>
      </c>
      <c r="K14" s="26">
        <v>525</v>
      </c>
    </row>
    <row r="15" spans="4:11" ht="11.25">
      <c r="D15" s="75" t="s">
        <v>153</v>
      </c>
      <c r="E15" s="76">
        <f>B4+B7*B13+H5+H6</f>
        <v>0.13132782335689513</v>
      </c>
      <c r="F15" s="77"/>
      <c r="G15" s="78" t="e">
        <f>(1+E15)/(1+#REF!)-1</f>
        <v>#REF!</v>
      </c>
      <c r="J15" s="25" t="s">
        <v>89</v>
      </c>
      <c r="K15" s="26">
        <v>200</v>
      </c>
    </row>
    <row r="16" spans="4:11" ht="11.25">
      <c r="D16" s="30" t="s">
        <v>154</v>
      </c>
      <c r="E16" s="53">
        <v>0.085</v>
      </c>
      <c r="F16" s="47"/>
      <c r="G16" s="32" t="e">
        <f>(1+E16)/(1+#REF!)-1</f>
        <v>#REF!</v>
      </c>
      <c r="J16" s="25" t="s">
        <v>90</v>
      </c>
      <c r="K16" s="26">
        <v>225</v>
      </c>
    </row>
    <row r="17" spans="2:11" ht="11.25">
      <c r="B17" s="43"/>
      <c r="D17" s="36" t="s">
        <v>155</v>
      </c>
      <c r="E17" s="79">
        <v>0.07</v>
      </c>
      <c r="F17" s="80"/>
      <c r="G17" s="37" t="e">
        <f>(1+E17)/(1+#REF!)-1</f>
        <v>#REF!</v>
      </c>
      <c r="J17" s="25" t="s">
        <v>91</v>
      </c>
      <c r="K17" s="26">
        <v>260</v>
      </c>
    </row>
    <row r="18" spans="10:11" ht="11.25">
      <c r="J18" s="44" t="s">
        <v>92</v>
      </c>
      <c r="K18" s="45">
        <v>1200</v>
      </c>
    </row>
    <row r="19" spans="2:11" ht="11.25">
      <c r="B19" s="42"/>
      <c r="J19" s="44" t="s">
        <v>93</v>
      </c>
      <c r="K19" s="26">
        <v>1350</v>
      </c>
    </row>
    <row r="20" spans="5:11" ht="11.25">
      <c r="E20" s="15" t="s">
        <v>86</v>
      </c>
      <c r="G20" s="15" t="s">
        <v>87</v>
      </c>
      <c r="J20" s="46" t="s">
        <v>94</v>
      </c>
      <c r="K20" s="48">
        <v>1500</v>
      </c>
    </row>
    <row r="21" spans="4:11" ht="11.25">
      <c r="D21" s="81" t="s">
        <v>150</v>
      </c>
      <c r="E21" s="82">
        <f>Analysis!B155</f>
        <v>0.06675877371529261</v>
      </c>
      <c r="F21" s="77"/>
      <c r="G21" s="83">
        <f>(1+E21)/(1+Analysis!$B$6)-1</f>
        <v>0.05829243424136177</v>
      </c>
      <c r="J21" s="47"/>
      <c r="K21" s="47"/>
    </row>
    <row r="22" spans="4:7" ht="11.25">
      <c r="D22" s="84" t="s">
        <v>151</v>
      </c>
      <c r="E22" s="85">
        <f>E15*Analysis!B40+E16*Analysis!B41+E17*Analysis!B42</f>
        <v>0.10741391167844758</v>
      </c>
      <c r="F22" s="47"/>
      <c r="G22" s="86">
        <f>(1+E22)/(1+Analysis!$B$6)-1</f>
        <v>0.09862491237941229</v>
      </c>
    </row>
    <row r="23" spans="4:7" ht="11.25">
      <c r="D23" s="87" t="s">
        <v>166</v>
      </c>
      <c r="E23" s="88">
        <f>E22*E8+E21*E9</f>
        <v>0.08836347259775215</v>
      </c>
      <c r="F23" s="80"/>
      <c r="G23" s="89">
        <f>(1+E23)/(1+Analysis!$B$6)-1</f>
        <v>0.07972566725967489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Xuan Thanh</cp:lastModifiedBy>
  <cp:lastPrinted>2010-01-11T06:01:03Z</cp:lastPrinted>
  <dcterms:created xsi:type="dcterms:W3CDTF">2009-09-30T14:34:13Z</dcterms:created>
  <dcterms:modified xsi:type="dcterms:W3CDTF">2010-10-19T10:22:22Z</dcterms:modified>
  <cp:category/>
  <cp:version/>
  <cp:contentType/>
  <cp:contentStatus/>
</cp:coreProperties>
</file>