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1"/>
  </bookViews>
  <sheets>
    <sheet name="Bond Pricing" sheetId="1" r:id="rId1"/>
    <sheet name="YTM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Nguyen Xuan Thanh</author>
  </authors>
  <commentList>
    <comment ref="A10" authorId="0">
      <text>
        <r>
          <rPr>
            <b/>
            <sz val="8"/>
            <rFont val="Tahoma"/>
            <family val="2"/>
          </rPr>
          <t xml:space="preserve">Basis                         Day count basis 
0 or omitted           US (NASD) 30/360                                             1                                Actual/actual
2                                Actual/360 
3                                Actual/365 
4                                European 30/360 
</t>
        </r>
      </text>
    </comment>
    <comment ref="B10" authorId="0">
      <text>
        <r>
          <rPr>
            <b/>
            <sz val="8"/>
            <rFont val="Tahoma"/>
            <family val="2"/>
          </rPr>
          <t xml:space="preserve">Thông số                 Cơ sở tính ngày
0 hay để trống       US (NASD) 30/360                                             1                                Số ngày thực tế/Ngày thực tế trong năm
2                                Số ngày thực tế/360 
3                                Số ngày thực tế/365 
4                                European 30/360 </t>
        </r>
      </text>
    </comment>
  </commentList>
</comments>
</file>

<file path=xl/comments2.xml><?xml version="1.0" encoding="utf-8"?>
<comments xmlns="http://schemas.openxmlformats.org/spreadsheetml/2006/main">
  <authors>
    <author>Nguyen Xuan Thanh</author>
  </authors>
  <commentList>
    <comment ref="A10" authorId="0">
      <text>
        <r>
          <rPr>
            <b/>
            <sz val="8"/>
            <rFont val="Tahoma"/>
            <family val="2"/>
          </rPr>
          <t xml:space="preserve">Basis                         Day count basis 
0 or omitted           US (NASD) 30/360                                             1                                Actual/actual
2                                Actual/360 
3                                Actual/365 
4                                European 30/360 
</t>
        </r>
      </text>
    </comment>
    <comment ref="B10" authorId="0">
      <text>
        <r>
          <rPr>
            <b/>
            <sz val="8"/>
            <rFont val="Tahoma"/>
            <family val="2"/>
          </rPr>
          <t xml:space="preserve">Thông số                 Cơ sở tính ngày
0 hay để trống       US (NASD) 30/360                                             1                                Số ngày thực tế/Ngày thực tế trong năm
2                                Số ngày thực tế/360 
3                                Số ngày thực tế/365 
4                                European 30/360 </t>
        </r>
      </text>
    </comment>
  </commentList>
</comments>
</file>

<file path=xl/sharedStrings.xml><?xml version="1.0" encoding="utf-8"?>
<sst xmlns="http://schemas.openxmlformats.org/spreadsheetml/2006/main" count="98" uniqueCount="53">
  <si>
    <t>Number of coupon payments</t>
  </si>
  <si>
    <t>Số lẫn trả lãi cho đến khi đáo hạn</t>
  </si>
  <si>
    <t>Lợi suất đến khi đáo hạn</t>
  </si>
  <si>
    <t>Coupon payments per year</t>
  </si>
  <si>
    <t>Annual coupon rate</t>
  </si>
  <si>
    <t>Lãi suất hàng năm</t>
  </si>
  <si>
    <t>Yield to maturity</t>
  </si>
  <si>
    <t>Accrued interest</t>
  </si>
  <si>
    <t>Lãi tích tụ</t>
  </si>
  <si>
    <t>Ngày thanh toán</t>
  </si>
  <si>
    <t>Ngày đáo hạn</t>
  </si>
  <si>
    <t>Giá trị hoàn trả nợ gốc (% mệnh giá)</t>
  </si>
  <si>
    <t>Số lần trả lãi trong năm</t>
  </si>
  <si>
    <t>Số ngày kể từ lần trả lãi trước</t>
  </si>
  <si>
    <t>Số ngày trong kỳ trả lãi</t>
  </si>
  <si>
    <t>Maturity date</t>
  </si>
  <si>
    <t>Settlement date</t>
  </si>
  <si>
    <t>Flat price (% of par)</t>
  </si>
  <si>
    <t>Redemption value (% of par)</t>
  </si>
  <si>
    <t>Days since last coupon</t>
  </si>
  <si>
    <t>Days in coupon period</t>
  </si>
  <si>
    <t>Data Input</t>
  </si>
  <si>
    <t>Nhập dữ liệu</t>
  </si>
  <si>
    <t>Data Output</t>
  </si>
  <si>
    <t>Kết quả</t>
  </si>
  <si>
    <t>Other Indicators</t>
  </si>
  <si>
    <t>Các chỉ số khác</t>
  </si>
  <si>
    <t>Days until next coupon</t>
  </si>
  <si>
    <t>Số ngày đến lần trả lãi tới</t>
  </si>
  <si>
    <t>Day counting basis</t>
  </si>
  <si>
    <t>Cơ sở tính ngày</t>
  </si>
  <si>
    <t>Ngày trả lãi</t>
  </si>
  <si>
    <t>PV(lãi)</t>
  </si>
  <si>
    <t>PV trái phiếu vào ngày thanh toán</t>
  </si>
  <si>
    <t>PV trái phiếu vào ngày trả lãi kế tiếp</t>
  </si>
  <si>
    <t xml:space="preserve"> vào ngày trả lãi kế tiếp</t>
  </si>
  <si>
    <t>Bảng tính thủ công</t>
  </si>
  <si>
    <t>Lãi định kỳ</t>
  </si>
  <si>
    <t>PV vào ngày thanh toán</t>
  </si>
  <si>
    <t>Chênh lệch</t>
  </si>
  <si>
    <t>PV vào ngày trả lãi kế tiếp</t>
  </si>
  <si>
    <t>Giá thánh toán (% mệnh giá)</t>
  </si>
  <si>
    <t>Invoice price (% of par)</t>
  </si>
  <si>
    <t>PV nợ gốc  vào ngày trả lãi kế tiếp</t>
  </si>
  <si>
    <t>PV lãi định kỳ vào ngày trả lãi kế tiếp</t>
  </si>
  <si>
    <t>Kỳ</t>
  </si>
  <si>
    <t>BOND PRICING</t>
  </si>
  <si>
    <t>ĐỊNH GIÁ TRÁI PHIẾU</t>
  </si>
  <si>
    <t>YIELD TO MATURITY</t>
  </si>
  <si>
    <t>LỢI SUẤT ĐẾN KHI ĐÁO HẠN</t>
  </si>
  <si>
    <t>Giá phẳng (% mệnh giá)</t>
  </si>
  <si>
    <t>Discount rate</t>
  </si>
  <si>
    <t>Suất chiết khấu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</si>
</sst>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"/>
    <numFmt numFmtId="165" formatCode="0.00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"/>
    <numFmt numFmtId="172" formatCode="0.0%"/>
    <numFmt numFmtId="173" formatCode="[$-409]dddd\,\ mmmm\ dd\,\ yyyy"/>
    <numFmt numFmtId="174" formatCode="dd/mm/yyyy"/>
    <numFmt numFmtId="175" formatCode="0.0000%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left" indent="1"/>
    </xf>
    <xf numFmtId="10" fontId="0" fillId="33" borderId="0" xfId="59" applyNumberFormat="1" applyFont="1" applyFill="1" applyAlignment="1">
      <alignment/>
    </xf>
    <xf numFmtId="174" fontId="0" fillId="33" borderId="0" xfId="0" applyNumberForma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8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0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164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170" fontId="1" fillId="0" borderId="17" xfId="0" applyNumberFormat="1" applyFont="1" applyBorder="1" applyAlignment="1">
      <alignment/>
    </xf>
    <xf numFmtId="170" fontId="5" fillId="34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170" fontId="10" fillId="0" borderId="0" xfId="0" applyNumberFormat="1" applyFont="1" applyAlignment="1">
      <alignment/>
    </xf>
    <xf numFmtId="0" fontId="11" fillId="35" borderId="0" xfId="0" applyFont="1" applyFill="1" applyAlignment="1">
      <alignment/>
    </xf>
    <xf numFmtId="10" fontId="5" fillId="33" borderId="0" xfId="59" applyNumberFormat="1" applyFont="1" applyFill="1" applyAlignment="1">
      <alignment/>
    </xf>
    <xf numFmtId="170" fontId="5" fillId="33" borderId="0" xfId="0" applyNumberFormat="1" applyFont="1" applyFill="1" applyAlignment="1">
      <alignment/>
    </xf>
    <xf numFmtId="167" fontId="0" fillId="0" borderId="0" xfId="0" applyNumberFormat="1" applyAlignment="1">
      <alignment/>
    </xf>
    <xf numFmtId="165" fontId="5" fillId="34" borderId="0" xfId="59" applyNumberFormat="1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dd-Ins\FETP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f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5.140625" style="0" customWidth="1"/>
    <col min="2" max="2" width="32.00390625" style="0" bestFit="1" customWidth="1"/>
    <col min="3" max="3" width="13.140625" style="0" customWidth="1"/>
    <col min="4" max="4" width="31.421875" style="0" customWidth="1"/>
    <col min="5" max="5" width="5.421875" style="0" customWidth="1"/>
    <col min="6" max="6" width="8.140625" style="0" customWidth="1"/>
    <col min="7" max="7" width="18.28125" style="0" bestFit="1" customWidth="1"/>
    <col min="8" max="8" width="12.00390625" style="0" customWidth="1"/>
    <col min="9" max="9" width="11.421875" style="0" customWidth="1"/>
    <col min="10" max="10" width="18.7109375" style="0" customWidth="1"/>
  </cols>
  <sheetData>
    <row r="1" spans="1:2" ht="12.75">
      <c r="A1" s="28" t="s">
        <v>46</v>
      </c>
      <c r="B1" s="28" t="s">
        <v>47</v>
      </c>
    </row>
    <row r="2" spans="1:2" s="34" customFormat="1" ht="12.75">
      <c r="A2" s="33"/>
      <c r="B2" s="33"/>
    </row>
    <row r="3" spans="1:11" ht="12.75">
      <c r="A3" s="3" t="s">
        <v>21</v>
      </c>
      <c r="B3" s="3" t="s">
        <v>22</v>
      </c>
      <c r="G3" s="1" t="s">
        <v>36</v>
      </c>
      <c r="H3" s="13"/>
      <c r="I3" s="13"/>
      <c r="J3" s="13"/>
      <c r="K3" s="13"/>
    </row>
    <row r="4" spans="1:11" ht="12.75">
      <c r="A4" t="s">
        <v>16</v>
      </c>
      <c r="B4" t="s">
        <v>9</v>
      </c>
      <c r="C4" s="8">
        <f>DATE(2007,10,22)</f>
        <v>39377</v>
      </c>
      <c r="D4" s="6" t="str">
        <f>[1]!fd(C4)</f>
        <v>C4=DATE(2007,10,22)</v>
      </c>
      <c r="F4" s="13"/>
      <c r="G4" s="13"/>
      <c r="H4" s="13"/>
      <c r="I4" s="13"/>
      <c r="J4" s="13" t="s">
        <v>32</v>
      </c>
      <c r="K4" s="13"/>
    </row>
    <row r="5" spans="1:11" ht="12.75">
      <c r="A5" t="s">
        <v>15</v>
      </c>
      <c r="B5" t="s">
        <v>10</v>
      </c>
      <c r="C5" s="8">
        <f>DATE(2012,10,22)</f>
        <v>41204</v>
      </c>
      <c r="D5" s="6" t="str">
        <f>[1]!fd(C5)</f>
        <v>C5=DATE(2012,10,22)</v>
      </c>
      <c r="F5" s="13"/>
      <c r="G5" s="14" t="s">
        <v>45</v>
      </c>
      <c r="H5" s="15" t="s">
        <v>31</v>
      </c>
      <c r="I5" s="15" t="s">
        <v>37</v>
      </c>
      <c r="J5" s="16" t="s">
        <v>35</v>
      </c>
      <c r="K5" s="13"/>
    </row>
    <row r="6" spans="1:11" ht="12.75">
      <c r="A6" t="s">
        <v>4</v>
      </c>
      <c r="B6" t="s">
        <v>5</v>
      </c>
      <c r="C6" s="7">
        <v>0.103</v>
      </c>
      <c r="D6" s="6"/>
      <c r="F6" s="11">
        <v>1</v>
      </c>
      <c r="G6" s="17">
        <f aca="true" t="shared" si="0" ref="G6:G37">IF($C$22&gt;=F6,F6,"")</f>
        <v>1</v>
      </c>
      <c r="H6" s="18">
        <f>IF(G6="","",COUPNCD($C$4,$C$5,$C$9,$C$10))</f>
        <v>39743</v>
      </c>
      <c r="I6" s="19">
        <f>IF(H6="","",$C$6*$C$8/$C$9)</f>
        <v>10.299999999999999</v>
      </c>
      <c r="J6" s="20">
        <f aca="true" t="shared" si="1" ref="J6:J35">IF(G6="","",I6/(1+$C$7/$C$9)^(G6-1))</f>
        <v>10.299999999999999</v>
      </c>
      <c r="K6" s="13"/>
    </row>
    <row r="7" spans="1:11" ht="12.75">
      <c r="A7" s="2" t="s">
        <v>51</v>
      </c>
      <c r="B7" s="2" t="s">
        <v>52</v>
      </c>
      <c r="C7" s="29">
        <v>0.1025</v>
      </c>
      <c r="D7" s="6"/>
      <c r="F7" s="11">
        <f>F6+1</f>
        <v>2</v>
      </c>
      <c r="G7" s="17">
        <f t="shared" si="0"/>
        <v>2</v>
      </c>
      <c r="H7" s="18">
        <f aca="true" t="shared" si="2" ref="H7:H38">IF(G7="","",COUPNCD(H6,$C$5,$C$9,$C$10))</f>
        <v>40108</v>
      </c>
      <c r="I7" s="19">
        <f aca="true" t="shared" si="3" ref="I7:I35">IF(H7="","",$C$6*$C$8/$C$9)</f>
        <v>10.299999999999999</v>
      </c>
      <c r="J7" s="20">
        <f t="shared" si="1"/>
        <v>9.342403628117912</v>
      </c>
      <c r="K7" s="13"/>
    </row>
    <row r="8" spans="1:11" ht="12.75">
      <c r="A8" t="s">
        <v>18</v>
      </c>
      <c r="B8" t="s">
        <v>11</v>
      </c>
      <c r="C8" s="4">
        <v>100</v>
      </c>
      <c r="D8" s="6"/>
      <c r="F8" s="11">
        <f aca="true" t="shared" si="4" ref="F8:F65">F7+1</f>
        <v>3</v>
      </c>
      <c r="G8" s="17">
        <f t="shared" si="0"/>
        <v>3</v>
      </c>
      <c r="H8" s="18">
        <f t="shared" si="2"/>
        <v>40473</v>
      </c>
      <c r="I8" s="19">
        <f t="shared" si="3"/>
        <v>10.299999999999999</v>
      </c>
      <c r="J8" s="20">
        <f t="shared" si="1"/>
        <v>8.473835490356384</v>
      </c>
      <c r="K8" s="13"/>
    </row>
    <row r="9" spans="1:11" ht="12.75">
      <c r="A9" t="s">
        <v>3</v>
      </c>
      <c r="B9" t="s">
        <v>12</v>
      </c>
      <c r="C9" s="4">
        <v>1</v>
      </c>
      <c r="D9" s="6"/>
      <c r="F9" s="11">
        <f t="shared" si="4"/>
        <v>4</v>
      </c>
      <c r="G9" s="17">
        <f t="shared" si="0"/>
        <v>4</v>
      </c>
      <c r="H9" s="18">
        <f t="shared" si="2"/>
        <v>40838</v>
      </c>
      <c r="I9" s="19">
        <f t="shared" si="3"/>
        <v>10.299999999999999</v>
      </c>
      <c r="J9" s="20">
        <f t="shared" si="1"/>
        <v>7.686018585357264</v>
      </c>
      <c r="K9" s="13"/>
    </row>
    <row r="10" spans="1:11" ht="12.75">
      <c r="A10" t="s">
        <v>29</v>
      </c>
      <c r="B10" t="s">
        <v>30</v>
      </c>
      <c r="C10" s="4">
        <v>1</v>
      </c>
      <c r="D10" s="6"/>
      <c r="F10" s="11">
        <f t="shared" si="4"/>
        <v>5</v>
      </c>
      <c r="G10" s="17">
        <f t="shared" si="0"/>
        <v>5</v>
      </c>
      <c r="H10" s="18">
        <f t="shared" si="2"/>
        <v>41204</v>
      </c>
      <c r="I10" s="19">
        <f t="shared" si="3"/>
        <v>10.299999999999999</v>
      </c>
      <c r="J10" s="20">
        <f t="shared" si="1"/>
        <v>6.9714454288954775</v>
      </c>
      <c r="K10" s="13"/>
    </row>
    <row r="11" spans="4:11" ht="12.75">
      <c r="D11" s="6"/>
      <c r="F11" s="11">
        <f t="shared" si="4"/>
        <v>6</v>
      </c>
      <c r="G11" s="17">
        <f t="shared" si="0"/>
      </c>
      <c r="H11" s="18">
        <f t="shared" si="2"/>
      </c>
      <c r="I11" s="19">
        <f t="shared" si="3"/>
      </c>
      <c r="J11" s="20">
        <f t="shared" si="1"/>
      </c>
      <c r="K11" s="13"/>
    </row>
    <row r="12" spans="1:11" ht="12.75">
      <c r="A12" s="3" t="s">
        <v>23</v>
      </c>
      <c r="B12" s="3" t="s">
        <v>24</v>
      </c>
      <c r="D12" s="6"/>
      <c r="F12" s="11">
        <f t="shared" si="4"/>
        <v>7</v>
      </c>
      <c r="G12" s="17">
        <f t="shared" si="0"/>
      </c>
      <c r="H12" s="18">
        <f t="shared" si="2"/>
      </c>
      <c r="I12" s="19">
        <f t="shared" si="3"/>
      </c>
      <c r="J12" s="20">
        <f t="shared" si="1"/>
      </c>
      <c r="K12" s="13"/>
    </row>
    <row r="13" spans="1:11" ht="12.75">
      <c r="A13" s="2" t="s">
        <v>17</v>
      </c>
      <c r="B13" s="2" t="s">
        <v>50</v>
      </c>
      <c r="C13" s="25">
        <f>PRICE(C4,C5,C6,C7,C8,C9)</f>
        <v>100.1883349982728</v>
      </c>
      <c r="D13" s="6" t="str">
        <f>[1]!fd(C13)</f>
        <v>C13=PRICE(C4,C5,C6,C7,C8,C9)</v>
      </c>
      <c r="F13" s="11">
        <f t="shared" si="4"/>
        <v>8</v>
      </c>
      <c r="G13" s="17">
        <f t="shared" si="0"/>
      </c>
      <c r="H13" s="18">
        <f t="shared" si="2"/>
      </c>
      <c r="I13" s="19">
        <f t="shared" si="3"/>
      </c>
      <c r="J13" s="20">
        <f t="shared" si="1"/>
      </c>
      <c r="K13" s="13"/>
    </row>
    <row r="14" spans="1:11" ht="12.75">
      <c r="A14" t="s">
        <v>19</v>
      </c>
      <c r="B14" t="s">
        <v>13</v>
      </c>
      <c r="C14">
        <f>COUPDAYBS(C4,C5,C9,C10)</f>
        <v>0</v>
      </c>
      <c r="D14" s="6" t="str">
        <f>[1]!fd(C14)</f>
        <v>C14=COUPDAYBS(C4,C5,C9,C10)</v>
      </c>
      <c r="F14" s="11">
        <f t="shared" si="4"/>
        <v>9</v>
      </c>
      <c r="G14" s="17">
        <f t="shared" si="0"/>
      </c>
      <c r="H14" s="18">
        <f t="shared" si="2"/>
      </c>
      <c r="I14" s="19">
        <f t="shared" si="3"/>
      </c>
      <c r="J14" s="20">
        <f t="shared" si="1"/>
      </c>
      <c r="K14" s="13"/>
    </row>
    <row r="15" spans="1:11" ht="12.75">
      <c r="A15" t="s">
        <v>20</v>
      </c>
      <c r="B15" t="s">
        <v>14</v>
      </c>
      <c r="C15">
        <f>COUPDAYS(C4,C5,C9,C10)</f>
        <v>366</v>
      </c>
      <c r="D15" s="6" t="str">
        <f>[1]!fd(C15)</f>
        <v>C15=COUPDAYS(C4,C5,C9,C10)</v>
      </c>
      <c r="F15" s="11">
        <f t="shared" si="4"/>
        <v>10</v>
      </c>
      <c r="G15" s="17">
        <f t="shared" si="0"/>
      </c>
      <c r="H15" s="18">
        <f t="shared" si="2"/>
      </c>
      <c r="I15" s="19">
        <f t="shared" si="3"/>
      </c>
      <c r="J15" s="20">
        <f t="shared" si="1"/>
      </c>
      <c r="K15" s="13"/>
    </row>
    <row r="16" spans="1:11" ht="12.75">
      <c r="A16" t="s">
        <v>7</v>
      </c>
      <c r="B16" t="s">
        <v>8</v>
      </c>
      <c r="C16" s="5">
        <f>(C14/C15)*C6*C8/C9</f>
        <v>0</v>
      </c>
      <c r="D16" s="6" t="str">
        <f>[1]!fd(C16)</f>
        <v>C16=(C14/C15)*C6*C8/C9</v>
      </c>
      <c r="F16" s="11">
        <f t="shared" si="4"/>
        <v>11</v>
      </c>
      <c r="G16" s="17">
        <f t="shared" si="0"/>
      </c>
      <c r="H16" s="18">
        <f t="shared" si="2"/>
      </c>
      <c r="I16" s="19">
        <f t="shared" si="3"/>
      </c>
      <c r="J16" s="20">
        <f t="shared" si="1"/>
      </c>
      <c r="K16" s="13"/>
    </row>
    <row r="17" spans="1:11" ht="12.75">
      <c r="A17" s="2" t="s">
        <v>42</v>
      </c>
      <c r="B17" s="2" t="s">
        <v>41</v>
      </c>
      <c r="C17" s="25">
        <f>C13+C16</f>
        <v>100.1883349982728</v>
      </c>
      <c r="D17" s="6" t="str">
        <f>[1]!fd(C17)</f>
        <v>C17=C13+C16</v>
      </c>
      <c r="F17" s="11">
        <f t="shared" si="4"/>
        <v>12</v>
      </c>
      <c r="G17" s="17">
        <f t="shared" si="0"/>
      </c>
      <c r="H17" s="18">
        <f t="shared" si="2"/>
      </c>
      <c r="I17" s="19">
        <f t="shared" si="3"/>
      </c>
      <c r="J17" s="20">
        <f t="shared" si="1"/>
      </c>
      <c r="K17" s="13"/>
    </row>
    <row r="18" spans="6:11" ht="12.75">
      <c r="F18" s="11">
        <f t="shared" si="4"/>
        <v>13</v>
      </c>
      <c r="G18" s="17">
        <f t="shared" si="0"/>
      </c>
      <c r="H18" s="18">
        <f t="shared" si="2"/>
      </c>
      <c r="I18" s="19">
        <f t="shared" si="3"/>
      </c>
      <c r="J18" s="20">
        <f t="shared" si="1"/>
      </c>
      <c r="K18" s="13"/>
    </row>
    <row r="19" spans="6:11" ht="12.75">
      <c r="F19" s="11">
        <f t="shared" si="4"/>
        <v>14</v>
      </c>
      <c r="G19" s="17">
        <f t="shared" si="0"/>
      </c>
      <c r="H19" s="18">
        <f t="shared" si="2"/>
      </c>
      <c r="I19" s="19">
        <f t="shared" si="3"/>
      </c>
      <c r="J19" s="20">
        <f t="shared" si="1"/>
      </c>
      <c r="K19" s="13"/>
    </row>
    <row r="20" spans="1:11" ht="12.75">
      <c r="A20" s="9" t="s">
        <v>25</v>
      </c>
      <c r="B20" s="9" t="s">
        <v>26</v>
      </c>
      <c r="C20" s="10"/>
      <c r="F20" s="11">
        <f t="shared" si="4"/>
        <v>15</v>
      </c>
      <c r="G20" s="17">
        <f t="shared" si="0"/>
      </c>
      <c r="H20" s="18">
        <f t="shared" si="2"/>
      </c>
      <c r="I20" s="19">
        <f t="shared" si="3"/>
      </c>
      <c r="J20" s="20">
        <f t="shared" si="1"/>
      </c>
      <c r="K20" s="13"/>
    </row>
    <row r="21" spans="1:11" ht="12.75">
      <c r="A21" s="11" t="s">
        <v>27</v>
      </c>
      <c r="B21" s="11" t="s">
        <v>28</v>
      </c>
      <c r="C21" s="10">
        <f>COUPDAYSNC(C4,C5,C9,C10)</f>
        <v>366</v>
      </c>
      <c r="F21" s="11">
        <f t="shared" si="4"/>
        <v>16</v>
      </c>
      <c r="G21" s="17">
        <f t="shared" si="0"/>
      </c>
      <c r="H21" s="18">
        <f t="shared" si="2"/>
      </c>
      <c r="I21" s="19">
        <f t="shared" si="3"/>
      </c>
      <c r="J21" s="20">
        <f t="shared" si="1"/>
      </c>
      <c r="K21" s="13"/>
    </row>
    <row r="22" spans="1:11" ht="12.75">
      <c r="A22" s="11" t="s">
        <v>0</v>
      </c>
      <c r="B22" s="11" t="s">
        <v>1</v>
      </c>
      <c r="C22" s="10">
        <f>COUPNUM(C4,C5,C9,C10)</f>
        <v>5</v>
      </c>
      <c r="F22" s="11">
        <f t="shared" si="4"/>
        <v>17</v>
      </c>
      <c r="G22" s="17">
        <f t="shared" si="0"/>
      </c>
      <c r="H22" s="18">
        <f t="shared" si="2"/>
      </c>
      <c r="I22" s="19">
        <f t="shared" si="3"/>
      </c>
      <c r="J22" s="20">
        <f t="shared" si="1"/>
      </c>
      <c r="K22" s="13"/>
    </row>
    <row r="23" spans="1:11" ht="12.75">
      <c r="A23" s="10"/>
      <c r="B23" s="10"/>
      <c r="C23" s="10"/>
      <c r="F23" s="11">
        <f t="shared" si="4"/>
        <v>18</v>
      </c>
      <c r="G23" s="17">
        <f t="shared" si="0"/>
      </c>
      <c r="H23" s="18">
        <f t="shared" si="2"/>
      </c>
      <c r="I23" s="19">
        <f t="shared" si="3"/>
      </c>
      <c r="J23" s="20">
        <f t="shared" si="1"/>
      </c>
      <c r="K23" s="13"/>
    </row>
    <row r="24" spans="1:11" ht="12.75">
      <c r="A24" s="10"/>
      <c r="B24" s="26" t="s">
        <v>43</v>
      </c>
      <c r="C24" s="27">
        <f>C8/(1+C7/C9)^(C22-1)</f>
        <v>67.68393620286872</v>
      </c>
      <c r="F24" s="11">
        <f t="shared" si="4"/>
        <v>19</v>
      </c>
      <c r="G24" s="17">
        <f t="shared" si="0"/>
      </c>
      <c r="H24" s="18">
        <f t="shared" si="2"/>
      </c>
      <c r="I24" s="19">
        <f t="shared" si="3"/>
      </c>
      <c r="J24" s="20">
        <f t="shared" si="1"/>
      </c>
      <c r="K24" s="13"/>
    </row>
    <row r="25" spans="1:11" ht="12.75">
      <c r="A25" s="10"/>
      <c r="B25" s="11" t="s">
        <v>44</v>
      </c>
      <c r="C25" s="27">
        <f>SUM(J6:J65)</f>
        <v>42.773703132727036</v>
      </c>
      <c r="F25" s="11">
        <f t="shared" si="4"/>
        <v>20</v>
      </c>
      <c r="G25" s="17">
        <f t="shared" si="0"/>
      </c>
      <c r="H25" s="18">
        <f t="shared" si="2"/>
      </c>
      <c r="I25" s="19">
        <f t="shared" si="3"/>
      </c>
      <c r="J25" s="20">
        <f t="shared" si="1"/>
      </c>
      <c r="K25" s="13"/>
    </row>
    <row r="26" spans="1:11" ht="12.75">
      <c r="A26" s="10"/>
      <c r="B26" s="11" t="s">
        <v>34</v>
      </c>
      <c r="C26" s="27">
        <f>C24+C25</f>
        <v>110.45763933559576</v>
      </c>
      <c r="F26" s="11">
        <f t="shared" si="4"/>
        <v>21</v>
      </c>
      <c r="G26" s="17">
        <f t="shared" si="0"/>
      </c>
      <c r="H26" s="18">
        <f t="shared" si="2"/>
      </c>
      <c r="I26" s="19">
        <f t="shared" si="3"/>
      </c>
      <c r="J26" s="20">
        <f t="shared" si="1"/>
      </c>
      <c r="K26" s="13"/>
    </row>
    <row r="27" spans="1:11" ht="12.75">
      <c r="A27" s="10"/>
      <c r="B27" s="11" t="s">
        <v>33</v>
      </c>
      <c r="C27" s="27">
        <f>C26/(1+C7/C9)^(C21/C15)</f>
        <v>100.1883349982728</v>
      </c>
      <c r="F27" s="11">
        <f t="shared" si="4"/>
        <v>22</v>
      </c>
      <c r="G27" s="17">
        <f t="shared" si="0"/>
      </c>
      <c r="H27" s="18">
        <f t="shared" si="2"/>
      </c>
      <c r="I27" s="19">
        <f t="shared" si="3"/>
      </c>
      <c r="J27" s="20">
        <f t="shared" si="1"/>
      </c>
      <c r="K27" s="13"/>
    </row>
    <row r="28" spans="1:11" ht="12.75">
      <c r="A28" s="10"/>
      <c r="B28" s="11"/>
      <c r="C28" s="11"/>
      <c r="F28" s="11">
        <f t="shared" si="4"/>
        <v>23</v>
      </c>
      <c r="G28" s="17">
        <f t="shared" si="0"/>
      </c>
      <c r="H28" s="18">
        <f t="shared" si="2"/>
      </c>
      <c r="I28" s="19">
        <f t="shared" si="3"/>
      </c>
      <c r="J28" s="20">
        <f t="shared" si="1"/>
      </c>
      <c r="K28" s="13"/>
    </row>
    <row r="29" spans="1:11" ht="12.75">
      <c r="A29" s="10"/>
      <c r="B29" s="11" t="s">
        <v>40</v>
      </c>
      <c r="C29" s="27">
        <f>-PV($C$7/$C$9,$C$22,$C$6/$C$9*$C$8,$C$8)*(1+$C$7/$C$9)</f>
        <v>110.45763933559577</v>
      </c>
      <c r="F29" s="11">
        <f t="shared" si="4"/>
        <v>24</v>
      </c>
      <c r="G29" s="17">
        <f t="shared" si="0"/>
      </c>
      <c r="H29" s="18">
        <f t="shared" si="2"/>
      </c>
      <c r="I29" s="19">
        <f t="shared" si="3"/>
      </c>
      <c r="J29" s="20">
        <f t="shared" si="1"/>
      </c>
      <c r="K29" s="13"/>
    </row>
    <row r="30" spans="1:11" ht="12.75">
      <c r="A30" s="10"/>
      <c r="B30" s="26" t="s">
        <v>38</v>
      </c>
      <c r="C30" s="27">
        <f>C29/(1+C7/C9)^(C21/C15)</f>
        <v>100.18833499827281</v>
      </c>
      <c r="F30" s="11">
        <f t="shared" si="4"/>
        <v>25</v>
      </c>
      <c r="G30" s="17">
        <f t="shared" si="0"/>
      </c>
      <c r="H30" s="18">
        <f t="shared" si="2"/>
      </c>
      <c r="I30" s="19">
        <f t="shared" si="3"/>
      </c>
      <c r="J30" s="20">
        <f t="shared" si="1"/>
      </c>
      <c r="K30" s="13"/>
    </row>
    <row r="31" spans="1:11" ht="12.75">
      <c r="A31" s="10"/>
      <c r="B31" s="11" t="s">
        <v>39</v>
      </c>
      <c r="C31" s="27">
        <f>C30-C17</f>
        <v>0</v>
      </c>
      <c r="F31" s="11">
        <f t="shared" si="4"/>
        <v>26</v>
      </c>
      <c r="G31" s="17">
        <f t="shared" si="0"/>
      </c>
      <c r="H31" s="18">
        <f t="shared" si="2"/>
      </c>
      <c r="I31" s="19">
        <f t="shared" si="3"/>
      </c>
      <c r="J31" s="20">
        <f t="shared" si="1"/>
      </c>
      <c r="K31" s="13"/>
    </row>
    <row r="32" spans="1:11" ht="12.75">
      <c r="A32" s="10"/>
      <c r="F32" s="11">
        <f t="shared" si="4"/>
        <v>27</v>
      </c>
      <c r="G32" s="17">
        <f t="shared" si="0"/>
      </c>
      <c r="H32" s="18">
        <f t="shared" si="2"/>
      </c>
      <c r="I32" s="19">
        <f t="shared" si="3"/>
      </c>
      <c r="J32" s="20">
        <f t="shared" si="1"/>
      </c>
      <c r="K32" s="13"/>
    </row>
    <row r="33" spans="3:11" ht="12.75">
      <c r="C33" s="31"/>
      <c r="F33" s="11">
        <f t="shared" si="4"/>
        <v>28</v>
      </c>
      <c r="G33" s="17">
        <f t="shared" si="0"/>
      </c>
      <c r="H33" s="18">
        <f t="shared" si="2"/>
      </c>
      <c r="I33" s="19">
        <f t="shared" si="3"/>
      </c>
      <c r="J33" s="20">
        <f t="shared" si="1"/>
      </c>
      <c r="K33" s="13"/>
    </row>
    <row r="34" spans="6:11" ht="12.75">
      <c r="F34" s="11">
        <f t="shared" si="4"/>
        <v>29</v>
      </c>
      <c r="G34" s="17">
        <f t="shared" si="0"/>
      </c>
      <c r="H34" s="18">
        <f t="shared" si="2"/>
      </c>
      <c r="I34" s="19">
        <f t="shared" si="3"/>
      </c>
      <c r="J34" s="20">
        <f t="shared" si="1"/>
      </c>
      <c r="K34" s="13"/>
    </row>
    <row r="35" spans="6:11" ht="12.75">
      <c r="F35" s="11">
        <f t="shared" si="4"/>
        <v>30</v>
      </c>
      <c r="G35" s="17">
        <f t="shared" si="0"/>
      </c>
      <c r="H35" s="18">
        <f t="shared" si="2"/>
      </c>
      <c r="I35" s="19">
        <f t="shared" si="3"/>
      </c>
      <c r="J35" s="20">
        <f t="shared" si="1"/>
      </c>
      <c r="K35" s="13"/>
    </row>
    <row r="36" spans="1:10" ht="12.75">
      <c r="A36" s="10"/>
      <c r="F36" s="11">
        <f t="shared" si="4"/>
        <v>31</v>
      </c>
      <c r="G36" s="17">
        <f t="shared" si="0"/>
      </c>
      <c r="H36" s="18">
        <f t="shared" si="2"/>
      </c>
      <c r="I36" s="19">
        <f aca="true" t="shared" si="5" ref="I36:I65">IF(H36="","",$C$6*$C$8/$C$9)</f>
      </c>
      <c r="J36" s="20">
        <f aca="true" t="shared" si="6" ref="J36:J65">IF(G36="","",I36/(1+$C$7/$C$9)^(G36-1))</f>
      </c>
    </row>
    <row r="37" spans="3:10" ht="12.75">
      <c r="C37" s="12"/>
      <c r="F37" s="11">
        <f t="shared" si="4"/>
        <v>32</v>
      </c>
      <c r="G37" s="17">
        <f t="shared" si="0"/>
      </c>
      <c r="H37" s="18">
        <f t="shared" si="2"/>
      </c>
      <c r="I37" s="19">
        <f t="shared" si="5"/>
      </c>
      <c r="J37" s="20">
        <f t="shared" si="6"/>
      </c>
    </row>
    <row r="38" spans="6:10" ht="12.75">
      <c r="F38" s="11">
        <f t="shared" si="4"/>
        <v>33</v>
      </c>
      <c r="G38" s="17">
        <f aca="true" t="shared" si="7" ref="G38:G65">IF($C$22&gt;=F38,F38,"")</f>
      </c>
      <c r="H38" s="18">
        <f t="shared" si="2"/>
      </c>
      <c r="I38" s="19">
        <f t="shared" si="5"/>
      </c>
      <c r="J38" s="20">
        <f t="shared" si="6"/>
      </c>
    </row>
    <row r="39" spans="6:10" ht="12.75">
      <c r="F39" s="11">
        <f t="shared" si="4"/>
        <v>34</v>
      </c>
      <c r="G39" s="17">
        <f t="shared" si="7"/>
      </c>
      <c r="H39" s="18">
        <f aca="true" t="shared" si="8" ref="H39:H65">IF(G39="","",COUPNCD(H38,$C$5,$C$9,$C$10))</f>
      </c>
      <c r="I39" s="19">
        <f t="shared" si="5"/>
      </c>
      <c r="J39" s="20">
        <f t="shared" si="6"/>
      </c>
    </row>
    <row r="40" spans="6:10" ht="12.75">
      <c r="F40" s="11">
        <f t="shared" si="4"/>
        <v>35</v>
      </c>
      <c r="G40" s="17">
        <f t="shared" si="7"/>
      </c>
      <c r="H40" s="18">
        <f t="shared" si="8"/>
      </c>
      <c r="I40" s="19">
        <f t="shared" si="5"/>
      </c>
      <c r="J40" s="20">
        <f t="shared" si="6"/>
      </c>
    </row>
    <row r="41" spans="6:10" ht="12.75">
      <c r="F41" s="11">
        <f t="shared" si="4"/>
        <v>36</v>
      </c>
      <c r="G41" s="17">
        <f t="shared" si="7"/>
      </c>
      <c r="H41" s="18">
        <f t="shared" si="8"/>
      </c>
      <c r="I41" s="19">
        <f t="shared" si="5"/>
      </c>
      <c r="J41" s="20">
        <f t="shared" si="6"/>
      </c>
    </row>
    <row r="42" spans="6:10" ht="12.75">
      <c r="F42" s="11">
        <f t="shared" si="4"/>
        <v>37</v>
      </c>
      <c r="G42" s="17">
        <f t="shared" si="7"/>
      </c>
      <c r="H42" s="18">
        <f t="shared" si="8"/>
      </c>
      <c r="I42" s="19">
        <f t="shared" si="5"/>
      </c>
      <c r="J42" s="20">
        <f t="shared" si="6"/>
      </c>
    </row>
    <row r="43" spans="6:10" ht="12.75">
      <c r="F43" s="11">
        <f t="shared" si="4"/>
        <v>38</v>
      </c>
      <c r="G43" s="17">
        <f t="shared" si="7"/>
      </c>
      <c r="H43" s="18">
        <f t="shared" si="8"/>
      </c>
      <c r="I43" s="19">
        <f t="shared" si="5"/>
      </c>
      <c r="J43" s="20">
        <f t="shared" si="6"/>
      </c>
    </row>
    <row r="44" spans="6:10" ht="12.75">
      <c r="F44" s="11">
        <f t="shared" si="4"/>
        <v>39</v>
      </c>
      <c r="G44" s="17">
        <f t="shared" si="7"/>
      </c>
      <c r="H44" s="18">
        <f t="shared" si="8"/>
      </c>
      <c r="I44" s="19">
        <f t="shared" si="5"/>
      </c>
      <c r="J44" s="20">
        <f t="shared" si="6"/>
      </c>
    </row>
    <row r="45" spans="6:10" ht="12.75">
      <c r="F45" s="11">
        <f t="shared" si="4"/>
        <v>40</v>
      </c>
      <c r="G45" s="17">
        <f t="shared" si="7"/>
      </c>
      <c r="H45" s="18">
        <f t="shared" si="8"/>
      </c>
      <c r="I45" s="19">
        <f t="shared" si="5"/>
      </c>
      <c r="J45" s="20">
        <f t="shared" si="6"/>
      </c>
    </row>
    <row r="46" spans="6:10" ht="12.75">
      <c r="F46" s="11">
        <f t="shared" si="4"/>
        <v>41</v>
      </c>
      <c r="G46" s="17">
        <f t="shared" si="7"/>
      </c>
      <c r="H46" s="18">
        <f t="shared" si="8"/>
      </c>
      <c r="I46" s="19">
        <f t="shared" si="5"/>
      </c>
      <c r="J46" s="20">
        <f t="shared" si="6"/>
      </c>
    </row>
    <row r="47" spans="6:10" ht="12.75">
      <c r="F47" s="11">
        <f t="shared" si="4"/>
        <v>42</v>
      </c>
      <c r="G47" s="17">
        <f t="shared" si="7"/>
      </c>
      <c r="H47" s="18">
        <f t="shared" si="8"/>
      </c>
      <c r="I47" s="19">
        <f t="shared" si="5"/>
      </c>
      <c r="J47" s="20">
        <f t="shared" si="6"/>
      </c>
    </row>
    <row r="48" spans="6:10" ht="12.75">
      <c r="F48" s="11">
        <f t="shared" si="4"/>
        <v>43</v>
      </c>
      <c r="G48" s="17">
        <f t="shared" si="7"/>
      </c>
      <c r="H48" s="18">
        <f t="shared" si="8"/>
      </c>
      <c r="I48" s="19">
        <f t="shared" si="5"/>
      </c>
      <c r="J48" s="20">
        <f t="shared" si="6"/>
      </c>
    </row>
    <row r="49" spans="6:10" ht="12.75">
      <c r="F49" s="11">
        <f t="shared" si="4"/>
        <v>44</v>
      </c>
      <c r="G49" s="17">
        <f t="shared" si="7"/>
      </c>
      <c r="H49" s="18">
        <f t="shared" si="8"/>
      </c>
      <c r="I49" s="19">
        <f t="shared" si="5"/>
      </c>
      <c r="J49" s="20">
        <f t="shared" si="6"/>
      </c>
    </row>
    <row r="50" spans="6:10" ht="12.75">
      <c r="F50" s="11">
        <f t="shared" si="4"/>
        <v>45</v>
      </c>
      <c r="G50" s="17">
        <f t="shared" si="7"/>
      </c>
      <c r="H50" s="18">
        <f t="shared" si="8"/>
      </c>
      <c r="I50" s="19">
        <f t="shared" si="5"/>
      </c>
      <c r="J50" s="20">
        <f t="shared" si="6"/>
      </c>
    </row>
    <row r="51" spans="6:10" ht="12.75">
      <c r="F51" s="11">
        <f t="shared" si="4"/>
        <v>46</v>
      </c>
      <c r="G51" s="17">
        <f t="shared" si="7"/>
      </c>
      <c r="H51" s="18">
        <f t="shared" si="8"/>
      </c>
      <c r="I51" s="19">
        <f t="shared" si="5"/>
      </c>
      <c r="J51" s="20">
        <f t="shared" si="6"/>
      </c>
    </row>
    <row r="52" spans="6:10" ht="12.75">
      <c r="F52" s="11">
        <f t="shared" si="4"/>
        <v>47</v>
      </c>
      <c r="G52" s="17">
        <f t="shared" si="7"/>
      </c>
      <c r="H52" s="18">
        <f t="shared" si="8"/>
      </c>
      <c r="I52" s="19">
        <f t="shared" si="5"/>
      </c>
      <c r="J52" s="20">
        <f t="shared" si="6"/>
      </c>
    </row>
    <row r="53" spans="6:10" ht="12.75">
      <c r="F53" s="11">
        <f t="shared" si="4"/>
        <v>48</v>
      </c>
      <c r="G53" s="17">
        <f t="shared" si="7"/>
      </c>
      <c r="H53" s="18">
        <f t="shared" si="8"/>
      </c>
      <c r="I53" s="19">
        <f t="shared" si="5"/>
      </c>
      <c r="J53" s="20">
        <f t="shared" si="6"/>
      </c>
    </row>
    <row r="54" spans="6:10" ht="12.75">
      <c r="F54" s="11">
        <f t="shared" si="4"/>
        <v>49</v>
      </c>
      <c r="G54" s="17">
        <f t="shared" si="7"/>
      </c>
      <c r="H54" s="18">
        <f t="shared" si="8"/>
      </c>
      <c r="I54" s="19">
        <f t="shared" si="5"/>
      </c>
      <c r="J54" s="20">
        <f t="shared" si="6"/>
      </c>
    </row>
    <row r="55" spans="6:10" ht="12.75">
      <c r="F55" s="11">
        <f t="shared" si="4"/>
        <v>50</v>
      </c>
      <c r="G55" s="17">
        <f t="shared" si="7"/>
      </c>
      <c r="H55" s="18">
        <f t="shared" si="8"/>
      </c>
      <c r="I55" s="19">
        <f t="shared" si="5"/>
      </c>
      <c r="J55" s="20">
        <f t="shared" si="6"/>
      </c>
    </row>
    <row r="56" spans="6:10" ht="12.75">
      <c r="F56" s="11">
        <f t="shared" si="4"/>
        <v>51</v>
      </c>
      <c r="G56" s="17">
        <f t="shared" si="7"/>
      </c>
      <c r="H56" s="18">
        <f t="shared" si="8"/>
      </c>
      <c r="I56" s="19">
        <f t="shared" si="5"/>
      </c>
      <c r="J56" s="20">
        <f t="shared" si="6"/>
      </c>
    </row>
    <row r="57" spans="6:10" ht="12.75">
      <c r="F57" s="11">
        <f t="shared" si="4"/>
        <v>52</v>
      </c>
      <c r="G57" s="17">
        <f t="shared" si="7"/>
      </c>
      <c r="H57" s="18">
        <f t="shared" si="8"/>
      </c>
      <c r="I57" s="19">
        <f t="shared" si="5"/>
      </c>
      <c r="J57" s="20">
        <f t="shared" si="6"/>
      </c>
    </row>
    <row r="58" spans="6:10" ht="12.75">
      <c r="F58" s="11">
        <f t="shared" si="4"/>
        <v>53</v>
      </c>
      <c r="G58" s="17">
        <f t="shared" si="7"/>
      </c>
      <c r="H58" s="18">
        <f t="shared" si="8"/>
      </c>
      <c r="I58" s="19">
        <f t="shared" si="5"/>
      </c>
      <c r="J58" s="20">
        <f t="shared" si="6"/>
      </c>
    </row>
    <row r="59" spans="6:10" ht="12.75">
      <c r="F59" s="11">
        <f t="shared" si="4"/>
        <v>54</v>
      </c>
      <c r="G59" s="17">
        <f t="shared" si="7"/>
      </c>
      <c r="H59" s="18">
        <f t="shared" si="8"/>
      </c>
      <c r="I59" s="19">
        <f t="shared" si="5"/>
      </c>
      <c r="J59" s="20">
        <f t="shared" si="6"/>
      </c>
    </row>
    <row r="60" spans="6:10" ht="12.75">
      <c r="F60" s="11">
        <f t="shared" si="4"/>
        <v>55</v>
      </c>
      <c r="G60" s="17">
        <f t="shared" si="7"/>
      </c>
      <c r="H60" s="18">
        <f t="shared" si="8"/>
      </c>
      <c r="I60" s="19">
        <f t="shared" si="5"/>
      </c>
      <c r="J60" s="20">
        <f t="shared" si="6"/>
      </c>
    </row>
    <row r="61" spans="6:10" ht="12.75">
      <c r="F61" s="11">
        <f t="shared" si="4"/>
        <v>56</v>
      </c>
      <c r="G61" s="17">
        <f t="shared" si="7"/>
      </c>
      <c r="H61" s="18">
        <f t="shared" si="8"/>
      </c>
      <c r="I61" s="19">
        <f t="shared" si="5"/>
      </c>
      <c r="J61" s="20">
        <f t="shared" si="6"/>
      </c>
    </row>
    <row r="62" spans="6:10" ht="12.75">
      <c r="F62" s="11">
        <f t="shared" si="4"/>
        <v>57</v>
      </c>
      <c r="G62" s="17">
        <f t="shared" si="7"/>
      </c>
      <c r="H62" s="18">
        <f t="shared" si="8"/>
      </c>
      <c r="I62" s="19">
        <f t="shared" si="5"/>
      </c>
      <c r="J62" s="20">
        <f t="shared" si="6"/>
      </c>
    </row>
    <row r="63" spans="6:10" ht="12.75">
      <c r="F63" s="11">
        <f t="shared" si="4"/>
        <v>58</v>
      </c>
      <c r="G63" s="17">
        <f t="shared" si="7"/>
      </c>
      <c r="H63" s="18">
        <f t="shared" si="8"/>
      </c>
      <c r="I63" s="19">
        <f t="shared" si="5"/>
      </c>
      <c r="J63" s="20">
        <f t="shared" si="6"/>
      </c>
    </row>
    <row r="64" spans="6:10" ht="12.75">
      <c r="F64" s="11">
        <f t="shared" si="4"/>
        <v>59</v>
      </c>
      <c r="G64" s="17">
        <f t="shared" si="7"/>
      </c>
      <c r="H64" s="18">
        <f t="shared" si="8"/>
      </c>
      <c r="I64" s="19">
        <f t="shared" si="5"/>
      </c>
      <c r="J64" s="20">
        <f t="shared" si="6"/>
      </c>
    </row>
    <row r="65" spans="6:10" ht="12.75">
      <c r="F65" s="11">
        <f t="shared" si="4"/>
        <v>60</v>
      </c>
      <c r="G65" s="21">
        <f t="shared" si="7"/>
      </c>
      <c r="H65" s="22">
        <f t="shared" si="8"/>
      </c>
      <c r="I65" s="23">
        <f t="shared" si="5"/>
      </c>
      <c r="J65" s="24">
        <f t="shared" si="6"/>
      </c>
    </row>
    <row r="66" ht="12.75">
      <c r="F66" s="11"/>
    </row>
    <row r="67" ht="12.75">
      <c r="F67" s="11"/>
    </row>
    <row r="68" ht="12.75">
      <c r="F68" s="11"/>
    </row>
    <row r="69" ht="12.75">
      <c r="F69" s="11"/>
    </row>
    <row r="70" ht="12.75">
      <c r="F70" s="11"/>
    </row>
    <row r="71" ht="12.75">
      <c r="F71" s="11"/>
    </row>
    <row r="72" ht="12.75">
      <c r="F72" s="11"/>
    </row>
    <row r="73" ht="12.75">
      <c r="F73" s="11"/>
    </row>
    <row r="74" ht="12.75">
      <c r="F74" s="11"/>
    </row>
    <row r="75" ht="12.75">
      <c r="F75" s="11"/>
    </row>
    <row r="76" ht="12.75">
      <c r="F76" s="11"/>
    </row>
  </sheetData>
  <sheetProtection/>
  <printOptions gridLines="1" headings="1"/>
  <pageMargins left="0.5" right="0.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25.140625" style="0" customWidth="1"/>
    <col min="2" max="2" width="32.00390625" style="0" bestFit="1" customWidth="1"/>
    <col min="3" max="3" width="13.140625" style="0" customWidth="1"/>
    <col min="4" max="4" width="31.421875" style="0" customWidth="1"/>
    <col min="5" max="5" width="5.421875" style="0" customWidth="1"/>
    <col min="6" max="6" width="8.140625" style="0" customWidth="1"/>
    <col min="7" max="7" width="18.28125" style="0" bestFit="1" customWidth="1"/>
    <col min="8" max="8" width="12.00390625" style="0" customWidth="1"/>
    <col min="9" max="9" width="11.421875" style="0" customWidth="1"/>
    <col min="10" max="10" width="18.7109375" style="0" customWidth="1"/>
  </cols>
  <sheetData>
    <row r="1" spans="1:2" ht="12.75">
      <c r="A1" s="28" t="s">
        <v>48</v>
      </c>
      <c r="B1" s="28" t="s">
        <v>49</v>
      </c>
    </row>
    <row r="2" spans="1:2" s="34" customFormat="1" ht="12.75">
      <c r="A2" s="33"/>
      <c r="B2" s="33"/>
    </row>
    <row r="3" spans="1:11" ht="12.75">
      <c r="A3" s="3" t="s">
        <v>21</v>
      </c>
      <c r="B3" s="3" t="s">
        <v>22</v>
      </c>
      <c r="G3" s="1" t="s">
        <v>36</v>
      </c>
      <c r="H3" s="13"/>
      <c r="I3" s="13"/>
      <c r="J3" s="13"/>
      <c r="K3" s="13"/>
    </row>
    <row r="4" spans="1:11" ht="12.75">
      <c r="A4" t="s">
        <v>16</v>
      </c>
      <c r="B4" t="s">
        <v>9</v>
      </c>
      <c r="C4" s="8">
        <f>DATE(2009,2,19)</f>
        <v>39863</v>
      </c>
      <c r="D4" s="6" t="str">
        <f>[1]!fd(C4)</f>
        <v>C4=DATE(2009,2,19)</v>
      </c>
      <c r="F4" s="13"/>
      <c r="G4" s="13"/>
      <c r="H4" s="13"/>
      <c r="I4" s="13"/>
      <c r="J4" s="13" t="s">
        <v>32</v>
      </c>
      <c r="K4" s="13"/>
    </row>
    <row r="5" spans="1:11" ht="12.75">
      <c r="A5" t="s">
        <v>15</v>
      </c>
      <c r="B5" t="s">
        <v>10</v>
      </c>
      <c r="C5" s="8">
        <f>DATE(2012,1,26)</f>
        <v>40934</v>
      </c>
      <c r="D5" s="6" t="str">
        <f>[1]!fd(C5)</f>
        <v>C5=DATE(2012,1,26)</v>
      </c>
      <c r="F5" s="13"/>
      <c r="G5" s="14" t="s">
        <v>45</v>
      </c>
      <c r="H5" s="15" t="s">
        <v>31</v>
      </c>
      <c r="I5" s="15" t="s">
        <v>37</v>
      </c>
      <c r="J5" s="16" t="s">
        <v>35</v>
      </c>
      <c r="K5" s="13"/>
    </row>
    <row r="6" spans="1:11" ht="12.75">
      <c r="A6" t="s">
        <v>4</v>
      </c>
      <c r="B6" t="s">
        <v>5</v>
      </c>
      <c r="C6" s="7">
        <v>0.081</v>
      </c>
      <c r="D6" s="6"/>
      <c r="F6" s="11">
        <v>1</v>
      </c>
      <c r="G6" s="17">
        <f aca="true" t="shared" si="0" ref="G6:G37">IF($C$22&gt;=F6,F6,"")</f>
        <v>1</v>
      </c>
      <c r="H6" s="18">
        <f>IF(G6="","",COUPNCD($C$4,$C$5,$C$9,$C$10))</f>
        <v>40204</v>
      </c>
      <c r="I6" s="19">
        <f aca="true" t="shared" si="1" ref="I6:I37">IF(H6="","",$C$6*$C$8/$C$9)</f>
        <v>8.1</v>
      </c>
      <c r="J6" s="20">
        <f>IF(G6="","",I6/(1+$C$17/$C$9)^(G6-1))</f>
        <v>8.1</v>
      </c>
      <c r="K6" s="13"/>
    </row>
    <row r="7" spans="1:11" ht="12.75">
      <c r="A7" s="2" t="s">
        <v>17</v>
      </c>
      <c r="B7" s="2" t="s">
        <v>50</v>
      </c>
      <c r="C7" s="25">
        <f>C13-C16</f>
        <v>99.24939726027397</v>
      </c>
      <c r="D7" s="6" t="str">
        <f>[1]!fd(C7)</f>
        <v>C7=C13-C16</v>
      </c>
      <c r="F7" s="11">
        <f aca="true" t="shared" si="2" ref="F7:F38">F6+1</f>
        <v>2</v>
      </c>
      <c r="G7" s="17">
        <f t="shared" si="0"/>
        <v>2</v>
      </c>
      <c r="H7" s="18">
        <f aca="true" t="shared" si="3" ref="H7:H38">IF(G7="","",COUPNCD(H6,$C$5,$C$9,$C$10))</f>
        <v>40569</v>
      </c>
      <c r="I7" s="19">
        <f t="shared" si="1"/>
        <v>8.1</v>
      </c>
      <c r="J7" s="20">
        <f>IF(G7="","",I7/(1+$C$17/$C$9)^(G7-1))</f>
        <v>7.472926005431134</v>
      </c>
      <c r="K7" s="13"/>
    </row>
    <row r="8" spans="1:11" ht="12.75">
      <c r="A8" t="s">
        <v>18</v>
      </c>
      <c r="B8" t="s">
        <v>11</v>
      </c>
      <c r="C8" s="4">
        <v>100</v>
      </c>
      <c r="D8" s="6"/>
      <c r="F8" s="11">
        <f t="shared" si="2"/>
        <v>3</v>
      </c>
      <c r="G8" s="17">
        <f t="shared" si="0"/>
        <v>3</v>
      </c>
      <c r="H8" s="18">
        <f t="shared" si="3"/>
        <v>40934</v>
      </c>
      <c r="I8" s="19">
        <f t="shared" si="1"/>
        <v>8.1</v>
      </c>
      <c r="J8" s="20">
        <f>IF(G8="","",I8/(1+$C$17/$C$9)^(G8-1))</f>
        <v>6.894397911438139</v>
      </c>
      <c r="K8" s="13"/>
    </row>
    <row r="9" spans="1:11" ht="12.75">
      <c r="A9" t="s">
        <v>3</v>
      </c>
      <c r="B9" t="s">
        <v>12</v>
      </c>
      <c r="C9" s="4">
        <v>1</v>
      </c>
      <c r="D9" s="6"/>
      <c r="F9" s="11">
        <f t="shared" si="2"/>
        <v>4</v>
      </c>
      <c r="G9" s="17">
        <f t="shared" si="0"/>
      </c>
      <c r="H9" s="18">
        <f t="shared" si="3"/>
      </c>
      <c r="I9" s="19">
        <f t="shared" si="1"/>
      </c>
      <c r="J9" s="20">
        <f>IF(G9="","",I9/(1+$C$17/$C$9)^(G9-1))</f>
      </c>
      <c r="K9" s="13"/>
    </row>
    <row r="10" spans="1:11" ht="12.75">
      <c r="A10" t="s">
        <v>29</v>
      </c>
      <c r="B10" t="s">
        <v>30</v>
      </c>
      <c r="C10" s="4">
        <v>1</v>
      </c>
      <c r="D10" s="6"/>
      <c r="F10" s="11">
        <f t="shared" si="2"/>
        <v>5</v>
      </c>
      <c r="G10" s="17">
        <f t="shared" si="0"/>
      </c>
      <c r="H10" s="18">
        <f t="shared" si="3"/>
      </c>
      <c r="I10" s="19">
        <f t="shared" si="1"/>
      </c>
      <c r="J10" s="20">
        <f>IF(G10="","",I10/(1+$C$17/$C$9)^(G10-1))</f>
      </c>
      <c r="K10" s="13"/>
    </row>
    <row r="11" spans="4:11" ht="12.75">
      <c r="D11" s="6"/>
      <c r="F11" s="11">
        <f t="shared" si="2"/>
        <v>6</v>
      </c>
      <c r="G11" s="17">
        <f t="shared" si="0"/>
      </c>
      <c r="H11" s="18">
        <f t="shared" si="3"/>
      </c>
      <c r="I11" s="19">
        <f t="shared" si="1"/>
      </c>
      <c r="J11" s="20">
        <f>IF(G11="","",I11/(1+$C$17/$C$9)^(G11-1))</f>
      </c>
      <c r="K11" s="13"/>
    </row>
    <row r="12" spans="1:11" ht="12.75">
      <c r="A12" s="3" t="s">
        <v>23</v>
      </c>
      <c r="B12" s="3" t="s">
        <v>24</v>
      </c>
      <c r="D12" s="6"/>
      <c r="F12" s="11">
        <f t="shared" si="2"/>
        <v>7</v>
      </c>
      <c r="G12" s="17">
        <f t="shared" si="0"/>
      </c>
      <c r="H12" s="18">
        <f t="shared" si="3"/>
      </c>
      <c r="I12" s="19">
        <f t="shared" si="1"/>
      </c>
      <c r="J12" s="20">
        <f>IF(G12="","",I12/(1+$C$17/$C$9)^(G12-1))</f>
      </c>
      <c r="K12" s="13"/>
    </row>
    <row r="13" spans="1:11" ht="12.75">
      <c r="A13" s="2" t="s">
        <v>42</v>
      </c>
      <c r="B13" s="2" t="s">
        <v>41</v>
      </c>
      <c r="C13" s="30">
        <v>99.782</v>
      </c>
      <c r="D13" s="6"/>
      <c r="F13" s="11">
        <f t="shared" si="2"/>
        <v>8</v>
      </c>
      <c r="G13" s="17">
        <f t="shared" si="0"/>
      </c>
      <c r="H13" s="18">
        <f t="shared" si="3"/>
      </c>
      <c r="I13" s="19">
        <f t="shared" si="1"/>
      </c>
      <c r="J13" s="20">
        <f>IF(G13="","",I13/(1+$C$17/$C$9)^(G13-1))</f>
      </c>
      <c r="K13" s="13"/>
    </row>
    <row r="14" spans="1:11" ht="12.75">
      <c r="A14" t="s">
        <v>19</v>
      </c>
      <c r="B14" t="s">
        <v>13</v>
      </c>
      <c r="C14">
        <f>COUPDAYBS(C4,C5,C9,C10)</f>
        <v>24</v>
      </c>
      <c r="D14" s="6" t="str">
        <f>[1]!fd(C14)</f>
        <v>C14=COUPDAYBS(C4,C5,C9,C10)</v>
      </c>
      <c r="F14" s="11">
        <f t="shared" si="2"/>
        <v>9</v>
      </c>
      <c r="G14" s="17">
        <f t="shared" si="0"/>
      </c>
      <c r="H14" s="18">
        <f t="shared" si="3"/>
      </c>
      <c r="I14" s="19">
        <f t="shared" si="1"/>
      </c>
      <c r="J14" s="20">
        <f>IF(G14="","",I14/(1+$C$17/$C$9)^(G14-1))</f>
      </c>
      <c r="K14" s="13"/>
    </row>
    <row r="15" spans="1:11" ht="12.75">
      <c r="A15" t="s">
        <v>20</v>
      </c>
      <c r="B15" t="s">
        <v>14</v>
      </c>
      <c r="C15">
        <f>COUPDAYS(C4,C5,C9,C10)</f>
        <v>365</v>
      </c>
      <c r="D15" s="6" t="str">
        <f>[1]!fd(C15)</f>
        <v>C15=COUPDAYS(C4,C5,C9,C10)</v>
      </c>
      <c r="F15" s="11">
        <f t="shared" si="2"/>
        <v>10</v>
      </c>
      <c r="G15" s="17">
        <f t="shared" si="0"/>
      </c>
      <c r="H15" s="18">
        <f t="shared" si="3"/>
      </c>
      <c r="I15" s="19">
        <f t="shared" si="1"/>
      </c>
      <c r="J15" s="20">
        <f>IF(G15="","",I15/(1+$C$17/$C$9)^(G15-1))</f>
      </c>
      <c r="K15" s="13"/>
    </row>
    <row r="16" spans="1:11" ht="12.75">
      <c r="A16" t="s">
        <v>7</v>
      </c>
      <c r="B16" t="s">
        <v>8</v>
      </c>
      <c r="C16" s="5">
        <f>(C14/C15)*C6*C8/C9</f>
        <v>0.5326027397260273</v>
      </c>
      <c r="D16" s="6" t="str">
        <f>[1]!fd(C16)</f>
        <v>C16=(C14/C15)*C6*C8/C9</v>
      </c>
      <c r="F16" s="11">
        <f t="shared" si="2"/>
        <v>11</v>
      </c>
      <c r="G16" s="17">
        <f t="shared" si="0"/>
      </c>
      <c r="H16" s="18">
        <f t="shared" si="3"/>
      </c>
      <c r="I16" s="19">
        <f t="shared" si="1"/>
      </c>
      <c r="J16" s="20">
        <f>IF(G16="","",I16/(1+$C$17/$C$9)^(G16-1))</f>
      </c>
      <c r="K16" s="13"/>
    </row>
    <row r="17" spans="1:11" ht="12.75">
      <c r="A17" s="2" t="s">
        <v>6</v>
      </c>
      <c r="B17" s="2" t="s">
        <v>2</v>
      </c>
      <c r="C17" s="32">
        <f>YIELD(C4,C5,C6,C7,C8,C9)</f>
        <v>0.0839127798285604</v>
      </c>
      <c r="D17" s="6" t="str">
        <f>[1]!fd(C17)</f>
        <v>C17=YIELD(C4,C5,C6,C7,C8,C9)</v>
      </c>
      <c r="F17" s="11">
        <f t="shared" si="2"/>
        <v>12</v>
      </c>
      <c r="G17" s="17">
        <f t="shared" si="0"/>
      </c>
      <c r="H17" s="18">
        <f t="shared" si="3"/>
      </c>
      <c r="I17" s="19">
        <f t="shared" si="1"/>
      </c>
      <c r="J17" s="20">
        <f>IF(G17="","",I17/(1+$C$17/$C$9)^(G17-1))</f>
      </c>
      <c r="K17" s="13"/>
    </row>
    <row r="18" spans="6:11" ht="12.75">
      <c r="F18" s="11">
        <f t="shared" si="2"/>
        <v>13</v>
      </c>
      <c r="G18" s="17">
        <f t="shared" si="0"/>
      </c>
      <c r="H18" s="18">
        <f t="shared" si="3"/>
      </c>
      <c r="I18" s="19">
        <f t="shared" si="1"/>
      </c>
      <c r="J18" s="20">
        <f>IF(G18="","",I18/(1+$C$17/$C$9)^(G18-1))</f>
      </c>
      <c r="K18" s="13"/>
    </row>
    <row r="19" spans="6:11" ht="12.75">
      <c r="F19" s="11">
        <f t="shared" si="2"/>
        <v>14</v>
      </c>
      <c r="G19" s="17">
        <f t="shared" si="0"/>
      </c>
      <c r="H19" s="18">
        <f t="shared" si="3"/>
      </c>
      <c r="I19" s="19">
        <f t="shared" si="1"/>
      </c>
      <c r="J19" s="20">
        <f>IF(G19="","",I19/(1+$C$17/$C$9)^(G19-1))</f>
      </c>
      <c r="K19" s="13"/>
    </row>
    <row r="20" spans="1:11" ht="12.75">
      <c r="A20" s="9" t="s">
        <v>25</v>
      </c>
      <c r="B20" s="9" t="s">
        <v>26</v>
      </c>
      <c r="C20" s="10"/>
      <c r="F20" s="11">
        <f t="shared" si="2"/>
        <v>15</v>
      </c>
      <c r="G20" s="17">
        <f t="shared" si="0"/>
      </c>
      <c r="H20" s="18">
        <f t="shared" si="3"/>
      </c>
      <c r="I20" s="19">
        <f t="shared" si="1"/>
      </c>
      <c r="J20" s="20">
        <f>IF(G20="","",I20/(1+$C$17/$C$9)^(G20-1))</f>
      </c>
      <c r="K20" s="13"/>
    </row>
    <row r="21" spans="1:11" ht="12.75">
      <c r="A21" s="11" t="s">
        <v>27</v>
      </c>
      <c r="B21" s="11" t="s">
        <v>28</v>
      </c>
      <c r="C21" s="10">
        <f>COUPDAYSNC(C4,C5,C9,C10)</f>
        <v>341</v>
      </c>
      <c r="F21" s="11">
        <f t="shared" si="2"/>
        <v>16</v>
      </c>
      <c r="G21" s="17">
        <f t="shared" si="0"/>
      </c>
      <c r="H21" s="18">
        <f t="shared" si="3"/>
      </c>
      <c r="I21" s="19">
        <f t="shared" si="1"/>
      </c>
      <c r="J21" s="20">
        <f>IF(G21="","",I21/(1+$C$17/$C$9)^(G21-1))</f>
      </c>
      <c r="K21" s="13"/>
    </row>
    <row r="22" spans="1:11" ht="12.75">
      <c r="A22" s="11" t="s">
        <v>0</v>
      </c>
      <c r="B22" s="11" t="s">
        <v>1</v>
      </c>
      <c r="C22" s="10">
        <f>COUPNUM(C4,C5,C9,C10)</f>
        <v>3</v>
      </c>
      <c r="F22" s="11">
        <f t="shared" si="2"/>
        <v>17</v>
      </c>
      <c r="G22" s="17">
        <f t="shared" si="0"/>
      </c>
      <c r="H22" s="18">
        <f t="shared" si="3"/>
      </c>
      <c r="I22" s="19">
        <f t="shared" si="1"/>
      </c>
      <c r="J22" s="20">
        <f>IF(G22="","",I22/(1+$C$17/$C$9)^(G22-1))</f>
      </c>
      <c r="K22" s="13"/>
    </row>
    <row r="23" spans="1:11" ht="12.75">
      <c r="A23" s="10"/>
      <c r="B23" s="10"/>
      <c r="C23" s="10"/>
      <c r="F23" s="11">
        <f t="shared" si="2"/>
        <v>18</v>
      </c>
      <c r="G23" s="17">
        <f t="shared" si="0"/>
      </c>
      <c r="H23" s="18">
        <f t="shared" si="3"/>
      </c>
      <c r="I23" s="19">
        <f t="shared" si="1"/>
      </c>
      <c r="J23" s="20">
        <f>IF(G23="","",I23/(1+$C$17/$C$9)^(G23-1))</f>
      </c>
      <c r="K23" s="13"/>
    </row>
    <row r="24" spans="1:11" ht="12.75">
      <c r="A24" s="10"/>
      <c r="B24" s="26" t="s">
        <v>43</v>
      </c>
      <c r="C24" s="27">
        <f>C8/(1+C17/C9)^(C22-1)</f>
        <v>85.11602359800172</v>
      </c>
      <c r="F24" s="11">
        <f t="shared" si="2"/>
        <v>19</v>
      </c>
      <c r="G24" s="17">
        <f t="shared" si="0"/>
      </c>
      <c r="H24" s="18">
        <f t="shared" si="3"/>
      </c>
      <c r="I24" s="19">
        <f t="shared" si="1"/>
      </c>
      <c r="J24" s="20">
        <f>IF(G24="","",I24/(1+$C$17/$C$9)^(G24-1))</f>
      </c>
      <c r="K24" s="13"/>
    </row>
    <row r="25" spans="1:11" ht="12.75">
      <c r="A25" s="10"/>
      <c r="B25" s="11" t="s">
        <v>44</v>
      </c>
      <c r="C25" s="27">
        <f>SUM(J6:J65)</f>
        <v>22.467323916869272</v>
      </c>
      <c r="F25" s="11">
        <f t="shared" si="2"/>
        <v>20</v>
      </c>
      <c r="G25" s="17">
        <f t="shared" si="0"/>
      </c>
      <c r="H25" s="18">
        <f t="shared" si="3"/>
      </c>
      <c r="I25" s="19">
        <f t="shared" si="1"/>
      </c>
      <c r="J25" s="20">
        <f>IF(G25="","",I25/(1+$C$17/$C$9)^(G25-1))</f>
      </c>
      <c r="K25" s="13"/>
    </row>
    <row r="26" spans="1:11" ht="12.75">
      <c r="A26" s="10"/>
      <c r="B26" s="11" t="s">
        <v>34</v>
      </c>
      <c r="C26" s="27">
        <f>C24+C25</f>
        <v>107.583347514871</v>
      </c>
      <c r="F26" s="11">
        <f t="shared" si="2"/>
        <v>21</v>
      </c>
      <c r="G26" s="17">
        <f t="shared" si="0"/>
      </c>
      <c r="H26" s="18">
        <f t="shared" si="3"/>
      </c>
      <c r="I26" s="19">
        <f t="shared" si="1"/>
      </c>
      <c r="J26" s="20">
        <f>IF(G26="","",I26/(1+$C$17/$C$9)^(G26-1))</f>
      </c>
      <c r="K26" s="13"/>
    </row>
    <row r="27" spans="1:11" ht="12.75">
      <c r="A27" s="10"/>
      <c r="B27" s="11" t="s">
        <v>33</v>
      </c>
      <c r="C27" s="27">
        <f>C26/(1+C17/C9)^(C21/C15)</f>
        <v>99.78188731665057</v>
      </c>
      <c r="F27" s="11">
        <f t="shared" si="2"/>
        <v>22</v>
      </c>
      <c r="G27" s="17">
        <f t="shared" si="0"/>
      </c>
      <c r="H27" s="18">
        <f t="shared" si="3"/>
      </c>
      <c r="I27" s="19">
        <f t="shared" si="1"/>
      </c>
      <c r="J27" s="20">
        <f>IF(G27="","",I27/(1+$C$17/$C$9)^(G27-1))</f>
      </c>
      <c r="K27" s="13"/>
    </row>
    <row r="28" spans="1:11" ht="12.75">
      <c r="A28" s="10"/>
      <c r="B28" s="11"/>
      <c r="C28" s="11"/>
      <c r="F28" s="11">
        <f t="shared" si="2"/>
        <v>23</v>
      </c>
      <c r="G28" s="17">
        <f t="shared" si="0"/>
      </c>
      <c r="H28" s="18">
        <f t="shared" si="3"/>
      </c>
      <c r="I28" s="19">
        <f t="shared" si="1"/>
      </c>
      <c r="J28" s="20">
        <f>IF(G28="","",I28/(1+$C$17/$C$9)^(G28-1))</f>
      </c>
      <c r="K28" s="13"/>
    </row>
    <row r="29" spans="1:11" ht="12.75">
      <c r="A29" s="10"/>
      <c r="B29" s="11" t="s">
        <v>40</v>
      </c>
      <c r="C29" s="27">
        <f>-PV($C$17/$C$9,$C$22,$C$6/$C$9*$C$8,$C$8)*(1+$C$17/$C$9)</f>
        <v>107.583347514871</v>
      </c>
      <c r="F29" s="11">
        <f t="shared" si="2"/>
        <v>24</v>
      </c>
      <c r="G29" s="17">
        <f t="shared" si="0"/>
      </c>
      <c r="H29" s="18">
        <f t="shared" si="3"/>
      </c>
      <c r="I29" s="19">
        <f t="shared" si="1"/>
      </c>
      <c r="J29" s="20">
        <f>IF(G29="","",I29/(1+$C$17/$C$9)^(G29-1))</f>
      </c>
      <c r="K29" s="13"/>
    </row>
    <row r="30" spans="1:11" ht="12.75">
      <c r="A30" s="10"/>
      <c r="B30" s="26" t="s">
        <v>38</v>
      </c>
      <c r="C30" s="27">
        <f>C29/(1+C17/C9)^(C21/C15)</f>
        <v>99.78188731665057</v>
      </c>
      <c r="F30" s="11">
        <f t="shared" si="2"/>
        <v>25</v>
      </c>
      <c r="G30" s="17">
        <f t="shared" si="0"/>
      </c>
      <c r="H30" s="18">
        <f t="shared" si="3"/>
      </c>
      <c r="I30" s="19">
        <f t="shared" si="1"/>
      </c>
      <c r="J30" s="20">
        <f>IF(G30="","",I30/(1+$C$17/$C$9)^(G30-1))</f>
      </c>
      <c r="K30" s="13"/>
    </row>
    <row r="31" spans="1:11" ht="12.75">
      <c r="A31" s="10"/>
      <c r="B31" s="11" t="s">
        <v>39</v>
      </c>
      <c r="C31" s="27">
        <f>C30-C13</f>
        <v>-0.00011268334942826641</v>
      </c>
      <c r="F31" s="11">
        <f t="shared" si="2"/>
        <v>26</v>
      </c>
      <c r="G31" s="17">
        <f t="shared" si="0"/>
      </c>
      <c r="H31" s="18">
        <f t="shared" si="3"/>
      </c>
      <c r="I31" s="19">
        <f t="shared" si="1"/>
      </c>
      <c r="J31" s="20">
        <f>IF(G31="","",I31/(1+$C$17/$C$9)^(G31-1))</f>
      </c>
      <c r="K31" s="13"/>
    </row>
    <row r="32" spans="1:11" ht="12.75">
      <c r="A32" s="10"/>
      <c r="F32" s="11">
        <f t="shared" si="2"/>
        <v>27</v>
      </c>
      <c r="G32" s="17">
        <f t="shared" si="0"/>
      </c>
      <c r="H32" s="18">
        <f t="shared" si="3"/>
      </c>
      <c r="I32" s="19">
        <f t="shared" si="1"/>
      </c>
      <c r="J32" s="20">
        <f>IF(G32="","",I32/(1+$C$17/$C$9)^(G32-1))</f>
      </c>
      <c r="K32" s="13"/>
    </row>
    <row r="33" spans="6:11" ht="12.75">
      <c r="F33" s="11">
        <f t="shared" si="2"/>
        <v>28</v>
      </c>
      <c r="G33" s="17">
        <f t="shared" si="0"/>
      </c>
      <c r="H33" s="18">
        <f t="shared" si="3"/>
      </c>
      <c r="I33" s="19">
        <f t="shared" si="1"/>
      </c>
      <c r="J33" s="20">
        <f>IF(G33="","",I33/(1+$C$17/$C$9)^(G33-1))</f>
      </c>
      <c r="K33" s="13"/>
    </row>
    <row r="34" spans="6:11" ht="12.75">
      <c r="F34" s="11">
        <f t="shared" si="2"/>
        <v>29</v>
      </c>
      <c r="G34" s="17">
        <f t="shared" si="0"/>
      </c>
      <c r="H34" s="18">
        <f t="shared" si="3"/>
      </c>
      <c r="I34" s="19">
        <f t="shared" si="1"/>
      </c>
      <c r="J34" s="20">
        <f>IF(G34="","",I34/(1+$C$17/$C$9)^(G34-1))</f>
      </c>
      <c r="K34" s="13"/>
    </row>
    <row r="35" spans="6:11" ht="12.75">
      <c r="F35" s="11">
        <f t="shared" si="2"/>
        <v>30</v>
      </c>
      <c r="G35" s="17">
        <f t="shared" si="0"/>
      </c>
      <c r="H35" s="18">
        <f t="shared" si="3"/>
      </c>
      <c r="I35" s="19">
        <f t="shared" si="1"/>
      </c>
      <c r="J35" s="20">
        <f>IF(G35="","",I35/(1+$C$17/$C$9)^(G35-1))</f>
      </c>
      <c r="K35" s="13"/>
    </row>
    <row r="36" spans="1:10" ht="12.75">
      <c r="A36" s="10"/>
      <c r="F36" s="11">
        <f t="shared" si="2"/>
        <v>31</v>
      </c>
      <c r="G36" s="17">
        <f t="shared" si="0"/>
      </c>
      <c r="H36" s="18">
        <f t="shared" si="3"/>
      </c>
      <c r="I36" s="19">
        <f t="shared" si="1"/>
      </c>
      <c r="J36" s="20">
        <f>IF(G36="","",I36/(1+$C$17/$C$9)^(G36-1))</f>
      </c>
    </row>
    <row r="37" spans="3:10" ht="12.75">
      <c r="C37" s="12"/>
      <c r="F37" s="11">
        <f t="shared" si="2"/>
        <v>32</v>
      </c>
      <c r="G37" s="17">
        <f t="shared" si="0"/>
      </c>
      <c r="H37" s="18">
        <f t="shared" si="3"/>
      </c>
      <c r="I37" s="19">
        <f t="shared" si="1"/>
      </c>
      <c r="J37" s="20">
        <f>IF(G37="","",I37/(1+$C$17/$C$9)^(G37-1))</f>
      </c>
    </row>
    <row r="38" spans="6:10" ht="12.75">
      <c r="F38" s="11">
        <f t="shared" si="2"/>
        <v>33</v>
      </c>
      <c r="G38" s="17">
        <f aca="true" t="shared" si="4" ref="G38:G65">IF($C$22&gt;=F38,F38,"")</f>
      </c>
      <c r="H38" s="18">
        <f t="shared" si="3"/>
      </c>
      <c r="I38" s="19">
        <f aca="true" t="shared" si="5" ref="I38:I65">IF(H38="","",$C$6*$C$8/$C$9)</f>
      </c>
      <c r="J38" s="20">
        <f>IF(G38="","",I38/(1+$C$17/$C$9)^(G38-1))</f>
      </c>
    </row>
    <row r="39" spans="6:10" ht="12.75">
      <c r="F39" s="11">
        <f aca="true" t="shared" si="6" ref="F39:F65">F38+1</f>
        <v>34</v>
      </c>
      <c r="G39" s="17">
        <f t="shared" si="4"/>
      </c>
      <c r="H39" s="18">
        <f aca="true" t="shared" si="7" ref="H39:H65">IF(G39="","",COUPNCD(H38,$C$5,$C$9,$C$10))</f>
      </c>
      <c r="I39" s="19">
        <f t="shared" si="5"/>
      </c>
      <c r="J39" s="20">
        <f>IF(G39="","",I39/(1+$C$17/$C$9)^(G39-1))</f>
      </c>
    </row>
    <row r="40" spans="6:10" ht="12.75">
      <c r="F40" s="11">
        <f t="shared" si="6"/>
        <v>35</v>
      </c>
      <c r="G40" s="17">
        <f t="shared" si="4"/>
      </c>
      <c r="H40" s="18">
        <f t="shared" si="7"/>
      </c>
      <c r="I40" s="19">
        <f t="shared" si="5"/>
      </c>
      <c r="J40" s="20">
        <f>IF(G40="","",I40/(1+$C$17/$C$9)^(G40-1))</f>
      </c>
    </row>
    <row r="41" spans="6:10" ht="12.75">
      <c r="F41" s="11">
        <f t="shared" si="6"/>
        <v>36</v>
      </c>
      <c r="G41" s="17">
        <f t="shared" si="4"/>
      </c>
      <c r="H41" s="18">
        <f t="shared" si="7"/>
      </c>
      <c r="I41" s="19">
        <f t="shared" si="5"/>
      </c>
      <c r="J41" s="20">
        <f>IF(G41="","",I41/(1+$C$17/$C$9)^(G41-1))</f>
      </c>
    </row>
    <row r="42" spans="6:10" ht="12.75">
      <c r="F42" s="11">
        <f t="shared" si="6"/>
        <v>37</v>
      </c>
      <c r="G42" s="17">
        <f t="shared" si="4"/>
      </c>
      <c r="H42" s="18">
        <f t="shared" si="7"/>
      </c>
      <c r="I42" s="19">
        <f t="shared" si="5"/>
      </c>
      <c r="J42" s="20">
        <f>IF(G42="","",I42/(1+$C$17/$C$9)^(G42-1))</f>
      </c>
    </row>
    <row r="43" spans="6:10" ht="12.75">
      <c r="F43" s="11">
        <f t="shared" si="6"/>
        <v>38</v>
      </c>
      <c r="G43" s="17">
        <f t="shared" si="4"/>
      </c>
      <c r="H43" s="18">
        <f t="shared" si="7"/>
      </c>
      <c r="I43" s="19">
        <f t="shared" si="5"/>
      </c>
      <c r="J43" s="20">
        <f>IF(G43="","",I43/(1+$C$17/$C$9)^(G43-1))</f>
      </c>
    </row>
    <row r="44" spans="6:10" ht="12.75">
      <c r="F44" s="11">
        <f t="shared" si="6"/>
        <v>39</v>
      </c>
      <c r="G44" s="17">
        <f t="shared" si="4"/>
      </c>
      <c r="H44" s="18">
        <f t="shared" si="7"/>
      </c>
      <c r="I44" s="19">
        <f t="shared" si="5"/>
      </c>
      <c r="J44" s="20">
        <f>IF(G44="","",I44/(1+$C$17/$C$9)^(G44-1))</f>
      </c>
    </row>
    <row r="45" spans="6:10" ht="12.75">
      <c r="F45" s="11">
        <f t="shared" si="6"/>
        <v>40</v>
      </c>
      <c r="G45" s="17">
        <f t="shared" si="4"/>
      </c>
      <c r="H45" s="18">
        <f t="shared" si="7"/>
      </c>
      <c r="I45" s="19">
        <f t="shared" si="5"/>
      </c>
      <c r="J45" s="20">
        <f>IF(G45="","",I45/(1+$C$17/$C$9)^(G45-1))</f>
      </c>
    </row>
    <row r="46" spans="6:10" ht="12.75">
      <c r="F46" s="11">
        <f t="shared" si="6"/>
        <v>41</v>
      </c>
      <c r="G46" s="17">
        <f t="shared" si="4"/>
      </c>
      <c r="H46" s="18">
        <f t="shared" si="7"/>
      </c>
      <c r="I46" s="19">
        <f t="shared" si="5"/>
      </c>
      <c r="J46" s="20">
        <f>IF(G46="","",I46/(1+$C$17/$C$9)^(G46-1))</f>
      </c>
    </row>
    <row r="47" spans="6:10" ht="12.75">
      <c r="F47" s="11">
        <f t="shared" si="6"/>
        <v>42</v>
      </c>
      <c r="G47" s="17">
        <f t="shared" si="4"/>
      </c>
      <c r="H47" s="18">
        <f t="shared" si="7"/>
      </c>
      <c r="I47" s="19">
        <f t="shared" si="5"/>
      </c>
      <c r="J47" s="20">
        <f>IF(G47="","",I47/(1+$C$17/$C$9)^(G47-1))</f>
      </c>
    </row>
    <row r="48" spans="6:10" ht="12.75">
      <c r="F48" s="11">
        <f t="shared" si="6"/>
        <v>43</v>
      </c>
      <c r="G48" s="17">
        <f t="shared" si="4"/>
      </c>
      <c r="H48" s="18">
        <f t="shared" si="7"/>
      </c>
      <c r="I48" s="19">
        <f t="shared" si="5"/>
      </c>
      <c r="J48" s="20">
        <f>IF(G48="","",I48/(1+$C$17/$C$9)^(G48-1))</f>
      </c>
    </row>
    <row r="49" spans="6:10" ht="12.75">
      <c r="F49" s="11">
        <f t="shared" si="6"/>
        <v>44</v>
      </c>
      <c r="G49" s="17">
        <f t="shared" si="4"/>
      </c>
      <c r="H49" s="18">
        <f t="shared" si="7"/>
      </c>
      <c r="I49" s="19">
        <f t="shared" si="5"/>
      </c>
      <c r="J49" s="20">
        <f>IF(G49="","",I49/(1+$C$17/$C$9)^(G49-1))</f>
      </c>
    </row>
    <row r="50" spans="6:10" ht="12.75">
      <c r="F50" s="11">
        <f t="shared" si="6"/>
        <v>45</v>
      </c>
      <c r="G50" s="17">
        <f t="shared" si="4"/>
      </c>
      <c r="H50" s="18">
        <f t="shared" si="7"/>
      </c>
      <c r="I50" s="19">
        <f t="shared" si="5"/>
      </c>
      <c r="J50" s="20">
        <f>IF(G50="","",I50/(1+$C$17/$C$9)^(G50-1))</f>
      </c>
    </row>
    <row r="51" spans="6:10" ht="12.75">
      <c r="F51" s="11">
        <f t="shared" si="6"/>
        <v>46</v>
      </c>
      <c r="G51" s="17">
        <f t="shared" si="4"/>
      </c>
      <c r="H51" s="18">
        <f t="shared" si="7"/>
      </c>
      <c r="I51" s="19">
        <f t="shared" si="5"/>
      </c>
      <c r="J51" s="20">
        <f>IF(G51="","",I51/(1+$C$17/$C$9)^(G51-1))</f>
      </c>
    </row>
    <row r="52" spans="6:10" ht="12.75">
      <c r="F52" s="11">
        <f t="shared" si="6"/>
        <v>47</v>
      </c>
      <c r="G52" s="17">
        <f t="shared" si="4"/>
      </c>
      <c r="H52" s="18">
        <f t="shared" si="7"/>
      </c>
      <c r="I52" s="19">
        <f t="shared" si="5"/>
      </c>
      <c r="J52" s="20">
        <f>IF(G52="","",I52/(1+$C$17/$C$9)^(G52-1))</f>
      </c>
    </row>
    <row r="53" spans="6:10" ht="12.75">
      <c r="F53" s="11">
        <f t="shared" si="6"/>
        <v>48</v>
      </c>
      <c r="G53" s="17">
        <f t="shared" si="4"/>
      </c>
      <c r="H53" s="18">
        <f t="shared" si="7"/>
      </c>
      <c r="I53" s="19">
        <f t="shared" si="5"/>
      </c>
      <c r="J53" s="20">
        <f>IF(G53="","",I53/(1+$C$17/$C$9)^(G53-1))</f>
      </c>
    </row>
    <row r="54" spans="6:10" ht="12.75">
      <c r="F54" s="11">
        <f t="shared" si="6"/>
        <v>49</v>
      </c>
      <c r="G54" s="17">
        <f t="shared" si="4"/>
      </c>
      <c r="H54" s="18">
        <f t="shared" si="7"/>
      </c>
      <c r="I54" s="19">
        <f t="shared" si="5"/>
      </c>
      <c r="J54" s="20">
        <f>IF(G54="","",I54/(1+$C$17/$C$9)^(G54-1))</f>
      </c>
    </row>
    <row r="55" spans="6:10" ht="12.75">
      <c r="F55" s="11">
        <f t="shared" si="6"/>
        <v>50</v>
      </c>
      <c r="G55" s="17">
        <f t="shared" si="4"/>
      </c>
      <c r="H55" s="18">
        <f t="shared" si="7"/>
      </c>
      <c r="I55" s="19">
        <f t="shared" si="5"/>
      </c>
      <c r="J55" s="20">
        <f>IF(G55="","",I55/(1+$C$17/$C$9)^(G55-1))</f>
      </c>
    </row>
    <row r="56" spans="6:10" ht="12.75">
      <c r="F56" s="11">
        <f t="shared" si="6"/>
        <v>51</v>
      </c>
      <c r="G56" s="17">
        <f t="shared" si="4"/>
      </c>
      <c r="H56" s="18">
        <f t="shared" si="7"/>
      </c>
      <c r="I56" s="19">
        <f t="shared" si="5"/>
      </c>
      <c r="J56" s="20">
        <f>IF(G56="","",I56/(1+$C$17/$C$9)^(G56-1))</f>
      </c>
    </row>
    <row r="57" spans="6:10" ht="12.75">
      <c r="F57" s="11">
        <f t="shared" si="6"/>
        <v>52</v>
      </c>
      <c r="G57" s="17">
        <f t="shared" si="4"/>
      </c>
      <c r="H57" s="18">
        <f t="shared" si="7"/>
      </c>
      <c r="I57" s="19">
        <f t="shared" si="5"/>
      </c>
      <c r="J57" s="20">
        <f>IF(G57="","",I57/(1+$C$17/$C$9)^(G57-1))</f>
      </c>
    </row>
    <row r="58" spans="6:10" ht="12.75">
      <c r="F58" s="11">
        <f t="shared" si="6"/>
        <v>53</v>
      </c>
      <c r="G58" s="17">
        <f t="shared" si="4"/>
      </c>
      <c r="H58" s="18">
        <f t="shared" si="7"/>
      </c>
      <c r="I58" s="19">
        <f t="shared" si="5"/>
      </c>
      <c r="J58" s="20">
        <f>IF(G58="","",I58/(1+$C$17/$C$9)^(G58-1))</f>
      </c>
    </row>
    <row r="59" spans="6:10" ht="12.75">
      <c r="F59" s="11">
        <f t="shared" si="6"/>
        <v>54</v>
      </c>
      <c r="G59" s="17">
        <f t="shared" si="4"/>
      </c>
      <c r="H59" s="18">
        <f t="shared" si="7"/>
      </c>
      <c r="I59" s="19">
        <f t="shared" si="5"/>
      </c>
      <c r="J59" s="20">
        <f>IF(G59="","",I59/(1+$C$17/$C$9)^(G59-1))</f>
      </c>
    </row>
    <row r="60" spans="6:10" ht="12.75">
      <c r="F60" s="11">
        <f t="shared" si="6"/>
        <v>55</v>
      </c>
      <c r="G60" s="17">
        <f t="shared" si="4"/>
      </c>
      <c r="H60" s="18">
        <f t="shared" si="7"/>
      </c>
      <c r="I60" s="19">
        <f t="shared" si="5"/>
      </c>
      <c r="J60" s="20">
        <f>IF(G60="","",I60/(1+$C$17/$C$9)^(G60-1))</f>
      </c>
    </row>
    <row r="61" spans="6:10" ht="12.75">
      <c r="F61" s="11">
        <f t="shared" si="6"/>
        <v>56</v>
      </c>
      <c r="G61" s="17">
        <f t="shared" si="4"/>
      </c>
      <c r="H61" s="18">
        <f t="shared" si="7"/>
      </c>
      <c r="I61" s="19">
        <f t="shared" si="5"/>
      </c>
      <c r="J61" s="20">
        <f>IF(G61="","",I61/(1+$C$17/$C$9)^(G61-1))</f>
      </c>
    </row>
    <row r="62" spans="6:10" ht="12.75">
      <c r="F62" s="11">
        <f t="shared" si="6"/>
        <v>57</v>
      </c>
      <c r="G62" s="17">
        <f t="shared" si="4"/>
      </c>
      <c r="H62" s="18">
        <f t="shared" si="7"/>
      </c>
      <c r="I62" s="19">
        <f t="shared" si="5"/>
      </c>
      <c r="J62" s="20">
        <f>IF(G62="","",I62/(1+$C$17/$C$9)^(G62-1))</f>
      </c>
    </row>
    <row r="63" spans="6:10" ht="12.75">
      <c r="F63" s="11">
        <f t="shared" si="6"/>
        <v>58</v>
      </c>
      <c r="G63" s="17">
        <f t="shared" si="4"/>
      </c>
      <c r="H63" s="18">
        <f t="shared" si="7"/>
      </c>
      <c r="I63" s="19">
        <f t="shared" si="5"/>
      </c>
      <c r="J63" s="20">
        <f>IF(G63="","",I63/(1+$C$17/$C$9)^(G63-1))</f>
      </c>
    </row>
    <row r="64" spans="6:10" ht="12.75">
      <c r="F64" s="11">
        <f t="shared" si="6"/>
        <v>59</v>
      </c>
      <c r="G64" s="17">
        <f t="shared" si="4"/>
      </c>
      <c r="H64" s="18">
        <f t="shared" si="7"/>
      </c>
      <c r="I64" s="19">
        <f t="shared" si="5"/>
      </c>
      <c r="J64" s="20">
        <f>IF(G64="","",I64/(1+$C$17/$C$9)^(G64-1))</f>
      </c>
    </row>
    <row r="65" spans="6:10" ht="12.75">
      <c r="F65" s="11">
        <f t="shared" si="6"/>
        <v>60</v>
      </c>
      <c r="G65" s="21">
        <f t="shared" si="4"/>
      </c>
      <c r="H65" s="22">
        <f t="shared" si="7"/>
      </c>
      <c r="I65" s="23">
        <f t="shared" si="5"/>
      </c>
      <c r="J65" s="24">
        <f>IF(G65="","",I65/(1+$C$17/$C$9)^(G65-1))</f>
      </c>
    </row>
    <row r="66" ht="12.75">
      <c r="F66" s="11"/>
    </row>
    <row r="67" ht="12.75">
      <c r="F67" s="11"/>
    </row>
    <row r="68" ht="12.75">
      <c r="F68" s="11"/>
    </row>
    <row r="69" ht="12.75">
      <c r="F69" s="11"/>
    </row>
    <row r="70" ht="12.75">
      <c r="F70" s="11"/>
    </row>
    <row r="71" ht="12.75">
      <c r="F71" s="11"/>
    </row>
    <row r="72" ht="12.75">
      <c r="F72" s="11"/>
    </row>
    <row r="73" ht="12.75">
      <c r="F73" s="11"/>
    </row>
    <row r="74" ht="12.75">
      <c r="F74" s="11"/>
    </row>
    <row r="75" ht="12.75">
      <c r="F75" s="11"/>
    </row>
    <row r="76" ht="12.75">
      <c r="F76" s="11"/>
    </row>
  </sheetData>
  <sheetProtection/>
  <printOptions gridLines="1" headings="1"/>
  <pageMargins left="0.5" right="0.5" top="1" bottom="1" header="0.5" footer="0.5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Fulbright Economics Teaching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Xuan Thanh</dc:creator>
  <cp:keywords/>
  <dc:description/>
  <cp:lastModifiedBy>Fulbright Vietnam</cp:lastModifiedBy>
  <cp:lastPrinted>2009-02-04T08:29:41Z</cp:lastPrinted>
  <dcterms:created xsi:type="dcterms:W3CDTF">2009-02-04T07:56:10Z</dcterms:created>
  <dcterms:modified xsi:type="dcterms:W3CDTF">2012-02-22T04:56:45Z</dcterms:modified>
  <cp:category/>
  <cp:version/>
  <cp:contentType/>
  <cp:contentStatus/>
</cp:coreProperties>
</file>