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1"/>
  </bookViews>
  <sheets>
    <sheet name="Data" sheetId="1" r:id="rId1"/>
    <sheet name="Cash Flow Valuation" sheetId="2" r:id="rId2"/>
  </sheets>
  <definedNames/>
  <calcPr fullCalcOnLoad="1"/>
</workbook>
</file>

<file path=xl/sharedStrings.xml><?xml version="1.0" encoding="utf-8"?>
<sst xmlns="http://schemas.openxmlformats.org/spreadsheetml/2006/main" count="136" uniqueCount="117">
  <si>
    <t>Bảng cân đối kế toán</t>
  </si>
  <si>
    <t>TÀI SẢN</t>
  </si>
  <si>
    <t>Thay đổi</t>
  </si>
  <si>
    <t xml:space="preserve">Tiền </t>
  </si>
  <si>
    <t>Khoản phải thu</t>
  </si>
  <si>
    <t>Hàng tồn kho</t>
  </si>
  <si>
    <t xml:space="preserve">           Cộng tài sản ngắn hạn</t>
  </si>
  <si>
    <t>Tài sản cố định, nguyên giá</t>
  </si>
  <si>
    <t xml:space="preserve">Khấu hao tích lũy </t>
  </si>
  <si>
    <t>Tài sản cố định, ròng</t>
  </si>
  <si>
    <t>Tổng tài sản</t>
  </si>
  <si>
    <t>NỢ PHẢI TRẢ VÀ VỐN CHỦ SỞ HỮU</t>
  </si>
  <si>
    <t xml:space="preserve">Khoản phải trả </t>
  </si>
  <si>
    <t>Vay ngắn hạn</t>
  </si>
  <si>
    <t>Chi phí phải trả</t>
  </si>
  <si>
    <t xml:space="preserve">   Cộng nợ ngắn hạn</t>
  </si>
  <si>
    <t>Nợ dài hạn (trái phiếu)</t>
  </si>
  <si>
    <t xml:space="preserve">   Tổng cộng nợ </t>
  </si>
  <si>
    <t>Vốn góp</t>
  </si>
  <si>
    <t>Lợi nhuận giữ lại</t>
  </si>
  <si>
    <t xml:space="preserve">   Cộng vốn chủ sở hữu</t>
  </si>
  <si>
    <t>Tổng nợ phải trả và vốn chủ sở hữu</t>
  </si>
  <si>
    <t>Báo cáo thu nhập</t>
  </si>
  <si>
    <t>KHOẢN MỤC</t>
  </si>
  <si>
    <t>Doanh thu</t>
  </si>
  <si>
    <t>Giá vốn hàng bán</t>
  </si>
  <si>
    <t>Lãi gộp</t>
  </si>
  <si>
    <t>Chi phí kinh doanh</t>
  </si>
  <si>
    <t>Chi phí khấu hao</t>
  </si>
  <si>
    <t>Lợi nhuận từ kinh doanh</t>
  </si>
  <si>
    <t>Lợi nhuận từ kinh doanh khác</t>
  </si>
  <si>
    <t>EBIT</t>
  </si>
  <si>
    <t>Chi phí lãi vay</t>
  </si>
  <si>
    <t>Lợi nhuận trước thuế</t>
  </si>
  <si>
    <t>Thuế thu nhập doanh nghiệp</t>
  </si>
  <si>
    <t>Lợi nhuận ròng</t>
  </si>
  <si>
    <t>Chi trả cổ tức</t>
  </si>
  <si>
    <t>Thay đổi nguyên giá tài sản cố định</t>
  </si>
  <si>
    <t>Thay đổi trong khấu hao (tích lũy)</t>
  </si>
  <si>
    <t>Mức khấu hao trong kỳ (năm 2008)</t>
  </si>
  <si>
    <t>Khấu hao tích lũy của tài sản thanh lý</t>
  </si>
  <si>
    <t>Mua tài sản cố định</t>
  </si>
  <si>
    <t>Nguyên giá của tài sản thanh lý</t>
  </si>
  <si>
    <t>Bán thanh lý tài sản cố định</t>
  </si>
  <si>
    <t>Tính ngân lưu pp trực tiếp</t>
  </si>
  <si>
    <t>a.</t>
  </si>
  <si>
    <t>NGÂN LƯU</t>
  </si>
  <si>
    <t>Hoạt động kinh doanh</t>
  </si>
  <si>
    <t>lợi nhuận từ kinh doanh khác</t>
  </si>
  <si>
    <t>Khấu hao</t>
  </si>
  <si>
    <t>Tăng trong khoản phải thu</t>
  </si>
  <si>
    <t>Tăng khoản phải trả</t>
  </si>
  <si>
    <t>Tăng chi phí phải trả</t>
  </si>
  <si>
    <t>- Tăng khoản phải thu</t>
  </si>
  <si>
    <t>Tăng trong khoản phải trả</t>
  </si>
  <si>
    <t>- Tăng hàng trong kho</t>
  </si>
  <si>
    <t>Tăng trong hàng tồn kho</t>
  </si>
  <si>
    <t>Ngân lưu ròng từ hoạt động k. doanh</t>
  </si>
  <si>
    <t>Chi trả lãi vay</t>
  </si>
  <si>
    <t>Hoạt động đầu tư</t>
  </si>
  <si>
    <t>Chi trả thuế thu nhập</t>
  </si>
  <si>
    <t>Ngân lưu ròng từ hoạt động đầu tư</t>
  </si>
  <si>
    <t>Hoạt động tài chính</t>
  </si>
  <si>
    <t>Vay nợ ngắn hạn</t>
  </si>
  <si>
    <t>Vay nợ dài hạn</t>
  </si>
  <si>
    <t>Ngân lưu ròng từ hoạt động t. chính</t>
  </si>
  <si>
    <t>Tổng ngân lưu ròng</t>
  </si>
  <si>
    <t>Tồn quỹ đầu kỳ</t>
  </si>
  <si>
    <t>Tồn quỹ cuối kỳ</t>
  </si>
  <si>
    <t>b.</t>
  </si>
  <si>
    <t>EPS</t>
  </si>
  <si>
    <t>ROE</t>
  </si>
  <si>
    <t>P</t>
  </si>
  <si>
    <t>b</t>
  </si>
  <si>
    <t>g</t>
  </si>
  <si>
    <t>c.</t>
  </si>
  <si>
    <t>Chi phí vốn</t>
  </si>
  <si>
    <t>Lãi vay</t>
  </si>
  <si>
    <t>E/(D+E)</t>
  </si>
  <si>
    <t>D/(D+E)</t>
  </si>
  <si>
    <t>Chi đầu tư</t>
  </si>
  <si>
    <t>Thay đổi vốn lưu động</t>
  </si>
  <si>
    <t>Tồn kho</t>
  </si>
  <si>
    <t>Khoản phải trả</t>
  </si>
  <si>
    <t>Vốn lưu động</t>
  </si>
  <si>
    <t>Tái đầu tư</t>
  </si>
  <si>
    <t>Tỷ lệ tái đầu tư</t>
  </si>
  <si>
    <t>EBIT(1-t)</t>
  </si>
  <si>
    <t>Tốc độ tăng trưởng</t>
  </si>
  <si>
    <t>FCFF</t>
  </si>
  <si>
    <t>PV(FCFF)</t>
  </si>
  <si>
    <t>Giá trị kết thúc</t>
  </si>
  <si>
    <t>PV(Giá trị kết thúc)</t>
  </si>
  <si>
    <t>Giá trị doanh nghiệp</t>
  </si>
  <si>
    <t>Giá trị vốn chủ sở hữu</t>
  </si>
  <si>
    <t>Tỷ lệ tái đầu tư hiện tại</t>
  </si>
  <si>
    <t>Cơ cấu vốn</t>
  </si>
  <si>
    <t>Vốn chủ sở hữu, E</t>
  </si>
  <si>
    <t>Nợ vay, D</t>
  </si>
  <si>
    <r>
      <t>Thuế theo luật định, t</t>
    </r>
    <r>
      <rPr>
        <vertAlign val="subscript"/>
        <sz val="10"/>
        <rFont val="Arial"/>
        <family val="2"/>
      </rPr>
      <t>C</t>
    </r>
  </si>
  <si>
    <r>
      <t>Chi phí vốn chủ sở hữu, r</t>
    </r>
    <r>
      <rPr>
        <vertAlign val="subscript"/>
        <sz val="10"/>
        <rFont val="Arial"/>
        <family val="2"/>
      </rPr>
      <t>E</t>
    </r>
  </si>
  <si>
    <r>
      <t>Chi phí nợ vay, r</t>
    </r>
    <r>
      <rPr>
        <vertAlign val="subscript"/>
        <sz val="10"/>
        <rFont val="Arial"/>
        <family val="2"/>
      </rPr>
      <t>D</t>
    </r>
  </si>
  <si>
    <t>Chi phí vốn bình quân trọng số, WACC</t>
  </si>
  <si>
    <t>Lợi nhuận trước lãi vay và thuế, EBIT</t>
  </si>
  <si>
    <t>Suất sinh lợi trên vốn giai đoạn tăng nhanh, ROChg</t>
  </si>
  <si>
    <t>Suất sinh lợi trên vốn giai đoạn ổn định, ROCsg</t>
  </si>
  <si>
    <r>
      <t>Tốc độ tăng trưởng giai đoạn tăng nhanh, g</t>
    </r>
    <r>
      <rPr>
        <vertAlign val="subscript"/>
        <sz val="10"/>
        <rFont val="Arial"/>
        <family val="2"/>
      </rPr>
      <t>hg</t>
    </r>
  </si>
  <si>
    <r>
      <t>Tốc độ tăng trưởng giai đoạn ổn định, g</t>
    </r>
    <r>
      <rPr>
        <vertAlign val="subscript"/>
        <sz val="10"/>
        <rFont val="Arial"/>
        <family val="2"/>
      </rPr>
      <t>sg</t>
    </r>
  </si>
  <si>
    <r>
      <t>Tỷ lệ tái đầu tư giai đoạn tăng nhanh, ReInv</t>
    </r>
    <r>
      <rPr>
        <vertAlign val="subscript"/>
        <sz val="10"/>
        <rFont val="Arial"/>
        <family val="2"/>
      </rPr>
      <t>hg</t>
    </r>
  </si>
  <si>
    <r>
      <t>Tỷ lệ tái đầu tư giai đoạn ổn định, ReInv</t>
    </r>
    <r>
      <rPr>
        <vertAlign val="subscript"/>
        <sz val="10"/>
        <rFont val="Arial"/>
        <family val="2"/>
      </rPr>
      <t>sg</t>
    </r>
  </si>
  <si>
    <t>Lợi nhuận</t>
  </si>
  <si>
    <t>Suất sinh lợi trên vốn</t>
  </si>
  <si>
    <t>Số cổ phần</t>
  </si>
  <si>
    <r>
      <t>Cổ tức, D</t>
    </r>
    <r>
      <rPr>
        <vertAlign val="subscript"/>
        <sz val="10"/>
        <rFont val="Arial"/>
        <family val="2"/>
      </rPr>
      <t>0</t>
    </r>
  </si>
  <si>
    <t>Giá trị/1 cổ phần, P</t>
  </si>
  <si>
    <t>Giá trị tài sản kinh doanh nòng cốt</t>
  </si>
  <si>
    <t>Giá trị tiền mặt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</si>
</sst>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[Red]\(&quot;$&quot;#,##0.0\)"/>
    <numFmt numFmtId="184" formatCode="dd/mm/yy"/>
    <numFmt numFmtId="185" formatCode="0.000%"/>
    <numFmt numFmtId="186" formatCode="0.00000000"/>
    <numFmt numFmtId="187" formatCode="[$-409]dddd\,\ mmmm\ dd\,\ yyyy"/>
    <numFmt numFmtId="188" formatCode="mmm\-yyyy"/>
    <numFmt numFmtId="189" formatCode="0.0000000000000000%"/>
    <numFmt numFmtId="190" formatCode="0.000000000000000%"/>
    <numFmt numFmtId="191" formatCode="#,##0.0"/>
    <numFmt numFmtId="192" formatCode="#,##0.000"/>
    <numFmt numFmtId="193" formatCode="0.0000%"/>
    <numFmt numFmtId="194" formatCode="0.00000%"/>
    <numFmt numFmtId="195" formatCode="0.00000000000000%"/>
    <numFmt numFmtId="196" formatCode="0.0000000000000%"/>
    <numFmt numFmtId="197" formatCode="0.000000000000%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(* #,##0_);_(* \(#,##0\);_(* &quot;-&quot;??_);_(@_)"/>
    <numFmt numFmtId="209" formatCode="0.0000000000"/>
    <numFmt numFmtId="210" formatCode="0.00000000000"/>
    <numFmt numFmtId="211" formatCode="0.000000000"/>
    <numFmt numFmtId="212" formatCode="0.00_);[Red]\(0.00\)"/>
    <numFmt numFmtId="213" formatCode="0.00000000000000000%"/>
    <numFmt numFmtId="214" formatCode="0.00000000000000"/>
    <numFmt numFmtId="215" formatCode="0.0000000000000"/>
    <numFmt numFmtId="216" formatCode="0.000000000000"/>
    <numFmt numFmtId="217" formatCode="0.0000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wrapText="1"/>
    </xf>
    <xf numFmtId="0" fontId="23" fillId="0" borderId="10" xfId="0" applyFont="1" applyFill="1" applyBorder="1" applyAlignment="1">
      <alignment horizontal="right" wrapText="1"/>
    </xf>
    <xf numFmtId="0" fontId="21" fillId="0" borderId="10" xfId="0" applyFont="1" applyBorder="1" applyAlignment="1">
      <alignment horizontal="right"/>
    </xf>
    <xf numFmtId="0" fontId="23" fillId="0" borderId="0" xfId="0" applyFont="1" applyAlignment="1">
      <alignment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3" fillId="0" borderId="11" xfId="0" applyFont="1" applyFill="1" applyBorder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4" fillId="0" borderId="0" xfId="0" applyFont="1" applyFill="1" applyAlignment="1">
      <alignment horizontal="right" vertical="top" wrapText="1"/>
    </xf>
    <xf numFmtId="0" fontId="25" fillId="0" borderId="0" xfId="0" applyFont="1" applyAlignment="1">
      <alignment horizontal="right"/>
    </xf>
    <xf numFmtId="0" fontId="25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 vertical="top" wrapText="1"/>
    </xf>
    <xf numFmtId="0" fontId="25" fillId="0" borderId="0" xfId="0" applyFont="1" applyFill="1" applyAlignment="1">
      <alignment/>
    </xf>
    <xf numFmtId="0" fontId="24" fillId="0" borderId="0" xfId="0" applyFont="1" applyAlignment="1">
      <alignment vertical="top" wrapText="1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wrapText="1"/>
    </xf>
    <xf numFmtId="0" fontId="0" fillId="0" borderId="0" xfId="0" applyFill="1" applyAlignment="1">
      <alignment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vertical="top" wrapText="1"/>
    </xf>
    <xf numFmtId="0" fontId="28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 indent="2"/>
    </xf>
    <xf numFmtId="0" fontId="21" fillId="0" borderId="0" xfId="0" applyFont="1" applyFill="1" applyAlignment="1">
      <alignment horizontal="left" vertical="top" wrapText="1" indent="2"/>
    </xf>
    <xf numFmtId="0" fontId="21" fillId="0" borderId="0" xfId="0" applyFont="1" applyFill="1" applyAlignment="1" quotePrefix="1">
      <alignment horizontal="left" vertical="top" wrapText="1" indent="2"/>
    </xf>
    <xf numFmtId="0" fontId="29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2" fillId="22" borderId="0" xfId="0" applyFont="1" applyFill="1" applyAlignment="1">
      <alignment vertical="top" wrapText="1"/>
    </xf>
    <xf numFmtId="0" fontId="22" fillId="22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0" fontId="0" fillId="0" borderId="0" xfId="59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8" fillId="22" borderId="0" xfId="0" applyFont="1" applyFill="1" applyAlignment="1">
      <alignment/>
    </xf>
    <xf numFmtId="10" fontId="28" fillId="22" borderId="0" xfId="59" applyNumberFormat="1" applyFont="1" applyFill="1" applyAlignment="1">
      <alignment/>
    </xf>
    <xf numFmtId="3" fontId="28" fillId="22" borderId="0" xfId="0" applyNumberFormat="1" applyFont="1" applyFill="1" applyAlignment="1">
      <alignment/>
    </xf>
    <xf numFmtId="177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77" fontId="0" fillId="0" borderId="0" xfId="0" applyNumberFormat="1" applyAlignment="1">
      <alignment/>
    </xf>
    <xf numFmtId="191" fontId="0" fillId="0" borderId="0" xfId="0" applyNumberFormat="1" applyAlignment="1">
      <alignment/>
    </xf>
    <xf numFmtId="176" fontId="28" fillId="0" borderId="0" xfId="0" applyNumberFormat="1" applyFont="1" applyAlignment="1">
      <alignment/>
    </xf>
    <xf numFmtId="191" fontId="28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21" fillId="0" borderId="11" xfId="0" applyFont="1" applyBorder="1" applyAlignment="1">
      <alignment horizontal="right"/>
    </xf>
    <xf numFmtId="0" fontId="23" fillId="0" borderId="0" xfId="0" applyFont="1" applyFill="1" applyAlignment="1">
      <alignment horizontal="right" vertical="top"/>
    </xf>
    <xf numFmtId="0" fontId="26" fillId="0" borderId="0" xfId="0" applyFon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8.8515625" style="0" customWidth="1"/>
    <col min="3" max="4" width="13.57421875" style="23" customWidth="1"/>
    <col min="6" max="6" width="10.8515625" style="0" customWidth="1"/>
    <col min="7" max="7" width="16.8515625" style="0" customWidth="1"/>
  </cols>
  <sheetData>
    <row r="1" spans="1:5" ht="16.5" thickBot="1">
      <c r="A1" s="1"/>
      <c r="B1" s="2" t="s">
        <v>0</v>
      </c>
      <c r="C1" s="3"/>
      <c r="D1" s="3"/>
      <c r="E1" s="4"/>
    </row>
    <row r="2" spans="1:5" ht="16.5" thickBot="1">
      <c r="A2" s="1"/>
      <c r="B2" s="5" t="s">
        <v>1</v>
      </c>
      <c r="C2" s="6">
        <v>2008</v>
      </c>
      <c r="D2" s="6">
        <v>2007</v>
      </c>
      <c r="E2" s="7" t="s">
        <v>2</v>
      </c>
    </row>
    <row r="3" spans="1:5" ht="16.5" thickTop="1">
      <c r="A3" s="1"/>
      <c r="B3" s="8" t="s">
        <v>3</v>
      </c>
      <c r="C3" s="9">
        <f>C69</f>
        <v>30</v>
      </c>
      <c r="D3" s="9">
        <v>72</v>
      </c>
      <c r="E3" s="4">
        <f aca="true" t="shared" si="0" ref="E3:E10">C3-D3</f>
        <v>-42</v>
      </c>
    </row>
    <row r="4" spans="1:5" ht="15.75">
      <c r="A4" s="1"/>
      <c r="B4" s="8" t="s">
        <v>4</v>
      </c>
      <c r="C4" s="9">
        <v>462</v>
      </c>
      <c r="D4" s="9">
        <v>420</v>
      </c>
      <c r="E4" s="4">
        <f t="shared" si="0"/>
        <v>42</v>
      </c>
    </row>
    <row r="5" spans="1:5" ht="15.75">
      <c r="A5" s="1"/>
      <c r="B5" s="8" t="s">
        <v>5</v>
      </c>
      <c r="C5" s="9">
        <v>420</v>
      </c>
      <c r="D5" s="9">
        <v>390</v>
      </c>
      <c r="E5" s="4">
        <f t="shared" si="0"/>
        <v>30</v>
      </c>
    </row>
    <row r="6" spans="1:5" ht="15.75">
      <c r="A6" s="1"/>
      <c r="B6" s="10" t="s">
        <v>6</v>
      </c>
      <c r="C6" s="9">
        <f>C5+C4+C3</f>
        <v>912</v>
      </c>
      <c r="D6" s="9">
        <f>D5+D4+D3</f>
        <v>882</v>
      </c>
      <c r="E6" s="4">
        <f t="shared" si="0"/>
        <v>30</v>
      </c>
    </row>
    <row r="7" spans="1:5" ht="15.75">
      <c r="A7" s="1"/>
      <c r="B7" s="8" t="s">
        <v>7</v>
      </c>
      <c r="C7" s="9">
        <v>1440</v>
      </c>
      <c r="D7" s="9">
        <v>1260</v>
      </c>
      <c r="E7" s="4">
        <f t="shared" si="0"/>
        <v>180</v>
      </c>
    </row>
    <row r="8" spans="1:5" ht="15.75">
      <c r="A8" s="1"/>
      <c r="B8" s="8" t="s">
        <v>8</v>
      </c>
      <c r="C8" s="9">
        <v>-768</v>
      </c>
      <c r="D8" s="9">
        <v>-696</v>
      </c>
      <c r="E8" s="4">
        <f t="shared" si="0"/>
        <v>-72</v>
      </c>
    </row>
    <row r="9" spans="1:5" ht="16.5" thickBot="1">
      <c r="A9" s="4"/>
      <c r="B9" s="8" t="s">
        <v>9</v>
      </c>
      <c r="C9" s="11">
        <f>C7+C8</f>
        <v>672</v>
      </c>
      <c r="D9" s="11">
        <f>D7+D8</f>
        <v>564</v>
      </c>
      <c r="E9" s="53">
        <f t="shared" si="0"/>
        <v>108</v>
      </c>
    </row>
    <row r="10" spans="1:5" ht="15.75">
      <c r="A10" s="1"/>
      <c r="B10" s="12" t="s">
        <v>10</v>
      </c>
      <c r="C10" s="13">
        <f>C9+C6</f>
        <v>1584</v>
      </c>
      <c r="D10" s="13">
        <f>D9+D6</f>
        <v>1446</v>
      </c>
      <c r="E10" s="4">
        <f t="shared" si="0"/>
        <v>138</v>
      </c>
    </row>
    <row r="11" spans="1:5" ht="15.75">
      <c r="A11" s="1"/>
      <c r="B11" s="14"/>
      <c r="C11" s="15"/>
      <c r="D11" s="15"/>
      <c r="E11" s="4"/>
    </row>
    <row r="12" spans="1:5" ht="15.75">
      <c r="A12" s="1"/>
      <c r="B12" s="55" t="s">
        <v>11</v>
      </c>
      <c r="C12" s="55"/>
      <c r="D12" s="16"/>
      <c r="E12" s="4"/>
    </row>
    <row r="13" spans="1:5" ht="15.75">
      <c r="A13" s="1"/>
      <c r="B13" s="8" t="s">
        <v>12</v>
      </c>
      <c r="C13" s="9">
        <v>54</v>
      </c>
      <c r="D13" s="9">
        <v>45</v>
      </c>
      <c r="E13" s="4">
        <f>C13-D13</f>
        <v>9</v>
      </c>
    </row>
    <row r="14" spans="1:5" ht="15.75">
      <c r="A14" s="1"/>
      <c r="B14" s="8" t="s">
        <v>13</v>
      </c>
      <c r="C14" s="9">
        <v>102</v>
      </c>
      <c r="D14" s="54">
        <v>96</v>
      </c>
      <c r="E14" s="4">
        <f>C14-D14</f>
        <v>6</v>
      </c>
    </row>
    <row r="15" spans="1:5" ht="15.75">
      <c r="A15" s="1"/>
      <c r="B15" s="8" t="s">
        <v>14</v>
      </c>
      <c r="C15" s="9">
        <v>195</v>
      </c>
      <c r="D15" s="9">
        <v>180</v>
      </c>
      <c r="E15" s="4">
        <f>C15-D15</f>
        <v>15</v>
      </c>
    </row>
    <row r="16" spans="1:5" ht="15.75">
      <c r="A16" s="1"/>
      <c r="B16" s="10" t="s">
        <v>15</v>
      </c>
      <c r="C16" s="9">
        <f>SUM(C13:C15)</f>
        <v>351</v>
      </c>
      <c r="D16" s="9">
        <f>SUM(D13:D15)</f>
        <v>321</v>
      </c>
      <c r="E16" s="4"/>
    </row>
    <row r="17" spans="1:5" ht="15.75">
      <c r="A17" s="1"/>
      <c r="B17" s="8" t="s">
        <v>16</v>
      </c>
      <c r="C17" s="9">
        <v>255</v>
      </c>
      <c r="D17" s="9">
        <v>225</v>
      </c>
      <c r="E17" s="4">
        <f>C17-D17</f>
        <v>30</v>
      </c>
    </row>
    <row r="18" spans="1:5" ht="15.75">
      <c r="A18" s="1"/>
      <c r="B18" s="10" t="s">
        <v>17</v>
      </c>
      <c r="C18" s="17">
        <f>SUM(C16:C17)</f>
        <v>606</v>
      </c>
      <c r="D18" s="17">
        <f>SUM(D16:D17)</f>
        <v>546</v>
      </c>
      <c r="E18" s="4"/>
    </row>
    <row r="19" spans="1:5" ht="15.75">
      <c r="A19" s="1"/>
      <c r="B19" s="8" t="s">
        <v>18</v>
      </c>
      <c r="C19" s="9">
        <v>180</v>
      </c>
      <c r="D19" s="9">
        <v>180</v>
      </c>
      <c r="E19" s="4">
        <f>C19-D19</f>
        <v>0</v>
      </c>
    </row>
    <row r="20" spans="1:5" ht="15.75">
      <c r="A20" s="1"/>
      <c r="B20" s="8" t="s">
        <v>19</v>
      </c>
      <c r="C20" s="9">
        <v>798</v>
      </c>
      <c r="D20" s="9">
        <v>720</v>
      </c>
      <c r="E20" s="4">
        <f>C20-D20</f>
        <v>78</v>
      </c>
    </row>
    <row r="21" spans="1:5" ht="16.5" thickBot="1">
      <c r="A21" s="1"/>
      <c r="B21" s="10" t="s">
        <v>20</v>
      </c>
      <c r="C21" s="11">
        <f>SUM(C19:C20)</f>
        <v>978</v>
      </c>
      <c r="D21" s="11">
        <f>SUM(D19:D20)</f>
        <v>900</v>
      </c>
      <c r="E21" s="53"/>
    </row>
    <row r="22" spans="1:5" ht="15.75">
      <c r="A22" s="1"/>
      <c r="B22" s="12" t="s">
        <v>21</v>
      </c>
      <c r="C22" s="13">
        <f>C21+C18</f>
        <v>1584</v>
      </c>
      <c r="D22" s="13">
        <f>D21+D18</f>
        <v>1446</v>
      </c>
      <c r="E22" s="4">
        <f>C22-D22</f>
        <v>138</v>
      </c>
    </row>
    <row r="23" spans="1:5" ht="15.75">
      <c r="A23" s="1"/>
      <c r="B23" s="14"/>
      <c r="C23" s="18"/>
      <c r="D23" s="18"/>
      <c r="E23" s="4"/>
    </row>
    <row r="24" spans="1:5" ht="16.5" thickBot="1">
      <c r="A24" s="1"/>
      <c r="B24" s="19" t="s">
        <v>22</v>
      </c>
      <c r="C24" s="3"/>
      <c r="D24" s="3"/>
      <c r="E24" s="4"/>
    </row>
    <row r="25" spans="1:5" ht="16.5" thickBot="1">
      <c r="A25" s="1"/>
      <c r="B25" s="8" t="s">
        <v>23</v>
      </c>
      <c r="C25" s="6">
        <v>2008</v>
      </c>
      <c r="D25" s="6">
        <v>2007</v>
      </c>
      <c r="E25" s="4"/>
    </row>
    <row r="26" spans="1:5" ht="16.5" thickTop="1">
      <c r="A26" s="1"/>
      <c r="B26" s="8" t="s">
        <v>24</v>
      </c>
      <c r="C26" s="9">
        <v>1560</v>
      </c>
      <c r="D26" s="9">
        <v>1440</v>
      </c>
      <c r="E26" s="4"/>
    </row>
    <row r="27" spans="1:5" ht="15.75">
      <c r="A27" s="1"/>
      <c r="B27" s="8" t="s">
        <v>25</v>
      </c>
      <c r="C27" s="9">
        <v>780</v>
      </c>
      <c r="D27" s="9">
        <v>750</v>
      </c>
      <c r="E27" s="4"/>
    </row>
    <row r="28" spans="1:5" ht="15.75">
      <c r="A28" s="1"/>
      <c r="B28" s="8" t="s">
        <v>26</v>
      </c>
      <c r="C28" s="20">
        <f>C26-C27</f>
        <v>780</v>
      </c>
      <c r="D28" s="20">
        <f>D26-D27</f>
        <v>690</v>
      </c>
      <c r="E28" s="4"/>
    </row>
    <row r="29" spans="1:5" ht="15.75">
      <c r="A29" s="1"/>
      <c r="B29" s="8" t="s">
        <v>27</v>
      </c>
      <c r="C29" s="9">
        <v>570</v>
      </c>
      <c r="D29" s="9">
        <v>540</v>
      </c>
      <c r="E29" s="4"/>
    </row>
    <row r="30" spans="1:5" ht="15.75">
      <c r="A30" s="1"/>
      <c r="B30" s="8" t="s">
        <v>28</v>
      </c>
      <c r="C30" s="9">
        <v>72</v>
      </c>
      <c r="D30" s="9">
        <v>60</v>
      </c>
      <c r="E30" s="4"/>
    </row>
    <row r="31" spans="1:5" ht="15.75">
      <c r="A31" s="1"/>
      <c r="B31" s="8" t="s">
        <v>29</v>
      </c>
      <c r="C31" s="20">
        <f>C28-C29-C30</f>
        <v>138</v>
      </c>
      <c r="D31" s="20">
        <f>D28-D29-D30</f>
        <v>90</v>
      </c>
      <c r="E31" s="4"/>
    </row>
    <row r="32" spans="1:5" ht="15.75">
      <c r="A32" s="1"/>
      <c r="B32" s="8" t="s">
        <v>30</v>
      </c>
      <c r="C32" s="9">
        <v>12</v>
      </c>
      <c r="D32" s="9">
        <v>15</v>
      </c>
      <c r="E32" s="4"/>
    </row>
    <row r="33" spans="1:5" ht="15.75">
      <c r="A33" s="1"/>
      <c r="B33" s="8" t="s">
        <v>31</v>
      </c>
      <c r="C33" s="20">
        <f>C32+C31</f>
        <v>150</v>
      </c>
      <c r="D33" s="20">
        <f>D32+D31</f>
        <v>105</v>
      </c>
      <c r="E33" s="4"/>
    </row>
    <row r="34" spans="1:5" ht="15.75">
      <c r="A34" s="1"/>
      <c r="B34" s="8" t="s">
        <v>32</v>
      </c>
      <c r="C34" s="9">
        <v>24</v>
      </c>
      <c r="D34" s="9">
        <v>30</v>
      </c>
      <c r="E34" s="4"/>
    </row>
    <row r="35" spans="1:5" ht="15.75">
      <c r="A35" s="1"/>
      <c r="B35" s="8" t="s">
        <v>33</v>
      </c>
      <c r="C35" s="20">
        <f>C33-C34</f>
        <v>126</v>
      </c>
      <c r="D35" s="20">
        <f>D33-D34</f>
        <v>75</v>
      </c>
      <c r="E35" s="4"/>
    </row>
    <row r="36" spans="1:5" ht="15.75">
      <c r="A36" s="4"/>
      <c r="B36" s="8" t="s">
        <v>34</v>
      </c>
      <c r="C36" s="9">
        <v>36</v>
      </c>
      <c r="D36" s="9">
        <v>18</v>
      </c>
      <c r="E36" s="4"/>
    </row>
    <row r="37" spans="1:5" ht="15.75">
      <c r="A37" s="1"/>
      <c r="B37" s="8" t="s">
        <v>35</v>
      </c>
      <c r="C37" s="21">
        <f>C35-C36</f>
        <v>90</v>
      </c>
      <c r="D37" s="21">
        <f>D35-D36</f>
        <v>57</v>
      </c>
      <c r="E37" s="4"/>
    </row>
    <row r="38" spans="1:5" ht="15.75">
      <c r="A38" s="1"/>
      <c r="B38" s="8" t="s">
        <v>36</v>
      </c>
      <c r="C38" s="9">
        <v>12</v>
      </c>
      <c r="D38" s="9">
        <v>15</v>
      </c>
      <c r="E38" s="4"/>
    </row>
    <row r="39" spans="1:5" ht="15.75">
      <c r="A39" s="1"/>
      <c r="B39" s="8" t="s">
        <v>19</v>
      </c>
      <c r="C39" s="20">
        <f>C37-C38</f>
        <v>78</v>
      </c>
      <c r="D39" s="20">
        <f>D37-D38</f>
        <v>42</v>
      </c>
      <c r="E39" s="4"/>
    </row>
    <row r="41" spans="2:3" ht="15.75">
      <c r="B41" s="22" t="s">
        <v>37</v>
      </c>
      <c r="C41" s="4">
        <f>E7</f>
        <v>180</v>
      </c>
    </row>
    <row r="42" spans="2:3" ht="15.75">
      <c r="B42" s="22" t="s">
        <v>38</v>
      </c>
      <c r="C42" s="24">
        <f>C44-C43</f>
        <v>-72</v>
      </c>
    </row>
    <row r="43" spans="2:3" ht="15.75">
      <c r="B43" s="22" t="s">
        <v>39</v>
      </c>
      <c r="C43" s="24">
        <f>C30</f>
        <v>72</v>
      </c>
    </row>
    <row r="44" spans="2:3" ht="15.75">
      <c r="B44" s="22" t="s">
        <v>40</v>
      </c>
      <c r="C44" s="24">
        <f>C46-C47</f>
        <v>0</v>
      </c>
    </row>
    <row r="45" spans="2:3" ht="15.75">
      <c r="B45" s="22" t="s">
        <v>41</v>
      </c>
      <c r="C45" s="25">
        <f>C41+C44</f>
        <v>180</v>
      </c>
    </row>
    <row r="46" spans="2:3" ht="15.75">
      <c r="B46" s="22" t="s">
        <v>42</v>
      </c>
      <c r="C46" s="24">
        <v>0</v>
      </c>
    </row>
    <row r="47" spans="2:3" ht="15.75">
      <c r="B47" s="26" t="s">
        <v>43</v>
      </c>
      <c r="C47" s="24">
        <v>0</v>
      </c>
    </row>
    <row r="48" ht="12.75">
      <c r="F48" s="27" t="s">
        <v>44</v>
      </c>
    </row>
    <row r="49" spans="1:6" ht="12.75">
      <c r="A49" s="27" t="s">
        <v>45</v>
      </c>
      <c r="B49" s="27" t="s">
        <v>46</v>
      </c>
      <c r="F49" s="27" t="s">
        <v>47</v>
      </c>
    </row>
    <row r="50" spans="1:9" ht="15.75">
      <c r="A50" s="1"/>
      <c r="B50" s="28" t="s">
        <v>47</v>
      </c>
      <c r="C50" s="1"/>
      <c r="D50" s="1"/>
      <c r="E50" s="4"/>
      <c r="F50" t="s">
        <v>26</v>
      </c>
      <c r="I50">
        <f>C27</f>
        <v>780</v>
      </c>
    </row>
    <row r="51" spans="1:9" ht="15.75">
      <c r="A51" s="1"/>
      <c r="B51" s="26" t="s">
        <v>35</v>
      </c>
      <c r="C51" s="4">
        <f>C37</f>
        <v>90</v>
      </c>
      <c r="D51" s="1"/>
      <c r="E51" s="4"/>
      <c r="F51" t="s">
        <v>48</v>
      </c>
      <c r="I51">
        <f>C32</f>
        <v>12</v>
      </c>
    </row>
    <row r="52" spans="1:9" ht="15.75">
      <c r="A52" s="1"/>
      <c r="B52" s="29" t="s">
        <v>49</v>
      </c>
      <c r="C52" s="4">
        <f>C30</f>
        <v>72</v>
      </c>
      <c r="D52" s="1"/>
      <c r="E52" s="4"/>
      <c r="F52" t="s">
        <v>50</v>
      </c>
      <c r="I52">
        <f>-E4</f>
        <v>-42</v>
      </c>
    </row>
    <row r="53" spans="1:9" ht="15.75">
      <c r="A53" s="1"/>
      <c r="B53" s="30" t="s">
        <v>51</v>
      </c>
      <c r="C53" s="4">
        <f>E13</f>
        <v>9</v>
      </c>
      <c r="D53" s="1"/>
      <c r="E53" s="4"/>
      <c r="F53" t="s">
        <v>27</v>
      </c>
      <c r="I53">
        <f>-C29</f>
        <v>-570</v>
      </c>
    </row>
    <row r="54" spans="1:9" ht="15.75">
      <c r="A54" s="1"/>
      <c r="B54" s="30" t="s">
        <v>52</v>
      </c>
      <c r="C54" s="4">
        <f>E15</f>
        <v>15</v>
      </c>
      <c r="D54" s="1"/>
      <c r="E54" s="4"/>
      <c r="F54" t="s">
        <v>52</v>
      </c>
      <c r="I54">
        <v>15</v>
      </c>
    </row>
    <row r="55" spans="1:9" ht="15.75">
      <c r="A55" s="1"/>
      <c r="B55" s="31" t="s">
        <v>53</v>
      </c>
      <c r="C55" s="4">
        <f>-E4</f>
        <v>-42</v>
      </c>
      <c r="D55" s="1"/>
      <c r="E55" s="4"/>
      <c r="F55" t="s">
        <v>54</v>
      </c>
      <c r="I55">
        <f>E13</f>
        <v>9</v>
      </c>
    </row>
    <row r="56" spans="1:9" ht="15.75">
      <c r="A56" s="1"/>
      <c r="B56" s="31" t="s">
        <v>55</v>
      </c>
      <c r="C56" s="4">
        <f>-E5</f>
        <v>-30</v>
      </c>
      <c r="D56" s="1"/>
      <c r="E56" s="4"/>
      <c r="F56" t="s">
        <v>56</v>
      </c>
      <c r="I56">
        <f>-E5</f>
        <v>-30</v>
      </c>
    </row>
    <row r="57" spans="1:9" ht="15.75">
      <c r="A57" s="1"/>
      <c r="B57" s="32" t="s">
        <v>57</v>
      </c>
      <c r="C57" s="33">
        <f>SUM(C51:C56)</f>
        <v>114</v>
      </c>
      <c r="D57"/>
      <c r="F57" t="s">
        <v>58</v>
      </c>
      <c r="I57">
        <f>-C34</f>
        <v>-24</v>
      </c>
    </row>
    <row r="58" spans="1:9" ht="15.75">
      <c r="A58" s="1"/>
      <c r="B58" s="34" t="s">
        <v>59</v>
      </c>
      <c r="C58" s="35"/>
      <c r="D58" s="35"/>
      <c r="E58" s="4"/>
      <c r="F58" t="s">
        <v>60</v>
      </c>
      <c r="I58">
        <f>-C36</f>
        <v>-36</v>
      </c>
    </row>
    <row r="59" spans="1:9" ht="15.75">
      <c r="A59" s="1"/>
      <c r="B59" s="26" t="s">
        <v>43</v>
      </c>
      <c r="C59" s="4">
        <f>C47</f>
        <v>0</v>
      </c>
      <c r="D59" s="1"/>
      <c r="E59" s="4"/>
      <c r="F59" s="36" t="s">
        <v>57</v>
      </c>
      <c r="I59" s="27">
        <f>SUM(I50:I58)</f>
        <v>114</v>
      </c>
    </row>
    <row r="60" spans="1:5" ht="15.75">
      <c r="A60" s="1"/>
      <c r="B60" s="22" t="s">
        <v>41</v>
      </c>
      <c r="C60" s="4">
        <f>-C45</f>
        <v>-180</v>
      </c>
      <c r="D60" s="1"/>
      <c r="E60" s="4"/>
    </row>
    <row r="61" spans="1:6" ht="15.75">
      <c r="A61" s="1"/>
      <c r="B61" s="37" t="s">
        <v>61</v>
      </c>
      <c r="C61" s="33">
        <f>C60+C59</f>
        <v>-180</v>
      </c>
      <c r="D61" s="1"/>
      <c r="E61" s="4"/>
      <c r="F61" s="27"/>
    </row>
    <row r="62" spans="1:5" ht="15.75">
      <c r="A62" s="1"/>
      <c r="B62" s="28" t="s">
        <v>62</v>
      </c>
      <c r="C62" s="35"/>
      <c r="D62" s="35"/>
      <c r="E62" s="4"/>
    </row>
    <row r="63" spans="1:5" ht="15.75">
      <c r="A63" s="1"/>
      <c r="B63" s="26" t="s">
        <v>63</v>
      </c>
      <c r="C63" s="4">
        <f>E14</f>
        <v>6</v>
      </c>
      <c r="D63" s="1"/>
      <c r="E63" s="4"/>
    </row>
    <row r="64" spans="1:9" ht="15.75">
      <c r="A64" s="1"/>
      <c r="B64" s="26" t="s">
        <v>36</v>
      </c>
      <c r="C64" s="4">
        <f>-C38</f>
        <v>-12</v>
      </c>
      <c r="D64" s="1"/>
      <c r="E64" s="4"/>
      <c r="I64" s="27"/>
    </row>
    <row r="65" spans="1:5" ht="15.75">
      <c r="A65" s="1"/>
      <c r="B65" s="26" t="s">
        <v>64</v>
      </c>
      <c r="C65" s="4">
        <f>E17</f>
        <v>30</v>
      </c>
      <c r="D65" s="1"/>
      <c r="E65" s="4"/>
    </row>
    <row r="66" spans="1:5" ht="15.75">
      <c r="A66" s="1"/>
      <c r="B66" s="37" t="s">
        <v>65</v>
      </c>
      <c r="C66" s="33">
        <f>SUM(C63:C65)</f>
        <v>24</v>
      </c>
      <c r="D66" s="1"/>
      <c r="E66" s="4"/>
    </row>
    <row r="67" spans="1:5" ht="15.75">
      <c r="A67" s="1"/>
      <c r="B67" s="38" t="s">
        <v>66</v>
      </c>
      <c r="C67" s="39">
        <f>C57+C61+C66</f>
        <v>-42</v>
      </c>
      <c r="D67" s="1"/>
      <c r="E67" s="4"/>
    </row>
    <row r="68" spans="1:5" ht="15.75">
      <c r="A68" s="1"/>
      <c r="B68" s="26" t="s">
        <v>67</v>
      </c>
      <c r="C68" s="4">
        <f>D3</f>
        <v>72</v>
      </c>
      <c r="D68" s="1"/>
      <c r="E68" s="4"/>
    </row>
    <row r="69" spans="1:5" ht="15.75">
      <c r="A69" s="1"/>
      <c r="B69" s="26" t="s">
        <v>68</v>
      </c>
      <c r="C69" s="4">
        <f>C67+C68</f>
        <v>30</v>
      </c>
      <c r="D69" s="1"/>
      <c r="E69" s="4"/>
    </row>
    <row r="70" spans="1:5" ht="15.75">
      <c r="A70" s="1"/>
      <c r="B70" s="1"/>
      <c r="C70" s="4"/>
      <c r="D70" s="1"/>
      <c r="E70" s="4"/>
    </row>
    <row r="72" spans="2:4" ht="12.75">
      <c r="B72" t="s">
        <v>112</v>
      </c>
      <c r="C72" s="40">
        <v>15000000</v>
      </c>
      <c r="D72" s="40">
        <v>15000000</v>
      </c>
    </row>
    <row r="73" spans="1:4" ht="12.75">
      <c r="A73" s="27" t="s">
        <v>69</v>
      </c>
      <c r="B73" t="s">
        <v>70</v>
      </c>
      <c r="C73" s="23">
        <f>C37*10^9/C72</f>
        <v>6000</v>
      </c>
      <c r="D73" s="23">
        <f>D37*10^9/D72</f>
        <v>3800</v>
      </c>
    </row>
    <row r="74" spans="2:3" ht="12.75">
      <c r="B74" t="s">
        <v>71</v>
      </c>
      <c r="C74" s="41">
        <f>C37/AVERAGE(C21:D21)</f>
        <v>0.09584664536741214</v>
      </c>
    </row>
    <row r="75" spans="2:3" ht="12.75">
      <c r="B75" t="s">
        <v>73</v>
      </c>
      <c r="C75" s="42">
        <f>1-C38/C37</f>
        <v>0.8666666666666667</v>
      </c>
    </row>
    <row r="76" spans="2:3" ht="12.75">
      <c r="B76" s="43" t="s">
        <v>74</v>
      </c>
      <c r="C76" s="44">
        <f>C75*C74</f>
        <v>0.08306709265175719</v>
      </c>
    </row>
    <row r="78" spans="1:3" ht="15.75">
      <c r="A78" s="27" t="s">
        <v>75</v>
      </c>
      <c r="B78" t="s">
        <v>113</v>
      </c>
      <c r="C78" s="23">
        <f>C38*10^9/C72</f>
        <v>800</v>
      </c>
    </row>
    <row r="79" spans="2:3" ht="12.75">
      <c r="B79" t="s">
        <v>76</v>
      </c>
      <c r="C79" s="56">
        <f>'Cash Flow Valuation'!B16</f>
        <v>0.15212</v>
      </c>
    </row>
    <row r="80" spans="2:3" ht="12.75">
      <c r="B80" s="43" t="s">
        <v>72</v>
      </c>
      <c r="C80" s="45">
        <f>C78*(1+C76)/(C79-C76)</f>
        <v>12547.678401892143</v>
      </c>
    </row>
    <row r="82" ht="12.75">
      <c r="A8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9">
      <selection activeCell="L63" sqref="L63"/>
    </sheetView>
  </sheetViews>
  <sheetFormatPr defaultColWidth="9.140625" defaultRowHeight="12.75"/>
  <cols>
    <col min="1" max="1" width="33.421875" style="0" customWidth="1"/>
    <col min="2" max="7" width="9.28125" style="0" bestFit="1" customWidth="1"/>
    <col min="8" max="8" width="9.421875" style="0" bestFit="1" customWidth="1"/>
    <col min="9" max="13" width="9.28125" style="0" bestFit="1" customWidth="1"/>
  </cols>
  <sheetData>
    <row r="1" spans="2:3" ht="13.5" thickBot="1">
      <c r="B1" s="52">
        <v>2008</v>
      </c>
      <c r="C1" s="52">
        <v>2007</v>
      </c>
    </row>
    <row r="2" ht="13.5" thickTop="1">
      <c r="A2" s="27" t="s">
        <v>110</v>
      </c>
    </row>
    <row r="3" spans="1:3" ht="12.75">
      <c r="A3" t="s">
        <v>103</v>
      </c>
      <c r="B3">
        <f>Data!C33</f>
        <v>150</v>
      </c>
      <c r="C3">
        <f>Data!D33</f>
        <v>105</v>
      </c>
    </row>
    <row r="4" spans="1:2" ht="15.75">
      <c r="A4" t="s">
        <v>99</v>
      </c>
      <c r="B4" s="46">
        <v>0.25</v>
      </c>
    </row>
    <row r="5" spans="1:3" ht="12.75">
      <c r="A5" t="s">
        <v>87</v>
      </c>
      <c r="B5">
        <f>B3*(1-B4)</f>
        <v>112.5</v>
      </c>
      <c r="C5" s="46"/>
    </row>
    <row r="6" spans="1:3" ht="12.75">
      <c r="A6" t="s">
        <v>77</v>
      </c>
      <c r="B6">
        <f>Data!C34</f>
        <v>24</v>
      </c>
      <c r="C6">
        <f>Data!D34</f>
        <v>30</v>
      </c>
    </row>
    <row r="8" spans="1:3" ht="12.75">
      <c r="A8" s="27" t="s">
        <v>96</v>
      </c>
      <c r="B8">
        <v>2008</v>
      </c>
      <c r="C8">
        <v>2007</v>
      </c>
    </row>
    <row r="9" spans="1:3" ht="12.75">
      <c r="A9" t="s">
        <v>97</v>
      </c>
      <c r="B9">
        <f>Data!C19+Data!C20</f>
        <v>978</v>
      </c>
      <c r="C9">
        <f>Data!D19+Data!D20</f>
        <v>900</v>
      </c>
    </row>
    <row r="10" spans="1:3" ht="12.75">
      <c r="A10" t="s">
        <v>98</v>
      </c>
      <c r="B10">
        <f>Data!C14+Data!C17</f>
        <v>357</v>
      </c>
      <c r="C10">
        <f>Data!D14+Data!D17</f>
        <v>321</v>
      </c>
    </row>
    <row r="11" spans="1:3" ht="12.75">
      <c r="A11" t="s">
        <v>78</v>
      </c>
      <c r="B11" s="46">
        <f>B9/(B$9+B$10)</f>
        <v>0.7325842696629213</v>
      </c>
      <c r="C11" s="46">
        <f>C9/(C$9+C$10)</f>
        <v>0.7371007371007371</v>
      </c>
    </row>
    <row r="12" spans="1:3" ht="12.75">
      <c r="A12" t="s">
        <v>79</v>
      </c>
      <c r="B12" s="46">
        <f>B10/(B$9+B$10)</f>
        <v>0.26741573033707866</v>
      </c>
      <c r="C12" s="46">
        <f>C10/(C$9+C$10)</f>
        <v>0.2628992628992629</v>
      </c>
    </row>
    <row r="13" ht="12.75">
      <c r="C13" s="46"/>
    </row>
    <row r="14" spans="1:3" ht="12.75">
      <c r="A14" s="27" t="s">
        <v>76</v>
      </c>
      <c r="B14" s="46"/>
      <c r="C14" s="46"/>
    </row>
    <row r="15" spans="1:3" ht="15.75">
      <c r="A15" t="s">
        <v>101</v>
      </c>
      <c r="B15" s="47">
        <f>B6/AVERAGE(B10:C10)</f>
        <v>0.07079646017699115</v>
      </c>
      <c r="C15" s="46"/>
    </row>
    <row r="16" spans="1:2" ht="15.75">
      <c r="A16" t="s">
        <v>100</v>
      </c>
      <c r="B16" s="47">
        <f>8.81%+0.6*10.67%</f>
        <v>0.15212</v>
      </c>
    </row>
    <row r="17" spans="1:2" ht="12.75">
      <c r="A17" t="s">
        <v>102</v>
      </c>
      <c r="B17" s="47">
        <f>B11*B16+B12*B15*(1-B4)</f>
        <v>0.1256397844287561</v>
      </c>
    </row>
    <row r="19" ht="12.75">
      <c r="A19" s="27" t="s">
        <v>111</v>
      </c>
    </row>
    <row r="20" spans="1:2" ht="12.75">
      <c r="A20" t="s">
        <v>104</v>
      </c>
      <c r="B20" s="47">
        <f>B5/(B9+C9+B10+C10)*2</f>
        <v>0.0880281690140845</v>
      </c>
    </row>
    <row r="21" spans="1:2" ht="12.75">
      <c r="A21" t="s">
        <v>105</v>
      </c>
      <c r="B21" s="48">
        <f>B20</f>
        <v>0.0880281690140845</v>
      </c>
    </row>
    <row r="23" spans="1:3" ht="12.75">
      <c r="A23" s="27" t="s">
        <v>84</v>
      </c>
      <c r="B23">
        <v>2008</v>
      </c>
      <c r="C23">
        <v>2007</v>
      </c>
    </row>
    <row r="24" spans="1:3" ht="12.75">
      <c r="A24" t="s">
        <v>4</v>
      </c>
      <c r="B24">
        <f>Data!C4</f>
        <v>462</v>
      </c>
      <c r="C24">
        <f>Data!D4</f>
        <v>420</v>
      </c>
    </row>
    <row r="25" spans="1:3" ht="12.75">
      <c r="A25" t="s">
        <v>82</v>
      </c>
      <c r="B25">
        <f>Data!C5</f>
        <v>420</v>
      </c>
      <c r="C25">
        <f>Data!D5</f>
        <v>390</v>
      </c>
    </row>
    <row r="26" spans="1:3" ht="12.75">
      <c r="A26" t="s">
        <v>83</v>
      </c>
      <c r="B26">
        <f>Data!C13</f>
        <v>54</v>
      </c>
      <c r="C26">
        <f>Data!D13</f>
        <v>45</v>
      </c>
    </row>
    <row r="27" spans="1:3" ht="12.75">
      <c r="A27" t="s">
        <v>14</v>
      </c>
      <c r="B27">
        <f>Data!C15</f>
        <v>195</v>
      </c>
      <c r="C27">
        <f>Data!D15</f>
        <v>180</v>
      </c>
    </row>
    <row r="28" spans="1:3" ht="12.75">
      <c r="A28" t="s">
        <v>84</v>
      </c>
      <c r="B28">
        <f>B24+B25-B26-B27</f>
        <v>633</v>
      </c>
      <c r="C28">
        <f>C24+C25-C26-C27</f>
        <v>585</v>
      </c>
    </row>
    <row r="30" ht="12.75">
      <c r="A30" s="27" t="s">
        <v>85</v>
      </c>
    </row>
    <row r="31" spans="1:2" ht="12.75">
      <c r="A31" t="s">
        <v>80</v>
      </c>
      <c r="B31">
        <f>Data!C45</f>
        <v>180</v>
      </c>
    </row>
    <row r="32" spans="1:2" ht="12.75">
      <c r="A32" t="s">
        <v>49</v>
      </c>
      <c r="B32">
        <f>Data!C43</f>
        <v>72</v>
      </c>
    </row>
    <row r="33" spans="1:2" ht="12.75">
      <c r="A33" t="s">
        <v>81</v>
      </c>
      <c r="B33">
        <f>B28-C28</f>
        <v>48</v>
      </c>
    </row>
    <row r="34" spans="1:2" ht="12.75">
      <c r="A34" t="s">
        <v>85</v>
      </c>
      <c r="B34">
        <f>B31-B32+B33</f>
        <v>156</v>
      </c>
    </row>
    <row r="36" spans="1:2" ht="12.75">
      <c r="A36" t="s">
        <v>95</v>
      </c>
      <c r="B36" s="47">
        <f>B34/B5</f>
        <v>1.3866666666666667</v>
      </c>
    </row>
    <row r="37" spans="1:2" ht="15.75">
      <c r="A37" t="s">
        <v>108</v>
      </c>
      <c r="B37" s="47">
        <f>B36</f>
        <v>1.3866666666666667</v>
      </c>
    </row>
    <row r="38" spans="1:2" ht="15.75">
      <c r="A38" t="s">
        <v>109</v>
      </c>
      <c r="B38" s="57">
        <f>B40/B21</f>
        <v>0.3408</v>
      </c>
    </row>
    <row r="39" spans="1:2" ht="15.75">
      <c r="A39" t="s">
        <v>106</v>
      </c>
      <c r="B39" s="46">
        <f>B37*B20</f>
        <v>0.12206572769953052</v>
      </c>
    </row>
    <row r="40" spans="1:2" ht="15.75">
      <c r="A40" t="s">
        <v>107</v>
      </c>
      <c r="B40" s="48">
        <v>0.03</v>
      </c>
    </row>
    <row r="42" spans="1:13" ht="13.5" thickBot="1">
      <c r="A42" s="27" t="s">
        <v>46</v>
      </c>
      <c r="B42" s="52">
        <v>0</v>
      </c>
      <c r="C42" s="52">
        <v>1</v>
      </c>
      <c r="D42" s="52">
        <v>2</v>
      </c>
      <c r="E42" s="52">
        <v>3</v>
      </c>
      <c r="F42" s="52">
        <v>4</v>
      </c>
      <c r="G42" s="52">
        <v>5</v>
      </c>
      <c r="H42" s="52">
        <v>6</v>
      </c>
      <c r="I42" s="52">
        <v>7</v>
      </c>
      <c r="J42" s="52">
        <v>8</v>
      </c>
      <c r="K42" s="52">
        <v>9</v>
      </c>
      <c r="L42" s="52">
        <v>10</v>
      </c>
      <c r="M42" s="52">
        <v>11</v>
      </c>
    </row>
    <row r="43" spans="1:13" ht="13.5" thickTop="1">
      <c r="A43" t="s">
        <v>88</v>
      </c>
      <c r="C43" s="48">
        <f>$B$39</f>
        <v>0.12206572769953052</v>
      </c>
      <c r="D43" s="48">
        <f>$B$39</f>
        <v>0.12206572769953052</v>
      </c>
      <c r="E43" s="48">
        <f>$B$39</f>
        <v>0.12206572769953052</v>
      </c>
      <c r="F43" s="48">
        <f>$B$39</f>
        <v>0.12206572769953052</v>
      </c>
      <c r="G43" s="48">
        <f>$B$39</f>
        <v>0.12206572769953052</v>
      </c>
      <c r="H43" s="48">
        <f>G43-($B$39-$B$40)/6</f>
        <v>0.10672143974960877</v>
      </c>
      <c r="I43" s="48">
        <f>H43-($B$39-$B$40)/6</f>
        <v>0.09137715179968701</v>
      </c>
      <c r="J43" s="48">
        <f>I43-($B$39-$B$40)/6</f>
        <v>0.07603286384976526</v>
      </c>
      <c r="K43" s="48">
        <f>J43-($B$39-$B$40)/6</f>
        <v>0.060688575899843514</v>
      </c>
      <c r="L43" s="48">
        <f>K43-($B$39-$B$40)/6</f>
        <v>0.04534428794992176</v>
      </c>
      <c r="M43" s="48">
        <f>$B$40</f>
        <v>0.03</v>
      </c>
    </row>
    <row r="44" spans="1:13" ht="12.75">
      <c r="A44" t="s">
        <v>86</v>
      </c>
      <c r="C44" s="46">
        <f>$B$37</f>
        <v>1.3866666666666667</v>
      </c>
      <c r="D44" s="46">
        <f>$B$37</f>
        <v>1.3866666666666667</v>
      </c>
      <c r="E44" s="46">
        <f>$B$37</f>
        <v>1.3866666666666667</v>
      </c>
      <c r="F44" s="46">
        <f>$B$37</f>
        <v>1.3866666666666667</v>
      </c>
      <c r="G44" s="46">
        <f>$B$37</f>
        <v>1.3866666666666667</v>
      </c>
      <c r="H44" s="48">
        <f>G44-($B$37-$B$38)/6</f>
        <v>1.2123555555555556</v>
      </c>
      <c r="I44" s="48">
        <f>H44-($B$37-$B$38)/6</f>
        <v>1.0380444444444445</v>
      </c>
      <c r="J44" s="48">
        <f>I44-($B$37-$B$38)/6</f>
        <v>0.8637333333333335</v>
      </c>
      <c r="K44" s="48">
        <f>J44-($B$37-$B$38)/6</f>
        <v>0.6894222222222224</v>
      </c>
      <c r="L44" s="48">
        <f>K44-($B$37-$B$38)/6</f>
        <v>0.5151111111111113</v>
      </c>
      <c r="M44" s="48">
        <f>$B$38</f>
        <v>0.3408</v>
      </c>
    </row>
    <row r="46" spans="1:13" ht="12.75">
      <c r="A46" t="s">
        <v>31</v>
      </c>
      <c r="B46" s="49">
        <f>B3</f>
        <v>150</v>
      </c>
      <c r="C46" s="49">
        <f>B46*(1+C43)</f>
        <v>168.30985915492957</v>
      </c>
      <c r="D46" s="49">
        <f aca="true" t="shared" si="0" ref="D46:M46">C46*(1+D43)</f>
        <v>188.85472459168153</v>
      </c>
      <c r="E46" s="49">
        <f t="shared" si="0"/>
        <v>211.90741397845954</v>
      </c>
      <c r="F46" s="49">
        <f t="shared" si="0"/>
        <v>237.77404667066588</v>
      </c>
      <c r="G46" s="49">
        <f t="shared" si="0"/>
        <v>266.7981087055828</v>
      </c>
      <c r="H46" s="49">
        <f t="shared" si="0"/>
        <v>295.2711869891153</v>
      </c>
      <c r="I46" s="49">
        <f t="shared" si="0"/>
        <v>322.25222706469344</v>
      </c>
      <c r="J46" s="49">
        <f t="shared" si="0"/>
        <v>346.75398677038686</v>
      </c>
      <c r="K46" s="49">
        <f t="shared" si="0"/>
        <v>367.7979924150748</v>
      </c>
      <c r="L46" s="49">
        <f t="shared" si="0"/>
        <v>384.4755304905471</v>
      </c>
      <c r="M46" s="49">
        <f t="shared" si="0"/>
        <v>396.0097964052635</v>
      </c>
    </row>
    <row r="47" spans="1:13" ht="12.75">
      <c r="A47" t="s">
        <v>87</v>
      </c>
      <c r="B47" s="49"/>
      <c r="C47" s="49">
        <f aca="true" t="shared" si="1" ref="C47:M47">C46*(1-$B$4)</f>
        <v>126.23239436619718</v>
      </c>
      <c r="D47" s="49">
        <f t="shared" si="1"/>
        <v>141.64104344376113</v>
      </c>
      <c r="E47" s="49">
        <f t="shared" si="1"/>
        <v>158.93056048384466</v>
      </c>
      <c r="F47" s="49">
        <f t="shared" si="1"/>
        <v>178.3305350029994</v>
      </c>
      <c r="G47" s="49">
        <f t="shared" si="1"/>
        <v>200.09858152918713</v>
      </c>
      <c r="H47" s="49">
        <f t="shared" si="1"/>
        <v>221.45339024183647</v>
      </c>
      <c r="I47" s="49">
        <f t="shared" si="1"/>
        <v>241.68917029852008</v>
      </c>
      <c r="J47" s="49">
        <f t="shared" si="1"/>
        <v>260.0654900777902</v>
      </c>
      <c r="K47" s="49">
        <f t="shared" si="1"/>
        <v>275.8484943113061</v>
      </c>
      <c r="L47" s="49">
        <f t="shared" si="1"/>
        <v>288.35664786791034</v>
      </c>
      <c r="M47" s="49">
        <f t="shared" si="1"/>
        <v>297.00734730394765</v>
      </c>
    </row>
    <row r="48" spans="1:13" ht="12.75">
      <c r="A48" t="s">
        <v>89</v>
      </c>
      <c r="B48" s="49"/>
      <c r="C48" s="49">
        <f>C47*(1-C44)</f>
        <v>-48.80985915492958</v>
      </c>
      <c r="D48" s="49">
        <f aca="true" t="shared" si="2" ref="D48:M48">D47*(1-D44)</f>
        <v>-54.76787013158764</v>
      </c>
      <c r="E48" s="49">
        <f t="shared" si="2"/>
        <v>-61.453150053753276</v>
      </c>
      <c r="F48" s="49">
        <f t="shared" si="2"/>
        <v>-68.9544735344931</v>
      </c>
      <c r="G48" s="49">
        <f t="shared" si="2"/>
        <v>-77.37145152461903</v>
      </c>
      <c r="H48" s="49">
        <f t="shared" si="2"/>
        <v>-47.026857714466445</v>
      </c>
      <c r="I48" s="49">
        <f t="shared" si="2"/>
        <v>-9.194930212245945</v>
      </c>
      <c r="J48" s="49">
        <f t="shared" si="2"/>
        <v>35.43825744793351</v>
      </c>
      <c r="K48" s="49">
        <f t="shared" si="2"/>
        <v>85.67241236655138</v>
      </c>
      <c r="L48" s="49">
        <f t="shared" si="2"/>
        <v>139.82093458839557</v>
      </c>
      <c r="M48" s="49">
        <f t="shared" si="2"/>
        <v>195.7872433427623</v>
      </c>
    </row>
    <row r="49" spans="2:13" ht="12.7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t="s">
        <v>90</v>
      </c>
      <c r="B50" s="49"/>
      <c r="C50" s="49">
        <f aca="true" t="shared" si="3" ref="C50:L50">C48/(1+$B$17)^C42</f>
        <v>-43.36188168731065</v>
      </c>
      <c r="D50" s="49">
        <f t="shared" si="3"/>
        <v>-43.22420191872014</v>
      </c>
      <c r="E50" s="49">
        <f t="shared" si="3"/>
        <v>-43.086959301792376</v>
      </c>
      <c r="F50" s="49">
        <f t="shared" si="3"/>
        <v>-42.950152448512405</v>
      </c>
      <c r="G50" s="49">
        <f t="shared" si="3"/>
        <v>-42.81377997527244</v>
      </c>
      <c r="H50" s="49">
        <f t="shared" si="3"/>
        <v>-23.117951837972978</v>
      </c>
      <c r="I50" s="49">
        <f t="shared" si="3"/>
        <v>-4.0156180440840865</v>
      </c>
      <c r="J50" s="49">
        <f t="shared" si="3"/>
        <v>13.749182739469617</v>
      </c>
      <c r="K50" s="49">
        <f t="shared" si="3"/>
        <v>29.528819624870998</v>
      </c>
      <c r="L50" s="49">
        <f t="shared" si="3"/>
        <v>42.81321653614658</v>
      </c>
      <c r="M50" s="49"/>
    </row>
    <row r="51" spans="1:13" ht="12.75">
      <c r="A51" t="s">
        <v>91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>
        <f>M48/(B17-B40)</f>
        <v>2047.1317926130205</v>
      </c>
      <c r="M51" s="49"/>
    </row>
    <row r="52" spans="1:13" ht="12.75">
      <c r="A52" t="s">
        <v>92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>
        <f>L51/(1+$B$17)^L42</f>
        <v>626.8324337351781</v>
      </c>
      <c r="M52" s="49"/>
    </row>
    <row r="54" spans="1:10" ht="12.75">
      <c r="A54" s="27" t="s">
        <v>115</v>
      </c>
      <c r="B54" s="51">
        <f>SUM(C50:L50)+L52</f>
        <v>470.3531074220003</v>
      </c>
      <c r="H54" s="48"/>
      <c r="I54" s="48"/>
      <c r="J54" s="48"/>
    </row>
    <row r="55" spans="1:10" ht="12.75">
      <c r="A55" s="27" t="s">
        <v>116</v>
      </c>
      <c r="B55" s="50">
        <f>Data!C3</f>
        <v>30</v>
      </c>
      <c r="H55" s="48"/>
      <c r="I55" s="48"/>
      <c r="J55" s="48"/>
    </row>
    <row r="56" spans="1:2" ht="12.75">
      <c r="A56" s="27" t="s">
        <v>93</v>
      </c>
      <c r="B56" s="50">
        <f>B55+B54</f>
        <v>500.3531074220003</v>
      </c>
    </row>
    <row r="57" spans="1:2" ht="12.75">
      <c r="A57" s="27" t="s">
        <v>94</v>
      </c>
      <c r="B57" s="50">
        <f>B56-B10</f>
        <v>143.35310742200028</v>
      </c>
    </row>
    <row r="58" spans="1:2" ht="12.75">
      <c r="A58" s="27" t="s">
        <v>114</v>
      </c>
      <c r="B58" s="51">
        <f>B57*10^9/Data!C72</f>
        <v>9556.873828133352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 </cp:lastModifiedBy>
  <dcterms:created xsi:type="dcterms:W3CDTF">2009-04-16T03:17:13Z</dcterms:created>
  <dcterms:modified xsi:type="dcterms:W3CDTF">2011-05-16T09:54:29Z</dcterms:modified>
  <cp:category/>
  <cp:version/>
  <cp:contentType/>
  <cp:contentStatus/>
</cp:coreProperties>
</file>