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1"/>
  </bookViews>
  <sheets>
    <sheet name="1GD" sheetId="1" r:id="rId1"/>
    <sheet name="2GD" sheetId="2" r:id="rId2"/>
    <sheet name="3GD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8"/>
            <rFont val="Tahoma"/>
            <family val="2"/>
          </rPr>
          <t>Mô hình này do Nguyễn Xuân Thành, giảng viên chính sách công của Chương trình Giảng dạy Kinh tế Fulbright soạn để phục vụ cho công tác giảng dạy.</t>
        </r>
      </text>
    </comment>
  </commentList>
</comments>
</file>

<file path=xl/comments2.xml><?xml version="1.0" encoding="utf-8"?>
<comments xmlns="http://schemas.openxmlformats.org/spreadsheetml/2006/main">
  <authors>
    <author>Nguyen Xuan Thanh</author>
    <author> </author>
  </authors>
  <commentList>
    <comment ref="C2" authorId="0">
      <text>
        <r>
          <rPr>
            <b/>
            <sz val="8"/>
            <rFont val="Tahoma"/>
            <family val="0"/>
          </rPr>
          <t>Tối đa: 15 năm</t>
        </r>
      </text>
    </comment>
    <comment ref="A1" authorId="1">
      <text>
        <r>
          <rPr>
            <b/>
            <sz val="8"/>
            <rFont val="Tahoma"/>
            <family val="2"/>
          </rPr>
          <t>Mô hình này do Nguyễn Xuân Thành, giảng viên chính sách công của Chương trình Giảng dạy Kinh tế Fulbright soạn để phục vụ cho công tác giảng dạy.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8"/>
            <rFont val="Tahoma"/>
            <family val="2"/>
          </rPr>
          <t>Mô hình này do Nguyễn Xuân Thành, giảng viên chính sách công của Chương trình Giảng dạy Kinh tế Fulbright soạn để phục vụ cho công tác giảng dạy.</t>
        </r>
      </text>
    </comment>
  </commentList>
</comments>
</file>

<file path=xl/sharedStrings.xml><?xml version="1.0" encoding="utf-8"?>
<sst xmlns="http://schemas.openxmlformats.org/spreadsheetml/2006/main" count="108" uniqueCount="54">
  <si>
    <t>PV</t>
  </si>
  <si>
    <t>EPS</t>
  </si>
  <si>
    <t>D</t>
  </si>
  <si>
    <t>ROE</t>
  </si>
  <si>
    <t>g</t>
  </si>
  <si>
    <t>TV</t>
  </si>
  <si>
    <t>P</t>
  </si>
  <si>
    <t>THÔNG SỐ ĐẦU VÀO</t>
  </si>
  <si>
    <t>Lợi nhuận b/q 1 cổ phiếu năm 0</t>
  </si>
  <si>
    <r>
      <t>EPS</t>
    </r>
    <r>
      <rPr>
        <vertAlign val="subscript"/>
        <sz val="10"/>
        <rFont val="Arial"/>
        <family val="2"/>
      </rPr>
      <t>0</t>
    </r>
  </si>
  <si>
    <t>Tỷ lệ lợi nhuận giữ lại</t>
  </si>
  <si>
    <t>q</t>
  </si>
  <si>
    <t>Tỷ lệ lợi nhuận giữ lại (Tỷ lệ tái đầu tư)</t>
  </si>
  <si>
    <t>Suất sinh lợi trên vốn chủ sở hữu</t>
  </si>
  <si>
    <t>Tốc độ tăng trưởng ốn định</t>
  </si>
  <si>
    <t>Lợi nhuận b/q 1 cổ phiếu năm 1</t>
  </si>
  <si>
    <r>
      <t>EPS</t>
    </r>
    <r>
      <rPr>
        <vertAlign val="subscript"/>
        <sz val="10"/>
        <rFont val="Arial"/>
        <family val="2"/>
      </rPr>
      <t>1</t>
    </r>
  </si>
  <si>
    <t>Cổ tức năm 1</t>
  </si>
  <si>
    <r>
      <t>D</t>
    </r>
    <r>
      <rPr>
        <vertAlign val="subscript"/>
        <sz val="10"/>
        <rFont val="Arial"/>
        <family val="2"/>
      </rPr>
      <t>1</t>
    </r>
  </si>
  <si>
    <t>Chi phí vốn chủ sở hữu</t>
  </si>
  <si>
    <r>
      <t>k</t>
    </r>
    <r>
      <rPr>
        <vertAlign val="subscript"/>
        <sz val="10"/>
        <rFont val="Arial"/>
        <family val="2"/>
      </rPr>
      <t>e</t>
    </r>
  </si>
  <si>
    <t>Giá trị cổ phiếu</t>
  </si>
  <si>
    <t>KẾT QUẢ ĐẦU RA</t>
  </si>
  <si>
    <t>Suất sinh lợi trên vốn chủ sở hữu giai đoạn tăng nhanh</t>
  </si>
  <si>
    <r>
      <t>ROE</t>
    </r>
    <r>
      <rPr>
        <vertAlign val="subscript"/>
        <sz val="10"/>
        <rFont val="Arial"/>
        <family val="2"/>
      </rPr>
      <t>h</t>
    </r>
  </si>
  <si>
    <t>Suất sinh lợi trên vốn chủ sở hữu giai đoạn ổn định</t>
  </si>
  <si>
    <r>
      <t>ROE</t>
    </r>
    <r>
      <rPr>
        <vertAlign val="subscript"/>
        <sz val="10"/>
        <rFont val="Arial"/>
        <family val="2"/>
      </rPr>
      <t>s</t>
    </r>
  </si>
  <si>
    <t>Chi phí vốn chủ sở hữu giai đoạn tăng nhanh</t>
  </si>
  <si>
    <t>Chi phí vốn chủ sở hữu giai đoạn ổn định</t>
  </si>
  <si>
    <r>
      <t>k</t>
    </r>
    <r>
      <rPr>
        <vertAlign val="subscript"/>
        <sz val="10"/>
        <rFont val="Arial"/>
        <family val="2"/>
      </rPr>
      <t>e,h</t>
    </r>
  </si>
  <si>
    <r>
      <t>k</t>
    </r>
    <r>
      <rPr>
        <vertAlign val="subscript"/>
        <sz val="10"/>
        <rFont val="Arial"/>
        <family val="2"/>
      </rPr>
      <t>e,s</t>
    </r>
  </si>
  <si>
    <t>Tốc độ tăng trưởng nhanh</t>
  </si>
  <si>
    <r>
      <t>g</t>
    </r>
    <r>
      <rPr>
        <vertAlign val="subscript"/>
        <sz val="10"/>
        <rFont val="Arial"/>
        <family val="2"/>
      </rPr>
      <t>h</t>
    </r>
  </si>
  <si>
    <r>
      <t>g</t>
    </r>
    <r>
      <rPr>
        <vertAlign val="subscript"/>
        <sz val="10"/>
        <rFont val="Arial"/>
        <family val="2"/>
      </rPr>
      <t>s</t>
    </r>
  </si>
  <si>
    <t>Tỷ lệ lợi nhuận giữ lại giai đoạn tăng nhanh</t>
  </si>
  <si>
    <r>
      <t>q</t>
    </r>
    <r>
      <rPr>
        <vertAlign val="subscript"/>
        <sz val="10"/>
        <rFont val="Times New Roman"/>
        <family val="1"/>
      </rPr>
      <t>h</t>
    </r>
  </si>
  <si>
    <t>Tỷ lệ lợi nhuận giữ lại giai đoạn ổn định</t>
  </si>
  <si>
    <r>
      <t>q</t>
    </r>
    <r>
      <rPr>
        <vertAlign val="subscript"/>
        <sz val="10"/>
        <rFont val="Times New Roman"/>
        <family val="1"/>
      </rPr>
      <t>s</t>
    </r>
  </si>
  <si>
    <t>Số năm tăng trưởng nhanh</t>
  </si>
  <si>
    <t>n</t>
  </si>
  <si>
    <t>Ngân lưu</t>
  </si>
  <si>
    <t>Tốc độ tăng trưởng</t>
  </si>
  <si>
    <t>Lợi nhuận b/q 1 cổ phiếu</t>
  </si>
  <si>
    <t>Cổ tức b/q 1 cổ phiếu</t>
  </si>
  <si>
    <t>Cổ tức b/q 1 cổ phiếu năm 1</t>
  </si>
  <si>
    <t>Giá trị hiện tại cổ tức giai đoạn tăng nhanh</t>
  </si>
  <si>
    <t>Giá trị kết thúc của dòng cổ tức giai đoạn ổn định</t>
  </si>
  <si>
    <t>PV(Giá trị kết thúc)</t>
  </si>
  <si>
    <t>PV(TV)</t>
  </si>
  <si>
    <t>Số năm tăng trưởng giảm dần</t>
  </si>
  <si>
    <r>
      <t>n</t>
    </r>
    <r>
      <rPr>
        <vertAlign val="subscript"/>
        <sz val="10"/>
        <rFont val="Arial"/>
        <family val="2"/>
      </rPr>
      <t>1</t>
    </r>
  </si>
  <si>
    <r>
      <t>n</t>
    </r>
    <r>
      <rPr>
        <vertAlign val="subscript"/>
        <sz val="10"/>
        <rFont val="Arial"/>
        <family val="2"/>
      </rPr>
      <t>2</t>
    </r>
  </si>
  <si>
    <t>Tổng số năm trước khi đi vào ổn định</t>
  </si>
  <si>
    <t>Hệ số chiết khấu lũy tích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</si>
</sst>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dd/mm/yy"/>
    <numFmt numFmtId="166" formatCode="0.000%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"/>
    <numFmt numFmtId="173" formatCode="0.0%"/>
    <numFmt numFmtId="174" formatCode="[$-409]dddd\,\ mmmm\ dd\,\ yyyy"/>
    <numFmt numFmtId="175" formatCode="dd/mm/yyyy"/>
    <numFmt numFmtId="176" formatCode="0.0"/>
    <numFmt numFmtId="177" formatCode="mmm\-yyyy"/>
    <numFmt numFmtId="178" formatCode="0.0000000000000000%"/>
    <numFmt numFmtId="179" formatCode="0.000000000000000%"/>
    <numFmt numFmtId="180" formatCode="#,##0.0"/>
    <numFmt numFmtId="181" formatCode="#,##0.000"/>
    <numFmt numFmtId="182" formatCode="0.00000%"/>
    <numFmt numFmtId="183" formatCode="0.0000%"/>
    <numFmt numFmtId="184" formatCode="_(&quot;$&quot;* #,##0_);_(&quot;$&quot;* \(#,##0\);_(&quot;$&quot;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vertAlign val="subscript"/>
      <sz val="10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10" fontId="0" fillId="33" borderId="0" xfId="59" applyNumberFormat="1" applyFont="1" applyFill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173" fontId="0" fillId="0" borderId="0" xfId="59" applyNumberFormat="1" applyFont="1" applyAlignment="1" applyProtection="1">
      <alignment/>
      <protection locked="0"/>
    </xf>
    <xf numFmtId="173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9" fontId="0" fillId="0" borderId="0" xfId="0" applyNumberFormat="1" applyFont="1" applyAlignment="1" applyProtection="1">
      <alignment/>
      <protection locked="0"/>
    </xf>
    <xf numFmtId="10" fontId="0" fillId="0" borderId="0" xfId="59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0" fontId="0" fillId="0" borderId="0" xfId="59" applyNumberFormat="1" applyFont="1" applyBorder="1" applyAlignment="1" applyProtection="1">
      <alignment/>
      <protection locked="0"/>
    </xf>
    <xf numFmtId="10" fontId="0" fillId="0" borderId="10" xfId="59" applyNumberFormat="1" applyFon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0" fontId="0" fillId="0" borderId="0" xfId="59" applyNumberFormat="1" applyFont="1" applyBorder="1" applyAlignment="1" applyProtection="1">
      <alignment/>
      <protection/>
    </xf>
    <xf numFmtId="10" fontId="0" fillId="0" borderId="17" xfId="59" applyNumberFormat="1" applyFon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0" borderId="17" xfId="0" applyNumberForma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3" fontId="0" fillId="0" borderId="15" xfId="0" applyNumberFormat="1" applyBorder="1" applyAlignment="1" applyProtection="1">
      <alignment/>
      <protection/>
    </xf>
    <xf numFmtId="3" fontId="0" fillId="0" borderId="18" xfId="0" applyNumberFormat="1" applyBorder="1" applyAlignment="1" applyProtection="1">
      <alignment/>
      <protection/>
    </xf>
    <xf numFmtId="10" fontId="0" fillId="33" borderId="0" xfId="59" applyNumberFormat="1" applyFill="1" applyAlignment="1" applyProtection="1">
      <alignment/>
      <protection locked="0"/>
    </xf>
    <xf numFmtId="10" fontId="0" fillId="33" borderId="0" xfId="59" applyNumberFormat="1" applyFont="1" applyFill="1" applyAlignment="1" applyProtection="1">
      <alignment/>
      <protection locked="0"/>
    </xf>
    <xf numFmtId="10" fontId="0" fillId="0" borderId="0" xfId="59" applyNumberFormat="1" applyBorder="1" applyAlignment="1" applyProtection="1">
      <alignment/>
      <protection/>
    </xf>
    <xf numFmtId="10" fontId="0" fillId="0" borderId="17" xfId="59" applyNumberFormat="1" applyBorder="1" applyAlignment="1" applyProtection="1">
      <alignment/>
      <protection/>
    </xf>
    <xf numFmtId="10" fontId="0" fillId="0" borderId="17" xfId="0" applyNumberFormat="1" applyBorder="1" applyAlignment="1" applyProtection="1">
      <alignment/>
      <protection/>
    </xf>
    <xf numFmtId="181" fontId="0" fillId="0" borderId="0" xfId="0" applyNumberForma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11</xdr:row>
      <xdr:rowOff>19050</xdr:rowOff>
    </xdr:from>
    <xdr:to>
      <xdr:col>5</xdr:col>
      <xdr:colOff>76200</xdr:colOff>
      <xdr:row>13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952625"/>
          <a:ext cx="676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41.7109375" style="1" customWidth="1"/>
    <col min="2" max="2" width="20.57421875" style="1" bestFit="1" customWidth="1"/>
    <col min="3" max="16384" width="9.140625" style="1" customWidth="1"/>
  </cols>
  <sheetData>
    <row r="1" spans="1:2" ht="12.75">
      <c r="A1" s="9" t="s">
        <v>7</v>
      </c>
      <c r="B1" s="10"/>
    </row>
    <row r="2" spans="1:3" ht="15.75">
      <c r="A2" s="10" t="s">
        <v>8</v>
      </c>
      <c r="B2" s="10" t="s">
        <v>9</v>
      </c>
      <c r="C2" s="2">
        <v>2528</v>
      </c>
    </row>
    <row r="3" spans="1:3" ht="12.75">
      <c r="A3" s="10" t="s">
        <v>12</v>
      </c>
      <c r="B3" s="11" t="s">
        <v>11</v>
      </c>
      <c r="C3" s="3">
        <v>0.4</v>
      </c>
    </row>
    <row r="4" spans="1:3" ht="12.75">
      <c r="A4" s="10" t="s">
        <v>13</v>
      </c>
      <c r="B4" s="10" t="s">
        <v>3</v>
      </c>
      <c r="C4" s="3">
        <v>0.2</v>
      </c>
    </row>
    <row r="5" spans="1:3" ht="15.75">
      <c r="A5" s="10" t="s">
        <v>19</v>
      </c>
      <c r="B5" s="10" t="s">
        <v>20</v>
      </c>
      <c r="C5" s="3">
        <v>0.12</v>
      </c>
    </row>
    <row r="6" spans="1:3" ht="12.75">
      <c r="A6" s="10"/>
      <c r="B6" s="10"/>
      <c r="C6" s="4"/>
    </row>
    <row r="7" spans="1:3" ht="12.75">
      <c r="A7" s="9" t="s">
        <v>22</v>
      </c>
      <c r="B7" s="10"/>
      <c r="C7" s="4"/>
    </row>
    <row r="8" spans="1:3" ht="12.75">
      <c r="A8" s="10" t="s">
        <v>14</v>
      </c>
      <c r="B8" s="10" t="s">
        <v>4</v>
      </c>
      <c r="C8" s="14">
        <f>C4*C3</f>
        <v>0.08000000000000002</v>
      </c>
    </row>
    <row r="9" spans="1:3" ht="15.75">
      <c r="A9" s="10" t="s">
        <v>15</v>
      </c>
      <c r="B9" s="10" t="s">
        <v>16</v>
      </c>
      <c r="C9" s="15">
        <f>C2*(1+C8)</f>
        <v>2730.2400000000002</v>
      </c>
    </row>
    <row r="10" spans="1:3" ht="15.75">
      <c r="A10" s="10" t="s">
        <v>17</v>
      </c>
      <c r="B10" s="10" t="s">
        <v>18</v>
      </c>
      <c r="C10" s="15">
        <f>C9*(1-C3)</f>
        <v>1638.144</v>
      </c>
    </row>
    <row r="11" spans="1:3" ht="12.75">
      <c r="A11" s="10"/>
      <c r="B11" s="10"/>
      <c r="C11" s="15"/>
    </row>
    <row r="12" spans="1:3" ht="12.75">
      <c r="A12" s="9" t="s">
        <v>21</v>
      </c>
      <c r="B12" s="9" t="s">
        <v>6</v>
      </c>
      <c r="C12" s="16">
        <f>C10/(C5-C8)</f>
        <v>40953.60000000002</v>
      </c>
    </row>
    <row r="13" ht="12.75">
      <c r="C13" s="5"/>
    </row>
    <row r="14" ht="12.75">
      <c r="C14" s="4"/>
    </row>
    <row r="15" ht="12.75">
      <c r="C15" s="6"/>
    </row>
    <row r="16" spans="1:3" ht="12.75">
      <c r="A16" s="12"/>
      <c r="C16" s="13"/>
    </row>
    <row r="17" ht="12.75">
      <c r="C17" s="6"/>
    </row>
    <row r="18" ht="12.75">
      <c r="C18" s="7"/>
    </row>
    <row r="19" ht="12.75">
      <c r="C19" s="8"/>
    </row>
    <row r="20" ht="12.75">
      <c r="C20" s="7"/>
    </row>
    <row r="22" ht="12.75">
      <c r="C22" s="5"/>
    </row>
  </sheetData>
  <sheetProtection password="89BB" sheet="1" formatCells="0"/>
  <printOptions/>
  <pageMargins left="0.75" right="0.75" top="1" bottom="1" header="0.5" footer="0.5"/>
  <pageSetup horizontalDpi="600" verticalDpi="600" orientation="portrait" r:id="rId7"/>
  <drawing r:id="rId6"/>
  <legacyDrawing r:id="rId5"/>
  <oleObjects>
    <oleObject progId="Equation.DSMT4" shapeId="2584311" r:id="rId2"/>
    <oleObject progId="Equation.DSMT4" shapeId="2589097" r:id="rId3"/>
    <oleObject progId="Equation.DSMT4" shapeId="2593023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5"/>
  <sheetViews>
    <sheetView tabSelected="1" zoomScalePageLayoutView="0" workbookViewId="0" topLeftCell="A1">
      <selection activeCell="A42" sqref="A42"/>
    </sheetView>
  </sheetViews>
  <sheetFormatPr defaultColWidth="9.140625" defaultRowHeight="12.75"/>
  <cols>
    <col min="1" max="1" width="47.8515625" style="1" bestFit="1" customWidth="1"/>
    <col min="2" max="2" width="7.28125" style="1" bestFit="1" customWidth="1"/>
    <col min="3" max="19" width="8.421875" style="1" customWidth="1"/>
    <col min="20" max="16384" width="9.140625" style="1" customWidth="1"/>
  </cols>
  <sheetData>
    <row r="1" spans="1:2" ht="12.75">
      <c r="A1" s="9" t="s">
        <v>7</v>
      </c>
      <c r="B1" s="10"/>
    </row>
    <row r="2" spans="1:4" ht="12.75">
      <c r="A2" s="26" t="s">
        <v>38</v>
      </c>
      <c r="B2" s="10" t="s">
        <v>39</v>
      </c>
      <c r="C2" s="17">
        <v>3</v>
      </c>
      <c r="D2" s="18">
        <f>IF(C2&lt;16,"","Tối đa chỉ được 15 năm")</f>
      </c>
    </row>
    <row r="3" spans="1:3" ht="15.75">
      <c r="A3" s="10" t="s">
        <v>8</v>
      </c>
      <c r="B3" s="10" t="s">
        <v>9</v>
      </c>
      <c r="C3" s="2">
        <v>4000</v>
      </c>
    </row>
    <row r="4" spans="1:3" ht="14.25">
      <c r="A4" s="10" t="s">
        <v>34</v>
      </c>
      <c r="B4" s="11" t="s">
        <v>35</v>
      </c>
      <c r="C4" s="3">
        <f>1-1200/C3</f>
        <v>0.7</v>
      </c>
    </row>
    <row r="5" spans="1:3" ht="14.25">
      <c r="A5" s="10" t="s">
        <v>36</v>
      </c>
      <c r="B5" s="11" t="s">
        <v>37</v>
      </c>
      <c r="C5" s="3">
        <v>0.5</v>
      </c>
    </row>
    <row r="6" spans="1:3" ht="15.75">
      <c r="A6" s="10" t="s">
        <v>23</v>
      </c>
      <c r="B6" s="10" t="s">
        <v>24</v>
      </c>
      <c r="C6" s="3">
        <v>0.2</v>
      </c>
    </row>
    <row r="7" spans="1:3" ht="15.75">
      <c r="A7" s="10" t="s">
        <v>25</v>
      </c>
      <c r="B7" s="10" t="s">
        <v>26</v>
      </c>
      <c r="C7" s="3">
        <v>0.1</v>
      </c>
    </row>
    <row r="8" spans="1:3" ht="15.75">
      <c r="A8" s="10" t="s">
        <v>27</v>
      </c>
      <c r="B8" s="10" t="s">
        <v>29</v>
      </c>
      <c r="C8" s="3">
        <v>0.12</v>
      </c>
    </row>
    <row r="9" spans="1:3" ht="15.75">
      <c r="A9" s="10" t="s">
        <v>28</v>
      </c>
      <c r="B9" s="10" t="s">
        <v>30</v>
      </c>
      <c r="C9" s="3">
        <v>0.08</v>
      </c>
    </row>
    <row r="10" spans="1:2" ht="12.75">
      <c r="A10" s="10"/>
      <c r="B10" s="10"/>
    </row>
    <row r="11" spans="1:3" ht="12.75">
      <c r="A11" s="9" t="s">
        <v>22</v>
      </c>
      <c r="B11" s="10"/>
      <c r="C11" s="4"/>
    </row>
    <row r="12" spans="1:19" ht="15.75">
      <c r="A12" s="10" t="s">
        <v>31</v>
      </c>
      <c r="B12" s="10" t="s">
        <v>32</v>
      </c>
      <c r="C12" s="33">
        <f>C4*C6</f>
        <v>0.13999999999999999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5.75">
      <c r="A13" s="10" t="s">
        <v>14</v>
      </c>
      <c r="B13" s="10" t="s">
        <v>33</v>
      </c>
      <c r="C13" s="33">
        <f>C5*C7</f>
        <v>0.05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5.75">
      <c r="A14" s="10" t="s">
        <v>15</v>
      </c>
      <c r="B14" s="10" t="s">
        <v>16</v>
      </c>
      <c r="C14" s="15">
        <f>C3*(1+C12)</f>
        <v>4560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5.75">
      <c r="A15" s="10" t="s">
        <v>44</v>
      </c>
      <c r="B15" s="10" t="s">
        <v>18</v>
      </c>
      <c r="C15" s="15">
        <f>C14*(1-C4)</f>
        <v>1368.0000000000002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3.5" thickBo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>
      <c r="A17" s="27" t="s">
        <v>40</v>
      </c>
      <c r="B17" s="28"/>
      <c r="C17" s="28">
        <v>0</v>
      </c>
      <c r="D17" s="28">
        <f>IF($C$2&lt;1,"",1)</f>
        <v>1</v>
      </c>
      <c r="E17" s="28">
        <f>IF($C$2&lt;2,"",2)</f>
        <v>2</v>
      </c>
      <c r="F17" s="28">
        <f>IF($C$2&lt;3,"",3)</f>
        <v>3</v>
      </c>
      <c r="G17" s="28">
        <f>IF($C$2&lt;4,"",4)</f>
      </c>
      <c r="H17" s="28">
        <f>IF($C$2&lt;5,"",5)</f>
      </c>
      <c r="I17" s="28">
        <f>IF($C$2&lt;6,"",6)</f>
      </c>
      <c r="J17" s="28">
        <f>IF($C$2&lt;7,"",7)</f>
      </c>
      <c r="K17" s="28">
        <f>IF($C$2&lt;8,"",8)</f>
      </c>
      <c r="L17" s="28">
        <f>IF($C$2&lt;9,"",9)</f>
      </c>
      <c r="M17" s="28">
        <f>IF($C$2&lt;10,"",10)</f>
      </c>
      <c r="N17" s="28">
        <f>IF($C$2&lt;11,"",11)</f>
      </c>
      <c r="O17" s="28">
        <f>IF($C$2&lt;12,"",12)</f>
      </c>
      <c r="P17" s="28">
        <f>IF($C$2&lt;13,"",13)</f>
      </c>
      <c r="Q17" s="28">
        <f>IF($C$2&lt;14,"",14)</f>
      </c>
      <c r="R17" s="28">
        <f>IF($C$2&lt;15,"",15)</f>
      </c>
      <c r="S17" s="34">
        <f>MAX(C17:R17)+1</f>
        <v>4</v>
      </c>
    </row>
    <row r="18" spans="1:256" s="19" customFormat="1" ht="12.75">
      <c r="A18" s="29" t="s">
        <v>41</v>
      </c>
      <c r="B18" s="30" t="s">
        <v>4</v>
      </c>
      <c r="C18" s="30"/>
      <c r="D18" s="35">
        <f>IF(D17="","",$C$12)</f>
        <v>0.13999999999999999</v>
      </c>
      <c r="E18" s="35">
        <f aca="true" t="shared" si="0" ref="E18:R18">IF(E17="","",$C$12)</f>
        <v>0.13999999999999999</v>
      </c>
      <c r="F18" s="35">
        <f t="shared" si="0"/>
        <v>0.13999999999999999</v>
      </c>
      <c r="G18" s="35">
        <f t="shared" si="0"/>
      </c>
      <c r="H18" s="35">
        <f t="shared" si="0"/>
      </c>
      <c r="I18" s="35">
        <f t="shared" si="0"/>
      </c>
      <c r="J18" s="35">
        <f t="shared" si="0"/>
      </c>
      <c r="K18" s="35">
        <f t="shared" si="0"/>
      </c>
      <c r="L18" s="35">
        <f t="shared" si="0"/>
      </c>
      <c r="M18" s="35">
        <f t="shared" si="0"/>
      </c>
      <c r="N18" s="35">
        <f t="shared" si="0"/>
      </c>
      <c r="O18" s="35">
        <f t="shared" si="0"/>
      </c>
      <c r="P18" s="35">
        <f t="shared" si="0"/>
      </c>
      <c r="Q18" s="35">
        <f t="shared" si="0"/>
      </c>
      <c r="R18" s="35">
        <f t="shared" si="0"/>
      </c>
      <c r="S18" s="36">
        <f>$C$13</f>
        <v>0.05</v>
      </c>
      <c r="T18" s="21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:256" s="19" customFormat="1" ht="12.75">
      <c r="A19" s="29" t="s">
        <v>42</v>
      </c>
      <c r="B19" s="30" t="s">
        <v>1</v>
      </c>
      <c r="C19" s="30"/>
      <c r="D19" s="37">
        <f>IF(D17="","",C14)</f>
        <v>4560</v>
      </c>
      <c r="E19" s="37">
        <f>IF(E17="","",D19*(1+E18))</f>
        <v>5198.4</v>
      </c>
      <c r="F19" s="37">
        <f aca="true" t="shared" si="1" ref="F19:R19">IF(F17="","",E19*(1+F18))</f>
        <v>5926.1759999999995</v>
      </c>
      <c r="G19" s="37">
        <f t="shared" si="1"/>
      </c>
      <c r="H19" s="37">
        <f t="shared" si="1"/>
      </c>
      <c r="I19" s="37">
        <f t="shared" si="1"/>
      </c>
      <c r="J19" s="37">
        <f t="shared" si="1"/>
      </c>
      <c r="K19" s="37">
        <f t="shared" si="1"/>
      </c>
      <c r="L19" s="37">
        <f t="shared" si="1"/>
      </c>
      <c r="M19" s="37">
        <f t="shared" si="1"/>
      </c>
      <c r="N19" s="37">
        <f t="shared" si="1"/>
      </c>
      <c r="O19" s="37">
        <f t="shared" si="1"/>
      </c>
      <c r="P19" s="37">
        <f t="shared" si="1"/>
      </c>
      <c r="Q19" s="37">
        <f t="shared" si="1"/>
      </c>
      <c r="R19" s="37">
        <f t="shared" si="1"/>
      </c>
      <c r="S19" s="38">
        <f>MAX(D19:R19)*(1+S18)</f>
        <v>6222.484799999999</v>
      </c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s="19" customFormat="1" ht="12.75">
      <c r="A20" s="29" t="s">
        <v>43</v>
      </c>
      <c r="B20" s="30" t="s">
        <v>2</v>
      </c>
      <c r="C20" s="30"/>
      <c r="D20" s="37">
        <f>IF(D17="","",D19*(1-$C$4))</f>
        <v>1368.0000000000002</v>
      </c>
      <c r="E20" s="37">
        <f aca="true" t="shared" si="2" ref="E20:R20">IF(E17="","",E19*(1-$C$4))</f>
        <v>1559.5200000000002</v>
      </c>
      <c r="F20" s="37">
        <f t="shared" si="2"/>
        <v>1777.8528000000001</v>
      </c>
      <c r="G20" s="37">
        <f t="shared" si="2"/>
      </c>
      <c r="H20" s="37">
        <f t="shared" si="2"/>
      </c>
      <c r="I20" s="37">
        <f t="shared" si="2"/>
      </c>
      <c r="J20" s="37">
        <f t="shared" si="2"/>
      </c>
      <c r="K20" s="37">
        <f t="shared" si="2"/>
      </c>
      <c r="L20" s="37">
        <f t="shared" si="2"/>
      </c>
      <c r="M20" s="37">
        <f t="shared" si="2"/>
      </c>
      <c r="N20" s="37">
        <f t="shared" si="2"/>
      </c>
      <c r="O20" s="37">
        <f t="shared" si="2"/>
      </c>
      <c r="P20" s="37">
        <f t="shared" si="2"/>
      </c>
      <c r="Q20" s="37">
        <f t="shared" si="2"/>
      </c>
      <c r="R20" s="37">
        <f t="shared" si="2"/>
      </c>
      <c r="S20" s="38">
        <f>S19*(1-C5)</f>
        <v>3111.2423999999996</v>
      </c>
      <c r="T20" s="24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0" s="19" customFormat="1" ht="12.7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9"/>
      <c r="T21" s="1"/>
    </row>
    <row r="22" spans="1:20" s="19" customFormat="1" ht="12.75">
      <c r="A22" s="29" t="s">
        <v>45</v>
      </c>
      <c r="B22" s="30" t="s">
        <v>0</v>
      </c>
      <c r="C22" s="30"/>
      <c r="D22" s="37">
        <f>IF(D17="","",D20/(1+$C$8)^D17)</f>
        <v>1221.4285714285716</v>
      </c>
      <c r="E22" s="37">
        <f aca="true" t="shared" si="3" ref="E22:R22">IF(E17="","",E20/(1+$C$8)^E17)</f>
        <v>1243.2397959183672</v>
      </c>
      <c r="F22" s="37">
        <f t="shared" si="3"/>
        <v>1265.4405065597664</v>
      </c>
      <c r="G22" s="37">
        <f t="shared" si="3"/>
      </c>
      <c r="H22" s="37">
        <f t="shared" si="3"/>
      </c>
      <c r="I22" s="37">
        <f t="shared" si="3"/>
      </c>
      <c r="J22" s="37">
        <f t="shared" si="3"/>
      </c>
      <c r="K22" s="37">
        <f t="shared" si="3"/>
      </c>
      <c r="L22" s="37">
        <f t="shared" si="3"/>
      </c>
      <c r="M22" s="37">
        <f t="shared" si="3"/>
      </c>
      <c r="N22" s="37">
        <f t="shared" si="3"/>
      </c>
      <c r="O22" s="37">
        <f t="shared" si="3"/>
      </c>
      <c r="P22" s="37">
        <f t="shared" si="3"/>
      </c>
      <c r="Q22" s="37">
        <f t="shared" si="3"/>
      </c>
      <c r="R22" s="37">
        <f t="shared" si="3"/>
      </c>
      <c r="S22" s="39"/>
      <c r="T22" s="25"/>
    </row>
    <row r="23" spans="1:19" ht="12.75">
      <c r="A23" s="29" t="s">
        <v>46</v>
      </c>
      <c r="B23" s="30" t="s">
        <v>5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8">
        <f>S20/(C9-C13)</f>
        <v>103708.07999999999</v>
      </c>
    </row>
    <row r="24" spans="1:19" ht="13.5" thickBot="1">
      <c r="A24" s="31" t="s">
        <v>47</v>
      </c>
      <c r="B24" s="32" t="s">
        <v>48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>
        <f>S23/(1+C8)^MAX(C17:R17)</f>
        <v>73817.36288265303</v>
      </c>
    </row>
    <row r="25" spans="1:156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</row>
    <row r="26" spans="1:156" ht="12.75">
      <c r="A26" s="16" t="s">
        <v>21</v>
      </c>
      <c r="B26" s="9" t="s">
        <v>6</v>
      </c>
      <c r="C26" s="16">
        <f>SUM(D22:R22)+S24</f>
        <v>77547.47175655974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</row>
    <row r="27" spans="3:156" ht="12.75">
      <c r="C27" s="15">
        <f>D20*(1-(1+C12)^C2/(1+C8)^C2)/(C8-C12)+S20/(C9-C13)/(1+C8)^C2</f>
        <v>77547.47175655971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</row>
    <row r="28" ht="12.75"/>
    <row r="29" ht="12.75"/>
    <row r="30" ht="12.75"/>
    <row r="31" ht="12.75"/>
    <row r="32" ht="12.75"/>
    <row r="33" spans="4:256" ht="12.75">
      <c r="D33" s="5"/>
      <c r="E33" s="5"/>
      <c r="F33" s="5"/>
      <c r="G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5" ht="12.75">
      <c r="A35" s="12"/>
    </row>
  </sheetData>
  <sheetProtection password="89BB" sheet="1" formatCells="0"/>
  <printOptions/>
  <pageMargins left="0.75" right="0.75" top="1" bottom="1" header="0.5" footer="0.5"/>
  <pageSetup horizontalDpi="600" verticalDpi="600" orientation="landscape" r:id="rId4"/>
  <ignoredErrors>
    <ignoredError sqref="C4:U32" unlockedFormula="1"/>
  </ignoredErrors>
  <legacyDrawing r:id="rId3"/>
  <oleObjects>
    <oleObject progId="Equation.DSMT4" shapeId="273598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47.8515625" style="1" bestFit="1" customWidth="1"/>
    <col min="2" max="2" width="7.28125" style="1" bestFit="1" customWidth="1"/>
    <col min="3" max="19" width="8.421875" style="1" customWidth="1"/>
    <col min="20" max="16384" width="9.140625" style="1" customWidth="1"/>
  </cols>
  <sheetData>
    <row r="1" spans="1:2" ht="12.75">
      <c r="A1" s="9" t="s">
        <v>7</v>
      </c>
      <c r="B1" s="10"/>
    </row>
    <row r="2" spans="1:3" ht="15.75">
      <c r="A2" s="26" t="s">
        <v>38</v>
      </c>
      <c r="B2" s="10" t="s">
        <v>50</v>
      </c>
      <c r="C2" s="17">
        <v>5</v>
      </c>
    </row>
    <row r="3" spans="1:3" ht="15.75">
      <c r="A3" s="26" t="s">
        <v>49</v>
      </c>
      <c r="B3" s="10" t="s">
        <v>51</v>
      </c>
      <c r="C3" s="17">
        <v>4</v>
      </c>
    </row>
    <row r="4" spans="1:4" ht="12.75">
      <c r="A4" s="26" t="s">
        <v>52</v>
      </c>
      <c r="B4" s="10" t="s">
        <v>39</v>
      </c>
      <c r="C4" s="17">
        <f>C2+C3</f>
        <v>9</v>
      </c>
      <c r="D4" s="18">
        <f>IF(C4&lt;16,"","Tối đa cả 2 giai đoạn chỉ được 15 năm")</f>
      </c>
    </row>
    <row r="5" spans="1:3" ht="15.75">
      <c r="A5" s="10" t="s">
        <v>8</v>
      </c>
      <c r="B5" s="10" t="s">
        <v>9</v>
      </c>
      <c r="C5" s="2">
        <v>33.27</v>
      </c>
    </row>
    <row r="6" spans="1:3" ht="14.25">
      <c r="A6" s="10" t="s">
        <v>34</v>
      </c>
      <c r="B6" s="11" t="s">
        <v>35</v>
      </c>
      <c r="C6" s="42">
        <f>1-16.53%</f>
        <v>0.8347</v>
      </c>
    </row>
    <row r="7" spans="1:3" ht="14.25">
      <c r="A7" s="10" t="s">
        <v>36</v>
      </c>
      <c r="B7" s="11" t="s">
        <v>37</v>
      </c>
      <c r="C7" s="42">
        <f>1-65.22%</f>
        <v>0.3478</v>
      </c>
    </row>
    <row r="8" spans="1:3" ht="15.75">
      <c r="A8" s="10" t="s">
        <v>23</v>
      </c>
      <c r="B8" s="10" t="s">
        <v>24</v>
      </c>
      <c r="C8" s="42">
        <v>0.2322</v>
      </c>
    </row>
    <row r="9" spans="1:3" ht="15.75">
      <c r="A9" s="10" t="s">
        <v>25</v>
      </c>
      <c r="B9" s="10" t="s">
        <v>26</v>
      </c>
      <c r="C9" s="42">
        <v>0.115</v>
      </c>
    </row>
    <row r="10" spans="1:3" ht="15.75">
      <c r="A10" s="10" t="s">
        <v>27</v>
      </c>
      <c r="B10" s="10" t="s">
        <v>29</v>
      </c>
      <c r="C10" s="42">
        <v>0.137</v>
      </c>
    </row>
    <row r="11" spans="1:3" ht="15.75">
      <c r="A11" s="10" t="s">
        <v>28</v>
      </c>
      <c r="B11" s="10" t="s">
        <v>30</v>
      </c>
      <c r="C11" s="43">
        <v>0.115</v>
      </c>
    </row>
    <row r="12" spans="1:2" ht="12.75">
      <c r="A12" s="10"/>
      <c r="B12" s="10"/>
    </row>
    <row r="13" spans="1:3" ht="12.75">
      <c r="A13" s="9" t="s">
        <v>22</v>
      </c>
      <c r="B13" s="10"/>
      <c r="C13" s="4"/>
    </row>
    <row r="14" spans="1:3" ht="15.75">
      <c r="A14" s="10" t="s">
        <v>31</v>
      </c>
      <c r="B14" s="10" t="s">
        <v>32</v>
      </c>
      <c r="C14" s="33">
        <f>C6*C8</f>
        <v>0.19381734</v>
      </c>
    </row>
    <row r="15" spans="1:3" ht="15.75">
      <c r="A15" s="10" t="s">
        <v>14</v>
      </c>
      <c r="B15" s="10" t="s">
        <v>33</v>
      </c>
      <c r="C15" s="33">
        <f>C7*C9</f>
        <v>0.039997000000000005</v>
      </c>
    </row>
    <row r="16" spans="1:3" ht="15.75">
      <c r="A16" s="10" t="s">
        <v>15</v>
      </c>
      <c r="B16" s="10" t="s">
        <v>16</v>
      </c>
      <c r="C16" s="15">
        <f>C5*(1+C14)</f>
        <v>39.71830290180001</v>
      </c>
    </row>
    <row r="17" spans="1:3" ht="15.75">
      <c r="A17" s="10" t="s">
        <v>44</v>
      </c>
      <c r="B17" s="10" t="s">
        <v>18</v>
      </c>
      <c r="C17" s="15">
        <f>C16*(1-C6)</f>
        <v>6.565435469667541</v>
      </c>
    </row>
    <row r="18" spans="1:2" ht="13.5" thickBot="1">
      <c r="A18" s="10"/>
      <c r="B18" s="10"/>
    </row>
    <row r="19" spans="1:19" ht="12.75">
      <c r="A19" s="27" t="s">
        <v>40</v>
      </c>
      <c r="B19" s="28"/>
      <c r="C19" s="28">
        <v>0</v>
      </c>
      <c r="D19" s="28">
        <f>IF($C$4&lt;1,"",1)</f>
        <v>1</v>
      </c>
      <c r="E19" s="28">
        <f>IF($C$4&lt;2,"",2)</f>
        <v>2</v>
      </c>
      <c r="F19" s="28">
        <f>IF($C$4&lt;3,"",3)</f>
        <v>3</v>
      </c>
      <c r="G19" s="28">
        <f>IF($C$4&lt;4,"",4)</f>
        <v>4</v>
      </c>
      <c r="H19" s="28">
        <f>IF($C$4&lt;5,"",5)</f>
        <v>5</v>
      </c>
      <c r="I19" s="28">
        <f>IF($C$4&lt;6,"",6)</f>
        <v>6</v>
      </c>
      <c r="J19" s="28">
        <f>IF($C$4&lt;7,"",7)</f>
        <v>7</v>
      </c>
      <c r="K19" s="28">
        <f>IF($C$4&lt;8,"",8)</f>
        <v>8</v>
      </c>
      <c r="L19" s="28">
        <f>IF($C$4&lt;9,"",9)</f>
        <v>9</v>
      </c>
      <c r="M19" s="28">
        <f>IF($C$4&lt;10,"",10)</f>
      </c>
      <c r="N19" s="28">
        <f>IF($C$4&lt;11,"",11)</f>
      </c>
      <c r="O19" s="28">
        <f>IF($C$4&lt;12,"",12)</f>
      </c>
      <c r="P19" s="28">
        <f>IF($C$4&lt;13,"",13)</f>
      </c>
      <c r="Q19" s="28">
        <f>IF($C$4&lt;14,"",14)</f>
      </c>
      <c r="R19" s="28">
        <f>IF($C$4&lt;15,"",15)</f>
      </c>
      <c r="S19" s="34">
        <f>MAX(C19:R19)+1</f>
        <v>10</v>
      </c>
    </row>
    <row r="20" spans="1:19" ht="12.75">
      <c r="A20" s="29" t="s">
        <v>41</v>
      </c>
      <c r="B20" s="30" t="s">
        <v>4</v>
      </c>
      <c r="C20" s="30"/>
      <c r="D20" s="44">
        <f aca="true" t="shared" si="0" ref="D20:R20">IF(D19="","",IF(D19-1&lt;$C$2,$C$14,$C$14-($C$14-$C$15)/($S$19-$C$2)*(D19-$C$2)))</f>
        <v>0.19381734</v>
      </c>
      <c r="E20" s="44">
        <f t="shared" si="0"/>
        <v>0.19381734</v>
      </c>
      <c r="F20" s="44">
        <f t="shared" si="0"/>
        <v>0.19381734</v>
      </c>
      <c r="G20" s="44">
        <f t="shared" si="0"/>
        <v>0.19381734</v>
      </c>
      <c r="H20" s="44">
        <f t="shared" si="0"/>
        <v>0.19381734</v>
      </c>
      <c r="I20" s="44">
        <f t="shared" si="0"/>
        <v>0.163053272</v>
      </c>
      <c r="J20" s="44">
        <f t="shared" si="0"/>
        <v>0.132289204</v>
      </c>
      <c r="K20" s="44">
        <f t="shared" si="0"/>
        <v>0.10152513600000002</v>
      </c>
      <c r="L20" s="44">
        <f t="shared" si="0"/>
        <v>0.07076106800000001</v>
      </c>
      <c r="M20" s="44">
        <f t="shared" si="0"/>
      </c>
      <c r="N20" s="44">
        <f t="shared" si="0"/>
      </c>
      <c r="O20" s="44">
        <f t="shared" si="0"/>
      </c>
      <c r="P20" s="44">
        <f t="shared" si="0"/>
      </c>
      <c r="Q20" s="44">
        <f t="shared" si="0"/>
      </c>
      <c r="R20" s="44">
        <f t="shared" si="0"/>
      </c>
      <c r="S20" s="45">
        <f>$C$15</f>
        <v>0.039997000000000005</v>
      </c>
    </row>
    <row r="21" spans="1:19" ht="12.75">
      <c r="A21" s="10" t="s">
        <v>10</v>
      </c>
      <c r="B21" s="30"/>
      <c r="C21" s="30"/>
      <c r="D21" s="44">
        <f aca="true" t="shared" si="1" ref="D21:R21">IF(D19="","",IF(D19-1&lt;$C$2,$C$6,$C$6-($C$6-$C$7)/($S$19-$C$2)*(D19-$C$2)))</f>
        <v>0.8347</v>
      </c>
      <c r="E21" s="44">
        <f t="shared" si="1"/>
        <v>0.8347</v>
      </c>
      <c r="F21" s="44">
        <f t="shared" si="1"/>
        <v>0.8347</v>
      </c>
      <c r="G21" s="44">
        <f t="shared" si="1"/>
        <v>0.8347</v>
      </c>
      <c r="H21" s="44">
        <f t="shared" si="1"/>
        <v>0.8347</v>
      </c>
      <c r="I21" s="44">
        <f t="shared" si="1"/>
        <v>0.73732</v>
      </c>
      <c r="J21" s="44">
        <f t="shared" si="1"/>
        <v>0.63994</v>
      </c>
      <c r="K21" s="44">
        <f t="shared" si="1"/>
        <v>0.54256</v>
      </c>
      <c r="L21" s="44">
        <f t="shared" si="1"/>
        <v>0.44518</v>
      </c>
      <c r="M21" s="44">
        <f t="shared" si="1"/>
      </c>
      <c r="N21" s="44">
        <f t="shared" si="1"/>
      </c>
      <c r="O21" s="44">
        <f t="shared" si="1"/>
      </c>
      <c r="P21" s="44">
        <f t="shared" si="1"/>
      </c>
      <c r="Q21" s="44">
        <f t="shared" si="1"/>
      </c>
      <c r="R21" s="44">
        <f t="shared" si="1"/>
      </c>
      <c r="S21" s="45">
        <f>C7</f>
        <v>0.3478</v>
      </c>
    </row>
    <row r="22" spans="1:19" ht="12.75">
      <c r="A22" s="29" t="s">
        <v>42</v>
      </c>
      <c r="B22" s="30" t="s">
        <v>1</v>
      </c>
      <c r="C22" s="30"/>
      <c r="D22" s="37">
        <f>IF(D19="","",C16)</f>
        <v>39.71830290180001</v>
      </c>
      <c r="E22" s="37">
        <f aca="true" t="shared" si="2" ref="E22:R22">IF(E19="","",D22*(1+E20))</f>
        <v>47.41639871954117</v>
      </c>
      <c r="F22" s="37">
        <f t="shared" si="2"/>
        <v>56.60651899174205</v>
      </c>
      <c r="G22" s="37">
        <f t="shared" si="2"/>
        <v>67.57784392938098</v>
      </c>
      <c r="H22" s="37">
        <f t="shared" si="2"/>
        <v>80.67560188270875</v>
      </c>
      <c r="I22" s="37">
        <f t="shared" si="2"/>
        <v>93.83002274025377</v>
      </c>
      <c r="J22" s="37">
        <f t="shared" si="2"/>
        <v>106.24272175986384</v>
      </c>
      <c r="K22" s="37">
        <f t="shared" si="2"/>
        <v>117.02902853554417</v>
      </c>
      <c r="L22" s="37">
        <f t="shared" si="2"/>
        <v>125.31012758172174</v>
      </c>
      <c r="M22" s="37">
        <f t="shared" si="2"/>
      </c>
      <c r="N22" s="37">
        <f t="shared" si="2"/>
      </c>
      <c r="O22" s="37">
        <f t="shared" si="2"/>
      </c>
      <c r="P22" s="37">
        <f t="shared" si="2"/>
      </c>
      <c r="Q22" s="37">
        <f t="shared" si="2"/>
      </c>
      <c r="R22" s="37">
        <f t="shared" si="2"/>
      </c>
      <c r="S22" s="38">
        <f>MAX(D22:R22)*(1+S20)</f>
        <v>130.32215675460787</v>
      </c>
    </row>
    <row r="23" spans="1:19" ht="12.75">
      <c r="A23" s="29" t="s">
        <v>43</v>
      </c>
      <c r="B23" s="30" t="s">
        <v>2</v>
      </c>
      <c r="C23" s="30"/>
      <c r="D23" s="37">
        <f>IF(D19="","",D22*(1-D21))</f>
        <v>6.565435469667541</v>
      </c>
      <c r="E23" s="37">
        <f aca="true" t="shared" si="3" ref="E23:R23">IF(E19="","",E22*(1-E21))</f>
        <v>7.8379307083401555</v>
      </c>
      <c r="F23" s="37">
        <f t="shared" si="3"/>
        <v>9.35705758933496</v>
      </c>
      <c r="G23" s="37">
        <f t="shared" si="3"/>
        <v>11.170617601526676</v>
      </c>
      <c r="H23" s="37">
        <f t="shared" si="3"/>
        <v>13.335676991211756</v>
      </c>
      <c r="I23" s="37">
        <f t="shared" si="3"/>
        <v>24.64727037340986</v>
      </c>
      <c r="J23" s="37">
        <f t="shared" si="3"/>
        <v>38.25375439685658</v>
      </c>
      <c r="K23" s="37">
        <f t="shared" si="3"/>
        <v>53.53375881329932</v>
      </c>
      <c r="L23" s="37">
        <f t="shared" si="3"/>
        <v>69.52456498489086</v>
      </c>
      <c r="M23" s="37">
        <f t="shared" si="3"/>
      </c>
      <c r="N23" s="37">
        <f t="shared" si="3"/>
      </c>
      <c r="O23" s="37">
        <f t="shared" si="3"/>
      </c>
      <c r="P23" s="37">
        <f t="shared" si="3"/>
      </c>
      <c r="Q23" s="37">
        <f t="shared" si="3"/>
      </c>
      <c r="R23" s="37">
        <f t="shared" si="3"/>
      </c>
      <c r="S23" s="38">
        <f>S22*(1-C7)</f>
        <v>84.99611063535525</v>
      </c>
    </row>
    <row r="24" spans="1:19" ht="15.75">
      <c r="A24" s="29" t="s">
        <v>19</v>
      </c>
      <c r="B24" s="10" t="s">
        <v>20</v>
      </c>
      <c r="C24" s="30"/>
      <c r="D24" s="44">
        <f aca="true" t="shared" si="4" ref="D24:R24">IF(D19="","",IF(D19-1&lt;$C$2,$C$10,$C$10-($C$10-$C$11)/($S$19-$C$2)*(D19-$C$2)))</f>
        <v>0.137</v>
      </c>
      <c r="E24" s="44">
        <f t="shared" si="4"/>
        <v>0.137</v>
      </c>
      <c r="F24" s="44">
        <f t="shared" si="4"/>
        <v>0.137</v>
      </c>
      <c r="G24" s="44">
        <f t="shared" si="4"/>
        <v>0.137</v>
      </c>
      <c r="H24" s="44">
        <f t="shared" si="4"/>
        <v>0.137</v>
      </c>
      <c r="I24" s="44">
        <f t="shared" si="4"/>
        <v>0.1326</v>
      </c>
      <c r="J24" s="44">
        <f t="shared" si="4"/>
        <v>0.1282</v>
      </c>
      <c r="K24" s="44">
        <f t="shared" si="4"/>
        <v>0.12380000000000001</v>
      </c>
      <c r="L24" s="44">
        <f t="shared" si="4"/>
        <v>0.1194</v>
      </c>
      <c r="M24" s="44">
        <f t="shared" si="4"/>
      </c>
      <c r="N24" s="44">
        <f t="shared" si="4"/>
      </c>
      <c r="O24" s="44">
        <f t="shared" si="4"/>
      </c>
      <c r="P24" s="44">
        <f t="shared" si="4"/>
      </c>
      <c r="Q24" s="44">
        <f t="shared" si="4"/>
      </c>
      <c r="R24" s="44">
        <f t="shared" si="4"/>
      </c>
      <c r="S24" s="46">
        <f>C11</f>
        <v>0.115</v>
      </c>
    </row>
    <row r="25" spans="1:19" ht="12.75">
      <c r="A25" s="29" t="s">
        <v>53</v>
      </c>
      <c r="B25" s="30"/>
      <c r="C25" s="30"/>
      <c r="D25" s="47">
        <f>IF(D19="","",(1+D24))</f>
        <v>1.137</v>
      </c>
      <c r="E25" s="47">
        <f aca="true" t="shared" si="5" ref="E25:L25">IF(E19="","",D25*(1+E24))</f>
        <v>1.292769</v>
      </c>
      <c r="F25" s="47">
        <f t="shared" si="5"/>
        <v>1.4698783530000001</v>
      </c>
      <c r="G25" s="47">
        <f t="shared" si="5"/>
        <v>1.6712516873610002</v>
      </c>
      <c r="H25" s="47">
        <f t="shared" si="5"/>
        <v>1.9002131685294572</v>
      </c>
      <c r="I25" s="47">
        <f t="shared" si="5"/>
        <v>2.1521814346764634</v>
      </c>
      <c r="J25" s="47">
        <f t="shared" si="5"/>
        <v>2.428091094601986</v>
      </c>
      <c r="K25" s="47">
        <f t="shared" si="5"/>
        <v>2.7286887721137116</v>
      </c>
      <c r="L25" s="47">
        <f t="shared" si="5"/>
        <v>3.0544942115040885</v>
      </c>
      <c r="M25" s="47">
        <f aca="true" t="shared" si="6" ref="M25:R25">IF(M19="","",L25*(1+M24))</f>
      </c>
      <c r="N25" s="47">
        <f t="shared" si="6"/>
      </c>
      <c r="O25" s="47">
        <f t="shared" si="6"/>
      </c>
      <c r="P25" s="47">
        <f t="shared" si="6"/>
      </c>
      <c r="Q25" s="47">
        <f t="shared" si="6"/>
      </c>
      <c r="R25" s="47">
        <f t="shared" si="6"/>
      </c>
      <c r="S25" s="46"/>
    </row>
    <row r="26" spans="1:19" ht="12.75">
      <c r="A26" s="29" t="s">
        <v>45</v>
      </c>
      <c r="B26" s="30" t="s">
        <v>0</v>
      </c>
      <c r="C26" s="30"/>
      <c r="D26" s="37">
        <f>IF(D19="","",D23/D25)</f>
        <v>5.774349577544012</v>
      </c>
      <c r="E26" s="37">
        <f aca="true" t="shared" si="7" ref="E26:R26">IF(E19="","",E23/E25)</f>
        <v>6.0629011898801375</v>
      </c>
      <c r="F26" s="37">
        <f t="shared" si="7"/>
        <v>6.365872094270484</v>
      </c>
      <c r="G26" s="37">
        <f t="shared" si="7"/>
        <v>6.683982841127721</v>
      </c>
      <c r="H26" s="37">
        <f t="shared" si="7"/>
        <v>7.017989987687545</v>
      </c>
      <c r="I26" s="37">
        <f t="shared" si="7"/>
        <v>11.452227017800233</v>
      </c>
      <c r="J26" s="37">
        <f t="shared" si="7"/>
        <v>15.754661957247182</v>
      </c>
      <c r="K26" s="37">
        <f t="shared" si="7"/>
        <v>19.6188584643278</v>
      </c>
      <c r="L26" s="37">
        <f t="shared" si="7"/>
        <v>22.761400143775585</v>
      </c>
      <c r="M26" s="37">
        <f t="shared" si="7"/>
      </c>
      <c r="N26" s="37">
        <f t="shared" si="7"/>
      </c>
      <c r="O26" s="37">
        <f t="shared" si="7"/>
      </c>
      <c r="P26" s="37">
        <f t="shared" si="7"/>
      </c>
      <c r="Q26" s="37">
        <f t="shared" si="7"/>
      </c>
      <c r="R26" s="37">
        <f t="shared" si="7"/>
      </c>
      <c r="S26" s="39"/>
    </row>
    <row r="27" spans="1:19" ht="12.75">
      <c r="A27" s="29" t="s">
        <v>46</v>
      </c>
      <c r="B27" s="30" t="s">
        <v>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8">
        <f>S23/(C11-C15)</f>
        <v>1133.2361456922424</v>
      </c>
    </row>
    <row r="28" spans="1:19" ht="13.5" thickBot="1">
      <c r="A28" s="31" t="s">
        <v>47</v>
      </c>
      <c r="B28" s="32" t="s">
        <v>48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>
        <f>S27/MAX(C25:R25)</f>
        <v>371.00615264686206</v>
      </c>
    </row>
    <row r="29" spans="1:26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5"/>
      <c r="U29" s="5"/>
      <c r="V29" s="5"/>
      <c r="W29" s="5"/>
      <c r="X29" s="5"/>
      <c r="Y29" s="5"/>
      <c r="Z29" s="5"/>
    </row>
    <row r="30" spans="1:26" ht="12.75">
      <c r="A30" s="16" t="s">
        <v>21</v>
      </c>
      <c r="B30" s="9" t="s">
        <v>6</v>
      </c>
      <c r="C30" s="16">
        <f>SUM(D26:R26)+S28</f>
        <v>472.49839592052274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5"/>
      <c r="U30" s="5"/>
      <c r="V30" s="5"/>
      <c r="W30" s="5"/>
      <c r="X30" s="5"/>
      <c r="Y30" s="5"/>
      <c r="Z30" s="5"/>
    </row>
    <row r="31" spans="3:26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sheetProtection password="89BB" sheet="1" formatCells="0"/>
  <printOptions/>
  <pageMargins left="0.75" right="0.75" top="1" bottom="1" header="0.5" footer="0.5"/>
  <pageSetup horizontalDpi="600" verticalDpi="600" orientation="portrait" paperSize="9" r:id="rId3"/>
  <ignoredErrors>
    <ignoredError sqref="C4:U13 C18:U32 C14:U14 D15:U17 C15:C17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Fulbright Economics Teaching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Xuan Thanh</dc:creator>
  <cp:keywords/>
  <dc:description/>
  <cp:lastModifiedBy> </cp:lastModifiedBy>
  <cp:lastPrinted>2010-02-26T09:16:08Z</cp:lastPrinted>
  <dcterms:created xsi:type="dcterms:W3CDTF">2009-02-03T09:48:29Z</dcterms:created>
  <dcterms:modified xsi:type="dcterms:W3CDTF">2012-03-06T02:09:11Z</dcterms:modified>
  <cp:category/>
  <cp:version/>
  <cp:contentType/>
  <cp:contentStatus/>
</cp:coreProperties>
</file>