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0955" windowHeight="9975"/>
  </bookViews>
  <sheets>
    <sheet name="Inputs" sheetId="1" r:id="rId1"/>
    <sheet name="Valuation" sheetId="2" r:id="rId2"/>
    <sheet name="Normalizer" sheetId="3" r:id="rId3"/>
    <sheet name="Beta" sheetId="5" r:id="rId4"/>
  </sheets>
  <calcPr calcId="125725"/>
</workbook>
</file>

<file path=xl/calcChain.xml><?xml version="1.0" encoding="utf-8"?>
<calcChain xmlns="http://schemas.openxmlformats.org/spreadsheetml/2006/main">
  <c r="B50" i="1"/>
  <c r="F20" i="3"/>
  <c r="E20"/>
  <c r="D20"/>
  <c r="C20"/>
  <c r="D5" s="1"/>
  <c r="B20"/>
  <c r="F19"/>
  <c r="E19"/>
  <c r="D19"/>
  <c r="C19"/>
  <c r="B19"/>
  <c r="B48" i="2"/>
  <c r="B46"/>
  <c r="J29"/>
  <c r="J38" s="1"/>
  <c r="J33" l="1"/>
  <c r="J32"/>
  <c r="J37"/>
  <c r="J35"/>
  <c r="J34"/>
  <c r="J40"/>
  <c r="J39"/>
  <c r="J30"/>
  <c r="J31"/>
  <c r="J36"/>
  <c r="L29"/>
  <c r="K29"/>
  <c r="I29"/>
  <c r="H29"/>
  <c r="G29"/>
  <c r="F29"/>
  <c r="E29"/>
  <c r="D29"/>
  <c r="C29"/>
  <c r="C18"/>
  <c r="C19" s="1"/>
  <c r="C20" s="1"/>
  <c r="C17"/>
  <c r="D24"/>
  <c r="M32" s="1"/>
  <c r="C23"/>
  <c r="C24"/>
  <c r="C15" s="1"/>
  <c r="C21"/>
  <c r="C22" s="1"/>
  <c r="D23"/>
  <c r="M34" s="1"/>
  <c r="D21"/>
  <c r="D18"/>
  <c r="D19" s="1"/>
  <c r="D20" s="1"/>
  <c r="D17"/>
  <c r="D22" s="1"/>
  <c r="D15"/>
  <c r="M30" s="1"/>
  <c r="C14"/>
  <c r="H63" i="5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H4"/>
  <c r="G4"/>
  <c r="L38" i="2" l="1"/>
  <c r="L36"/>
  <c r="L31"/>
  <c r="L30"/>
  <c r="L39"/>
  <c r="L40"/>
  <c r="L34"/>
  <c r="L35"/>
  <c r="L37"/>
  <c r="L32"/>
  <c r="L33"/>
  <c r="K40"/>
  <c r="K34"/>
  <c r="K35"/>
  <c r="K37"/>
  <c r="K32"/>
  <c r="K33"/>
  <c r="K38"/>
  <c r="K36"/>
  <c r="K31"/>
  <c r="K30"/>
  <c r="K39"/>
  <c r="C32"/>
  <c r="C30"/>
  <c r="C31" s="1"/>
  <c r="E32"/>
  <c r="E30"/>
  <c r="G32"/>
  <c r="G30"/>
  <c r="I32"/>
  <c r="I30"/>
  <c r="D32"/>
  <c r="D30"/>
  <c r="F32"/>
  <c r="F30"/>
  <c r="H32"/>
  <c r="H30"/>
  <c r="B34"/>
  <c r="D8" i="3"/>
  <c r="G19"/>
  <c r="D16" i="1"/>
  <c r="B16"/>
  <c r="C7" i="2" s="1"/>
  <c r="C34" s="1"/>
  <c r="B98" i="1"/>
  <c r="B94"/>
  <c r="B93"/>
  <c r="B92"/>
  <c r="B91"/>
  <c r="B88"/>
  <c r="B87"/>
  <c r="B86"/>
  <c r="B85"/>
  <c r="B67"/>
  <c r="B90"/>
  <c r="B54"/>
  <c r="B48"/>
  <c r="B7"/>
  <c r="B8"/>
  <c r="B9"/>
  <c r="C4" i="2" s="1"/>
  <c r="B12" i="1"/>
  <c r="B13"/>
  <c r="B15"/>
  <c r="C6" i="2" s="1"/>
  <c r="B17" i="1"/>
  <c r="B18"/>
  <c r="B19"/>
  <c r="B20"/>
  <c r="B21"/>
  <c r="B22"/>
  <c r="B25"/>
  <c r="B26"/>
  <c r="B28"/>
  <c r="C12" i="2" s="1"/>
  <c r="B6" i="1"/>
  <c r="C8" i="2" s="1"/>
  <c r="F28" i="1"/>
  <c r="J27"/>
  <c r="I27"/>
  <c r="H27"/>
  <c r="G27"/>
  <c r="F27"/>
  <c r="E27"/>
  <c r="D27"/>
  <c r="B27" s="1"/>
  <c r="J23"/>
  <c r="I23"/>
  <c r="H23"/>
  <c r="G23"/>
  <c r="F23"/>
  <c r="E23"/>
  <c r="D23"/>
  <c r="J18"/>
  <c r="J17"/>
  <c r="I17"/>
  <c r="J16"/>
  <c r="I16"/>
  <c r="H16"/>
  <c r="G16"/>
  <c r="F16"/>
  <c r="E16"/>
  <c r="J14"/>
  <c r="G14"/>
  <c r="F14"/>
  <c r="E14"/>
  <c r="D14"/>
  <c r="B14" s="1"/>
  <c r="C5" i="2" s="1"/>
  <c r="I13" i="1"/>
  <c r="I14" s="1"/>
  <c r="H13"/>
  <c r="H14" s="1"/>
  <c r="J11"/>
  <c r="I11"/>
  <c r="H11"/>
  <c r="F11"/>
  <c r="E11"/>
  <c r="D11"/>
  <c r="B11" s="1"/>
  <c r="J10"/>
  <c r="I10"/>
  <c r="H10"/>
  <c r="F10"/>
  <c r="E10"/>
  <c r="D10"/>
  <c r="B10" s="1"/>
  <c r="G9"/>
  <c r="G11" s="1"/>
  <c r="C16" i="2" l="1"/>
  <c r="C25" s="1"/>
  <c r="D31"/>
  <c r="E31" s="1"/>
  <c r="F31" s="1"/>
  <c r="G31" s="1"/>
  <c r="H31" s="1"/>
  <c r="I31" s="1"/>
  <c r="H34"/>
  <c r="F34"/>
  <c r="D34"/>
  <c r="G34"/>
  <c r="I34"/>
  <c r="E34"/>
  <c r="B35" i="1"/>
  <c r="B66" s="1"/>
  <c r="C11" i="2"/>
  <c r="B75" i="1"/>
  <c r="C2" i="2"/>
  <c r="C3" s="1"/>
  <c r="B33" s="1"/>
  <c r="B103" i="1"/>
  <c r="B89"/>
  <c r="B21" i="3"/>
  <c r="D21"/>
  <c r="F21"/>
  <c r="C21"/>
  <c r="E21"/>
  <c r="D24" i="1"/>
  <c r="B24" s="1"/>
  <c r="E24"/>
  <c r="G24"/>
  <c r="I24"/>
  <c r="F24"/>
  <c r="H24"/>
  <c r="B23"/>
  <c r="B41"/>
  <c r="B65"/>
  <c r="B97" s="1"/>
  <c r="G20" i="3"/>
  <c r="B61" i="1"/>
  <c r="B95"/>
  <c r="G10"/>
  <c r="D16" i="2" l="1"/>
  <c r="D25" s="1"/>
  <c r="E33"/>
  <c r="E35" s="1"/>
  <c r="E36" s="1"/>
  <c r="E37" s="1"/>
  <c r="G33"/>
  <c r="G35" s="1"/>
  <c r="G36" s="1"/>
  <c r="G37" s="1"/>
  <c r="I33"/>
  <c r="I35" s="1"/>
  <c r="I36" s="1"/>
  <c r="I37" s="1"/>
  <c r="D33"/>
  <c r="F33"/>
  <c r="F35" s="1"/>
  <c r="F36" s="1"/>
  <c r="F37" s="1"/>
  <c r="H33"/>
  <c r="D35"/>
  <c r="D36" s="1"/>
  <c r="D37" s="1"/>
  <c r="H35"/>
  <c r="H36" s="1"/>
  <c r="H37" s="1"/>
  <c r="B35"/>
  <c r="C33"/>
  <c r="B70" i="1"/>
  <c r="C9" i="2"/>
  <c r="B76" i="1"/>
  <c r="C10" i="2"/>
  <c r="G21" i="3"/>
  <c r="D14"/>
  <c r="M38" i="2" l="1"/>
  <c r="I38"/>
  <c r="G38"/>
  <c r="H38"/>
  <c r="F38"/>
  <c r="D38"/>
  <c r="E38"/>
  <c r="C38"/>
  <c r="C39" s="1"/>
  <c r="M33"/>
  <c r="C35"/>
  <c r="D39" l="1"/>
  <c r="M35"/>
  <c r="M36" s="1"/>
  <c r="M37" s="1"/>
  <c r="M40" s="1"/>
  <c r="C36"/>
  <c r="C37" s="1"/>
  <c r="C40" s="1"/>
  <c r="E39" l="1"/>
  <c r="D40"/>
  <c r="F39" l="1"/>
  <c r="E40"/>
  <c r="G39" l="1"/>
  <c r="F40"/>
  <c r="H39" l="1"/>
  <c r="G40"/>
  <c r="I39" l="1"/>
  <c r="I40" s="1"/>
  <c r="H40"/>
  <c r="B44"/>
  <c r="B43" l="1"/>
  <c r="B45" s="1"/>
  <c r="B47" s="1"/>
  <c r="B49" s="1"/>
  <c r="B50" s="1"/>
</calcChain>
</file>

<file path=xl/sharedStrings.xml><?xml version="1.0" encoding="utf-8"?>
<sst xmlns="http://schemas.openxmlformats.org/spreadsheetml/2006/main" count="207" uniqueCount="173">
  <si>
    <t>Đơn vị: triệu đồng</t>
  </si>
  <si>
    <t>Có chuẩn hóa lợi nhuận hoạt động không?</t>
  </si>
  <si>
    <t>No</t>
  </si>
  <si>
    <t>Thông tin đầu vào</t>
  </si>
  <si>
    <t>Báo cáo tài chính</t>
  </si>
  <si>
    <t xml:space="preserve">Doanh thu  thuần </t>
  </si>
  <si>
    <t>Lợi nhuận ròng (NI)</t>
  </si>
  <si>
    <t>Lợi nhuận trước thuế (EBT)</t>
  </si>
  <si>
    <t xml:space="preserve">Chi phí lãi vay </t>
  </si>
  <si>
    <t>Lợi nhuận trước lãi vay và thuế (EBIT)</t>
  </si>
  <si>
    <t>Lợi nhuận từ đầu tư tài chính</t>
  </si>
  <si>
    <t>Chi đầu tư tài sản cố định</t>
  </si>
  <si>
    <t>Chi đầu tư góp vốn</t>
  </si>
  <si>
    <t>Chi đầu tư</t>
  </si>
  <si>
    <t xml:space="preserve">Khấu hao tài sản hữu hình và vô hình </t>
  </si>
  <si>
    <t xml:space="preserve">Thuế suất thuế thu nhập </t>
  </si>
  <si>
    <t>Tiền mặt và khoản tương đương tiền</t>
  </si>
  <si>
    <t>Đầu tư tài chính ngắn hạn</t>
  </si>
  <si>
    <t>Khoản phải thu</t>
  </si>
  <si>
    <t>Hàng tồn kho</t>
  </si>
  <si>
    <t>Tài sản ngắn hạn khác</t>
  </si>
  <si>
    <t>Nợ ngắn hạn</t>
  </si>
  <si>
    <t xml:space="preserve">Vốn lưu động không kể tiền mặt và chứng khoán </t>
  </si>
  <si>
    <t>Thay đổi vốn lưu động</t>
  </si>
  <si>
    <t>Nợ vay ngắn hạn</t>
  </si>
  <si>
    <t>Nợ vay dài hạn</t>
  </si>
  <si>
    <t>Giá trị sổ sách của nợ</t>
  </si>
  <si>
    <t>Giá trị sổ sách của vốn cổ phần</t>
  </si>
  <si>
    <t>Số liệu lịch sử</t>
  </si>
  <si>
    <t>Số liệu thị trường cho doanh nghiệp</t>
  </si>
  <si>
    <t>Cổ phiếu có mua bán trên thị trường không</t>
  </si>
  <si>
    <t>Yes</t>
  </si>
  <si>
    <t>Nếu có thì:</t>
  </si>
  <si>
    <t>Giá cổ phiếu hiện hành (đồng)</t>
  </si>
  <si>
    <t>Số lượng cố phiếu (triệu)</t>
  </si>
  <si>
    <t xml:space="preserve">Giá trị thị trường của nợ </t>
  </si>
  <si>
    <t>Nếu không có thì:</t>
  </si>
  <si>
    <t>Có sử dụng giá trị số sách để tính cơ cấu vốn không?</t>
  </si>
  <si>
    <t>Nếu không thì nhập tỷ lệ nợ sử dụng cho định giá</t>
  </si>
  <si>
    <t>Có sử dụng chi phí nợ theo báo cáo tài chính không?</t>
  </si>
  <si>
    <t xml:space="preserve">Chi phí nợ theo báo cáo tài chính </t>
  </si>
  <si>
    <t>Chi phí nợ theo thị trường và hạng mức tín dụng của DN</t>
  </si>
  <si>
    <t>Thông tin định giá</t>
  </si>
  <si>
    <t>Số năm tăng trưởng nhanh</t>
  </si>
  <si>
    <t>Số năm tăng trưởng giảm dần</t>
  </si>
  <si>
    <t>Tổng số năm tăng nhanh và giảm dần</t>
  </si>
  <si>
    <t>Hệ số beta tính trực tiếp từ TTCK Việt Nam</t>
  </si>
  <si>
    <t>Suất sinh lợi phi rủi ro Việt Nam hiện hành</t>
  </si>
  <si>
    <t>Suất sinh lợi VN-Index lịch sử</t>
  </si>
  <si>
    <t>Suất sinh lợi phi rủi ro Việt Nam lịch sử</t>
  </si>
  <si>
    <t>Chi phí vốn chủ sở hữu theo phương pháp trực tiếp</t>
  </si>
  <si>
    <t>Hệ số beta tính gián tiếp từ TTCK Hoa Kỳ</t>
  </si>
  <si>
    <t>Lãi suất phi rủi ro Hoa Kỳ</t>
  </si>
  <si>
    <t>Mức bù rủi ro thị trường Hoa Kỳ</t>
  </si>
  <si>
    <t>Mức bù rủi ro quốc gia</t>
  </si>
  <si>
    <t>Mức bù rủi ro tỷ giá</t>
  </si>
  <si>
    <t>Chi phí vốn chủ sở hữu theo phương pháp gián tiếp</t>
  </si>
  <si>
    <t>Sử dụng pháp pháp trực tiếp để tính chi phí vốn chủ sở hữu</t>
  </si>
  <si>
    <t>Tỷ lệ nợ tính theo giá trị sổ sách</t>
  </si>
  <si>
    <t>Tỷ lệ nợ tính theo giá trị thị trường</t>
  </si>
  <si>
    <t>Tỷ lệ nợ mục tiêu</t>
  </si>
  <si>
    <t>Sử dụng tỷ lệ nợ theo hình thức nào?</t>
  </si>
  <si>
    <t>Có sử dụng tỷ số vốn lưu động/doanh thu hiện hành không?</t>
  </si>
  <si>
    <t xml:space="preserve">Nếu có, tỷ số tính theo phần trăm </t>
  </si>
  <si>
    <t>Nếu không, nhập tỷ số sử dụng cho định giá</t>
  </si>
  <si>
    <t>Có tính tốc độ tăng trưởng dựa vào các yếu tố căn bản không?</t>
  </si>
  <si>
    <t>Nếu không, nhập tốc độ cho giai đoạn tăng trưởng nhanh</t>
  </si>
  <si>
    <t>Nếu có, thông tin để tính tốc độ tăng trưởng bao gồm:</t>
  </si>
  <si>
    <t xml:space="preserve">Suất sinh lợi trên vốn </t>
  </si>
  <si>
    <t xml:space="preserve">Tỷ lệ tái đầu tư </t>
  </si>
  <si>
    <t>Có muốn thay đổi các tỷ số này không?</t>
  </si>
  <si>
    <t>Có hiệu chỉnh dần dần thông tin đầu vào cho GĐ tăng trưởng ổn định không?</t>
  </si>
  <si>
    <t>Giai đoạn tăng trưởng ổn định</t>
  </si>
  <si>
    <t xml:space="preserve">Tốc độ tăng trưởng trong giai đoạn ổn định </t>
  </si>
  <si>
    <t>Tỷ lệ nợ cho giai đoạn tăng trưởng ổn định</t>
  </si>
  <si>
    <t>Chi phí nợ vay cho giai đoạn tăng trưởng ổn định</t>
  </si>
  <si>
    <t>Thuế suất trong giai đoạn tăng trưởng ổn định</t>
  </si>
  <si>
    <t>Tỷ lệ tái đầu tư trong giai đoạn ổn định</t>
  </si>
  <si>
    <t>Có muốn tính tỷ lệ tái đầu tư dựa vào các yếu tố căn bản không?</t>
  </si>
  <si>
    <t>Nếu có, nhập suất sinh lợi trên vốn của DN</t>
  </si>
  <si>
    <t>Nếu không, nhập tỷ lệ chi đầu tư trên khấu hao (%)</t>
  </si>
  <si>
    <t>Giai đoạn tăng trưởng nhanh</t>
  </si>
  <si>
    <t>Sử dụng pháp trực tiếp để tính chi phí vốn chủ sở hữu</t>
  </si>
  <si>
    <t>Lợi nhuận được chuẩn  hóa</t>
  </si>
  <si>
    <t>Phương pháp sử dụng để chuẩn hóa lợi nhuận</t>
  </si>
  <si>
    <t>Nếu sử dụng bình quân lịch sử</t>
  </si>
  <si>
    <t>Lợi nhuận trước lãi vay và thuế bình quân</t>
  </si>
  <si>
    <t>Nếu sử dụng suất sinh lợi trên vốn bình quân lịch sử</t>
  </si>
  <si>
    <t>Suất sinh lợi trên vốn trước thuế bình quân lịch sử</t>
  </si>
  <si>
    <t>Nếu sử dụng tỷ lệ bình quân ngành</t>
  </si>
  <si>
    <t>Lợi nhuận hoạt động trước thuế bình quân ngành</t>
  </si>
  <si>
    <t>Lợi nhuận trước lãi vay và thuế chuẩn hóa</t>
  </si>
  <si>
    <t>Bảng tính chuẩn hóa (số liệu lịch sử 5 năm)</t>
  </si>
  <si>
    <t>Total</t>
  </si>
  <si>
    <t>Doanh thu</t>
  </si>
  <si>
    <t>EBIT</t>
  </si>
  <si>
    <t>Tỷ suất lợi nhuận hoạt động</t>
  </si>
  <si>
    <t>Thời điểm định giá</t>
  </si>
  <si>
    <t>BẢNG THÔNG SỐ</t>
  </si>
  <si>
    <t>VNM (1000đ)</t>
  </si>
  <si>
    <t>Suất sinh lợi</t>
  </si>
  <si>
    <t>Date</t>
  </si>
  <si>
    <t>VN-Index</t>
  </si>
  <si>
    <t>Giá</t>
  </si>
  <si>
    <t>Cổ tức TM</t>
  </si>
  <si>
    <t>Cổ tức CP</t>
  </si>
  <si>
    <t>Giá cổ phiếu chia thưởng</t>
  </si>
  <si>
    <t>VNM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</si>
  <si>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</si>
  <si>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</si>
  <si>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</si>
  <si>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</si>
  <si>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</si>
  <si>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</si>
  <si>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</si>
  <si>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</si>
  <si>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</si>
  <si>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</si>
  <si>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</si>
  <si>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</si>
  <si>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</si>
  <si>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</si>
  <si>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</si>
  <si>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</si>
  <si>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</si>
  <si>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</si>
  <si>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</si>
  <si>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</si>
  <si>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</si>
  <si>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</si>
  <si>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</si>
  <si>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</si>
  <si>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Tóm tắt thông tin đầu vào</t>
  </si>
  <si>
    <t>EBIT chuẩn hóa</t>
  </si>
  <si>
    <t>EBIT hiệu chỉnh</t>
  </si>
  <si>
    <t>Chi phí lãi vay</t>
  </si>
  <si>
    <t>Khấu hao</t>
  </si>
  <si>
    <t>Thuế suất thuế thu nhập</t>
  </si>
  <si>
    <t>Doanh thu hiện hành</t>
  </si>
  <si>
    <t>Vốn lưu động không kể tiền mặt và chứng khoán hiện hành</t>
  </si>
  <si>
    <t>Số năm tăng trưởng nhanh =</t>
  </si>
  <si>
    <t>Mãi mãi</t>
  </si>
  <si>
    <t>Tốc độ tăng trưởng =</t>
  </si>
  <si>
    <t>Chi phí vốn chủ sở hữu</t>
  </si>
  <si>
    <t>Chi phí nợ vay</t>
  </si>
  <si>
    <t xml:space="preserve">Tỷ lệ nợ sử dụng để tính WACC </t>
  </si>
  <si>
    <t>Tỷ lệ vốn chủ sở hữu/(nợ + vốn chủ sở hữu)</t>
  </si>
  <si>
    <t>Tỷ lệ nợ/(nợ + vốn chủ sở hữu)</t>
  </si>
  <si>
    <t>Thuế suất</t>
  </si>
  <si>
    <t>Chi phí nợ sau thuế</t>
  </si>
  <si>
    <t>Suất sinh lợi trên vốn</t>
  </si>
  <si>
    <t>Tỷ lệ tái đầu tư</t>
  </si>
  <si>
    <t>Thông tin đầu ra</t>
  </si>
  <si>
    <t>Chi phí vốn bình quân trọng số (WACC)</t>
  </si>
  <si>
    <t>Tốc độ tăng trưởng kỳ vọng</t>
  </si>
  <si>
    <t>Tăng trưởng lũy kế</t>
  </si>
  <si>
    <t>EBIT * (1 - thuế suất)</t>
  </si>
  <si>
    <t xml:space="preserve"> - (Chi đầu tư - Khấu hao+Thay đổi vốn lưu động)</t>
  </si>
  <si>
    <t>Ngân lưu tự do của doanh nghiệp</t>
  </si>
  <si>
    <t>Chi phí vốn</t>
  </si>
  <si>
    <t>Chi phí vốn lũy kế</t>
  </si>
  <si>
    <t>Giá trị hiện tại</t>
  </si>
  <si>
    <t>Định giá</t>
  </si>
  <si>
    <t>PV của ngân lưu tự do DN trong giai đoạn tăng trưởng cao</t>
  </si>
  <si>
    <t>PV của giá trị kết thúc của DN</t>
  </si>
  <si>
    <t>Giá trị tài sản phục vụ hoạt động kinh doanh</t>
  </si>
  <si>
    <t>Giá trị tiền mặt, chứng khoán và các tài sản phi kinh doanh khác</t>
  </si>
  <si>
    <t>Giá trị doanh nghiệp</t>
  </si>
  <si>
    <t>Giá trị của nợ vay</t>
  </si>
  <si>
    <t>Giá trị của vốn chủ sở hữu</t>
  </si>
  <si>
    <t>Giá trị bình quân một cổ phần</t>
  </si>
  <si>
    <t>Hiện tại</t>
  </si>
  <si>
    <t>Năm kết thúc</t>
  </si>
</sst>
</file>

<file path=xl/styles.xml><?xml version="1.0" encoding="utf-8"?>
<styleSheet xmlns="http://schemas.openxmlformats.org/spreadsheetml/2006/main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"/>
    <numFmt numFmtId="167" formatCode="??/??"/>
    <numFmt numFmtId="168" formatCode="_(* #,##0.000_);_(* \(#,##0.000\);_(* &quot;-&quot;??_);_(@_)"/>
    <numFmt numFmtId="169" formatCode="0.0000"/>
    <numFmt numFmtId="170" formatCode="_(* #,##0.0000_);_(* \(#,##0.000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"/>
      <family val="1"/>
    </font>
    <font>
      <i/>
      <sz val="10"/>
      <name val="Times"/>
      <family val="1"/>
    </font>
    <font>
      <sz val="10"/>
      <name val="Times"/>
      <family val="1"/>
    </font>
    <font>
      <b/>
      <sz val="12"/>
      <name val="Times"/>
      <family val="1"/>
    </font>
    <font>
      <b/>
      <sz val="10"/>
      <name val="Times"/>
      <family val="1"/>
    </font>
    <font>
      <sz val="10"/>
      <name val="Times"/>
    </font>
    <font>
      <sz val="10"/>
      <color theme="1"/>
      <name val="Times New Roman"/>
      <family val="1"/>
    </font>
    <font>
      <i/>
      <sz val="10"/>
      <name val="Times"/>
    </font>
    <font>
      <sz val="8"/>
      <name val="Arial"/>
      <family val="2"/>
    </font>
    <font>
      <b/>
      <sz val="8"/>
      <color rgb="FFFF0000"/>
      <name val="Arial"/>
      <family val="2"/>
    </font>
    <font>
      <sz val="11"/>
      <color theme="1"/>
      <name val="Arial"/>
      <family val="2"/>
    </font>
    <font>
      <b/>
      <sz val="10"/>
      <name val="Times"/>
    </font>
    <font>
      <i/>
      <sz val="11"/>
      <color theme="1"/>
      <name val="Calibri"/>
      <family val="2"/>
      <scheme val="minor"/>
    </font>
    <font>
      <sz val="14"/>
      <name val="Geneva"/>
    </font>
    <font>
      <b/>
      <i/>
      <sz val="10"/>
      <name val="Times"/>
      <family val="1"/>
    </font>
    <font>
      <sz val="14"/>
      <name val="Times"/>
      <family val="1"/>
    </font>
    <font>
      <sz val="14"/>
      <color indexed="10"/>
      <name val="Times"/>
      <family val="1"/>
    </font>
    <font>
      <b/>
      <sz val="10"/>
      <color indexed="16"/>
      <name val="Times"/>
      <family val="1"/>
    </font>
    <font>
      <sz val="12"/>
      <name val="Times"/>
      <family val="1"/>
    </font>
    <font>
      <b/>
      <sz val="14"/>
      <name val="Times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0" fillId="0" borderId="0" xfId="0" applyFill="1"/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6" fillId="0" borderId="0" xfId="0" applyFont="1" applyFill="1"/>
    <xf numFmtId="0" fontId="4" fillId="0" borderId="2" xfId="0" applyFont="1" applyFill="1" applyBorder="1"/>
    <xf numFmtId="38" fontId="4" fillId="0" borderId="1" xfId="2" applyNumberFormat="1" applyFont="1" applyFill="1" applyBorder="1" applyAlignment="1"/>
    <xf numFmtId="3" fontId="7" fillId="0" borderId="0" xfId="0" applyNumberFormat="1" applyFont="1" applyFill="1" applyBorder="1"/>
    <xf numFmtId="3" fontId="4" fillId="0" borderId="0" xfId="0" applyNumberFormat="1" applyFont="1" applyFill="1" applyBorder="1"/>
    <xf numFmtId="0" fontId="4" fillId="0" borderId="3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7" fillId="0" borderId="3" xfId="0" applyNumberFormat="1" applyFont="1" applyFill="1" applyBorder="1"/>
    <xf numFmtId="3" fontId="4" fillId="0" borderId="3" xfId="0" applyNumberFormat="1" applyFont="1" applyFill="1" applyBorder="1"/>
    <xf numFmtId="8" fontId="6" fillId="0" borderId="0" xfId="2" applyNumberFormat="1" applyFont="1" applyFill="1" applyBorder="1" applyAlignment="1">
      <alignment horizontal="center"/>
    </xf>
    <xf numFmtId="8" fontId="3" fillId="0" borderId="0" xfId="2" applyNumberFormat="1" applyFont="1" applyFill="1" applyBorder="1" applyAlignment="1">
      <alignment horizontal="center"/>
    </xf>
    <xf numFmtId="8" fontId="4" fillId="0" borderId="1" xfId="2" applyNumberFormat="1" applyFont="1" applyFill="1" applyBorder="1" applyAlignment="1">
      <alignment horizontal="center"/>
    </xf>
    <xf numFmtId="40" fontId="4" fillId="0" borderId="1" xfId="2" applyNumberFormat="1" applyFont="1" applyFill="1" applyBorder="1" applyAlignment="1">
      <alignment horizontal="center"/>
    </xf>
    <xf numFmtId="9" fontId="4" fillId="0" borderId="1" xfId="3" applyFont="1" applyFill="1" applyBorder="1" applyAlignment="1">
      <alignment horizontal="center"/>
    </xf>
    <xf numFmtId="10" fontId="4" fillId="0" borderId="1" xfId="0" applyNumberFormat="1" applyFont="1" applyFill="1" applyBorder="1" applyAlignment="1">
      <alignment horizontal="center"/>
    </xf>
    <xf numFmtId="38" fontId="4" fillId="0" borderId="1" xfId="2" applyNumberFormat="1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1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0" fontId="4" fillId="0" borderId="1" xfId="3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9" fillId="0" borderId="0" xfId="0" applyFont="1" applyFill="1"/>
    <xf numFmtId="165" fontId="4" fillId="0" borderId="1" xfId="0" applyNumberFormat="1" applyFont="1" applyFill="1" applyBorder="1" applyAlignment="1">
      <alignment horizontal="center"/>
    </xf>
    <xf numFmtId="10" fontId="4" fillId="0" borderId="1" xfId="3" applyNumberFormat="1" applyFont="1" applyFill="1" applyBorder="1" applyAlignment="1"/>
    <xf numFmtId="10" fontId="4" fillId="2" borderId="1" xfId="3" applyNumberFormat="1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9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" xfId="0" applyFont="1" applyFill="1" applyBorder="1"/>
    <xf numFmtId="3" fontId="4" fillId="0" borderId="1" xfId="0" applyNumberFormat="1" applyFont="1" applyFill="1" applyBorder="1"/>
    <xf numFmtId="10" fontId="4" fillId="0" borderId="1" xfId="3" applyNumberFormat="1" applyFont="1" applyFill="1" applyBorder="1"/>
    <xf numFmtId="3" fontId="7" fillId="2" borderId="0" xfId="0" applyNumberFormat="1" applyFont="1" applyFill="1" applyBorder="1"/>
    <xf numFmtId="3" fontId="4" fillId="2" borderId="0" xfId="0" applyNumberFormat="1" applyFont="1" applyFill="1" applyBorder="1"/>
    <xf numFmtId="164" fontId="7" fillId="2" borderId="0" xfId="3" applyNumberFormat="1" applyFont="1" applyFill="1" applyBorder="1"/>
    <xf numFmtId="164" fontId="4" fillId="2" borderId="0" xfId="3" applyNumberFormat="1" applyFont="1" applyFill="1" applyBorder="1"/>
    <xf numFmtId="0" fontId="2" fillId="4" borderId="0" xfId="0" applyFont="1" applyFill="1"/>
    <xf numFmtId="0" fontId="5" fillId="4" borderId="0" xfId="0" applyFont="1" applyFill="1"/>
    <xf numFmtId="0" fontId="6" fillId="5" borderId="0" xfId="0" applyFont="1" applyFill="1"/>
    <xf numFmtId="0" fontId="10" fillId="0" borderId="0" xfId="0" applyFont="1"/>
    <xf numFmtId="2" fontId="10" fillId="0" borderId="0" xfId="0" applyNumberFormat="1" applyFont="1" applyFill="1" applyBorder="1"/>
    <xf numFmtId="166" fontId="10" fillId="0" borderId="0" xfId="0" applyNumberFormat="1" applyFont="1" applyFill="1" applyBorder="1"/>
    <xf numFmtId="166" fontId="10" fillId="0" borderId="0" xfId="0" applyNumberFormat="1" applyFont="1"/>
    <xf numFmtId="167" fontId="10" fillId="0" borderId="0" xfId="0" applyNumberFormat="1" applyFont="1" applyFill="1" applyBorder="1"/>
    <xf numFmtId="10" fontId="10" fillId="0" borderId="0" xfId="3" applyNumberFormat="1" applyFont="1"/>
    <xf numFmtId="14" fontId="10" fillId="0" borderId="0" xfId="0" applyNumberFormat="1" applyFont="1" applyBorder="1"/>
    <xf numFmtId="14" fontId="10" fillId="0" borderId="0" xfId="0" applyNumberFormat="1" applyFont="1"/>
    <xf numFmtId="2" fontId="10" fillId="0" borderId="0" xfId="0" applyNumberFormat="1" applyFont="1"/>
    <xf numFmtId="0" fontId="10" fillId="0" borderId="0" xfId="0" applyFont="1" applyFill="1"/>
    <xf numFmtId="166" fontId="10" fillId="0" borderId="0" xfId="0" applyNumberFormat="1" applyFont="1" applyFill="1"/>
    <xf numFmtId="168" fontId="11" fillId="0" borderId="0" xfId="1" applyNumberFormat="1" applyFont="1" applyFill="1"/>
    <xf numFmtId="0" fontId="12" fillId="0" borderId="0" xfId="0" applyFont="1"/>
    <xf numFmtId="165" fontId="4" fillId="2" borderId="1" xfId="0" applyNumberFormat="1" applyFont="1" applyFill="1" applyBorder="1" applyAlignment="1">
      <alignment horizontal="center"/>
    </xf>
    <xf numFmtId="0" fontId="3" fillId="3" borderId="0" xfId="0" applyFont="1" applyFill="1"/>
    <xf numFmtId="0" fontId="6" fillId="3" borderId="0" xfId="0" applyFont="1" applyFill="1"/>
    <xf numFmtId="0" fontId="0" fillId="0" borderId="0" xfId="0" applyFill="1" applyBorder="1" applyAlignment="1"/>
    <xf numFmtId="0" fontId="0" fillId="0" borderId="5" xfId="0" applyFill="1" applyBorder="1" applyAlignment="1"/>
    <xf numFmtId="0" fontId="14" fillId="0" borderId="6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Continuous"/>
    </xf>
    <xf numFmtId="0" fontId="2" fillId="0" borderId="0" xfId="0" applyFont="1" applyAlignment="1"/>
    <xf numFmtId="0" fontId="15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40" fontId="4" fillId="6" borderId="1" xfId="2" applyNumberFormat="1" applyFont="1" applyFill="1" applyBorder="1" applyAlignment="1"/>
    <xf numFmtId="0" fontId="4" fillId="0" borderId="0" xfId="0" applyFont="1"/>
    <xf numFmtId="10" fontId="4" fillId="6" borderId="1" xfId="2" applyNumberFormat="1" applyFont="1" applyFill="1" applyBorder="1" applyAlignment="1"/>
    <xf numFmtId="8" fontId="4" fillId="0" borderId="0" xfId="2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/>
    <xf numFmtId="0" fontId="4" fillId="6" borderId="1" xfId="0" applyFont="1" applyFill="1" applyBorder="1" applyAlignment="1">
      <alignment horizontal="center"/>
    </xf>
    <xf numFmtId="10" fontId="4" fillId="6" borderId="1" xfId="3" applyNumberFormat="1" applyFont="1" applyFill="1" applyBorder="1" applyAlignment="1">
      <alignment horizontal="center"/>
    </xf>
    <xf numFmtId="10" fontId="4" fillId="6" borderId="1" xfId="0" applyNumberFormat="1" applyFont="1" applyFill="1" applyBorder="1" applyAlignment="1">
      <alignment horizontal="center"/>
    </xf>
    <xf numFmtId="10" fontId="4" fillId="6" borderId="1" xfId="2" applyNumberFormat="1" applyFont="1" applyFill="1" applyBorder="1" applyAlignment="1">
      <alignment horizontal="center"/>
    </xf>
    <xf numFmtId="10" fontId="4" fillId="6" borderId="7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Continuous"/>
    </xf>
    <xf numFmtId="0" fontId="17" fillId="0" borderId="0" xfId="0" applyFont="1"/>
    <xf numFmtId="0" fontId="3" fillId="6" borderId="1" xfId="0" applyFont="1" applyFill="1" applyBorder="1" applyAlignment="1">
      <alignment horizontal="center"/>
    </xf>
    <xf numFmtId="0" fontId="4" fillId="6" borderId="1" xfId="0" applyFont="1" applyFill="1" applyBorder="1"/>
    <xf numFmtId="0" fontId="4" fillId="6" borderId="1" xfId="0" applyFont="1" applyFill="1" applyBorder="1" applyAlignment="1">
      <alignment horizontal="left"/>
    </xf>
    <xf numFmtId="169" fontId="4" fillId="6" borderId="1" xfId="3" applyNumberFormat="1" applyFont="1" applyFill="1" applyBorder="1" applyAlignment="1">
      <alignment horizontal="center"/>
    </xf>
    <xf numFmtId="169" fontId="4" fillId="6" borderId="1" xfId="0" applyNumberFormat="1" applyFont="1" applyFill="1" applyBorder="1"/>
    <xf numFmtId="40" fontId="4" fillId="6" borderId="1" xfId="0" applyNumberFormat="1" applyFont="1" applyFill="1" applyBorder="1" applyAlignment="1">
      <alignment horizontal="center"/>
    </xf>
    <xf numFmtId="38" fontId="4" fillId="6" borderId="1" xfId="2" applyNumberFormat="1" applyFont="1" applyFill="1" applyBorder="1" applyAlignment="1"/>
    <xf numFmtId="40" fontId="4" fillId="6" borderId="1" xfId="2" applyNumberFormat="1" applyFont="1" applyFill="1" applyBorder="1" applyAlignment="1">
      <alignment horizontal="center"/>
    </xf>
    <xf numFmtId="8" fontId="4" fillId="6" borderId="1" xfId="2" applyNumberFormat="1" applyFont="1" applyFill="1" applyBorder="1" applyAlignment="1">
      <alignment horizontal="center"/>
    </xf>
    <xf numFmtId="8" fontId="4" fillId="6" borderId="1" xfId="0" applyNumberFormat="1" applyFont="1" applyFill="1" applyBorder="1" applyAlignment="1">
      <alignment horizontal="center"/>
    </xf>
    <xf numFmtId="40" fontId="6" fillId="6" borderId="1" xfId="2" applyNumberFormat="1" applyFont="1" applyFill="1" applyBorder="1" applyAlignment="1">
      <alignment horizontal="center"/>
    </xf>
    <xf numFmtId="38" fontId="6" fillId="6" borderId="1" xfId="2" applyNumberFormat="1" applyFont="1" applyFill="1" applyBorder="1" applyAlignment="1"/>
    <xf numFmtId="0" fontId="6" fillId="0" borderId="0" xfId="0" applyFont="1"/>
    <xf numFmtId="0" fontId="6" fillId="0" borderId="0" xfId="0" applyFont="1" applyAlignment="1">
      <alignment horizontal="center"/>
    </xf>
    <xf numFmtId="0" fontId="18" fillId="0" borderId="0" xfId="0" applyFont="1" applyAlignment="1"/>
    <xf numFmtId="38" fontId="19" fillId="0" borderId="1" xfId="2" applyNumberFormat="1" applyFont="1" applyBorder="1" applyAlignment="1"/>
    <xf numFmtId="8" fontId="4" fillId="0" borderId="0" xfId="0" applyNumberFormat="1" applyFont="1"/>
    <xf numFmtId="38" fontId="19" fillId="7" borderId="1" xfId="2" applyNumberFormat="1" applyFont="1" applyFill="1" applyBorder="1" applyAlignment="1"/>
    <xf numFmtId="0" fontId="20" fillId="0" borderId="0" xfId="0" applyFont="1"/>
    <xf numFmtId="0" fontId="20" fillId="0" borderId="0" xfId="0" applyFont="1" applyAlignment="1">
      <alignment horizontal="center"/>
    </xf>
    <xf numFmtId="0" fontId="2" fillId="3" borderId="0" xfId="0" applyFont="1" applyFill="1" applyAlignment="1"/>
    <xf numFmtId="0" fontId="21" fillId="3" borderId="0" xfId="0" applyFont="1" applyFill="1" applyAlignment="1"/>
    <xf numFmtId="0" fontId="7" fillId="0" borderId="0" xfId="0" applyFont="1"/>
    <xf numFmtId="0" fontId="7" fillId="0" borderId="0" xfId="0" quotePrefix="1" applyFont="1"/>
    <xf numFmtId="10" fontId="4" fillId="6" borderId="1" xfId="3" applyNumberFormat="1" applyFont="1" applyFill="1" applyBorder="1" applyAlignment="1"/>
    <xf numFmtId="170" fontId="4" fillId="6" borderId="1" xfId="1" applyNumberFormat="1" applyFont="1" applyFill="1" applyBorder="1" applyAlignment="1">
      <alignment horizontal="center"/>
    </xf>
    <xf numFmtId="38" fontId="13" fillId="6" borderId="1" xfId="0" applyNumberFormat="1" applyFont="1" applyFill="1" applyBorder="1" applyAlignment="1"/>
    <xf numFmtId="0" fontId="2" fillId="5" borderId="0" xfId="0" applyFont="1" applyFill="1"/>
    <xf numFmtId="0" fontId="4" fillId="0" borderId="0" xfId="0" applyFont="1" applyFill="1" applyAlignment="1">
      <alignment horizontal="left"/>
    </xf>
    <xf numFmtId="0" fontId="22" fillId="0" borderId="5" xfId="0" applyFont="1" applyFill="1" applyBorder="1" applyAlignment="1"/>
    <xf numFmtId="0" fontId="6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spPr>
              <a:ln w="22225">
                <a:solidFill>
                  <a:srgbClr val="C00000"/>
                </a:solidFill>
              </a:ln>
            </c:spPr>
            <c:trendlineType val="linear"/>
            <c:dispEq val="1"/>
            <c:trendlineLbl>
              <c:layout>
                <c:manualLayout>
                  <c:x val="-7.1988555778353752E-2"/>
                  <c:y val="-0.11632435419256797"/>
                </c:manualLayout>
              </c:layout>
              <c:numFmt formatCode="#,##0.000" sourceLinked="0"/>
              <c:spPr>
                <a:solidFill>
                  <a:schemeClr val="accent5">
                    <a:lumMod val="40000"/>
                    <a:lumOff val="60000"/>
                  </a:schemeClr>
                </a:solidFill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Beta!$G$4:$G$63</c:f>
              <c:numCache>
                <c:formatCode>0.00%</c:formatCode>
                <c:ptCount val="60"/>
                <c:pt idx="0">
                  <c:v>0.25080046106557363</c:v>
                </c:pt>
                <c:pt idx="1">
                  <c:v>0.28903110200947157</c:v>
                </c:pt>
                <c:pt idx="2">
                  <c:v>0.18254031297164186</c:v>
                </c:pt>
                <c:pt idx="3">
                  <c:v>-9.4998992409484839E-2</c:v>
                </c:pt>
                <c:pt idx="4">
                  <c:v>-4.327253159154576E-2</c:v>
                </c:pt>
                <c:pt idx="5">
                  <c:v>-0.18072499466630465</c:v>
                </c:pt>
                <c:pt idx="6">
                  <c:v>0.16280391089226098</c:v>
                </c:pt>
                <c:pt idx="7">
                  <c:v>7.2376725436703371E-2</c:v>
                </c:pt>
                <c:pt idx="8">
                  <c:v>-2.8838304254551694E-2</c:v>
                </c:pt>
                <c:pt idx="9">
                  <c:v>0.23753763146576978</c:v>
                </c:pt>
                <c:pt idx="10">
                  <c:v>0.18753652950003952</c:v>
                </c:pt>
                <c:pt idx="11">
                  <c:v>0.38517099644838182</c:v>
                </c:pt>
                <c:pt idx="12">
                  <c:v>9.2535507476016354E-2</c:v>
                </c:pt>
                <c:pt idx="13">
                  <c:v>-5.832871871951073E-2</c:v>
                </c:pt>
                <c:pt idx="14">
                  <c:v>-0.13762332801284383</c:v>
                </c:pt>
                <c:pt idx="15">
                  <c:v>0.17057225427269485</c:v>
                </c:pt>
                <c:pt idx="16">
                  <c:v>-5.2520619891260112E-2</c:v>
                </c:pt>
                <c:pt idx="17">
                  <c:v>-0.11391849162665424</c:v>
                </c:pt>
                <c:pt idx="18">
                  <c:v>5.5069111735139842E-5</c:v>
                </c:pt>
                <c:pt idx="19">
                  <c:v>0.15292951541850219</c:v>
                </c:pt>
                <c:pt idx="20">
                  <c:v>1.7413980857039268E-2</c:v>
                </c:pt>
                <c:pt idx="21">
                  <c:v>-8.7072453971025809E-2</c:v>
                </c:pt>
                <c:pt idx="22">
                  <c:v>-4.6619015786496631E-2</c:v>
                </c:pt>
                <c:pt idx="23">
                  <c:v>-8.9437121097710959E-2</c:v>
                </c:pt>
                <c:pt idx="24">
                  <c:v>-0.21420194050538444</c:v>
                </c:pt>
                <c:pt idx="25">
                  <c:v>-0.2207899894467058</c:v>
                </c:pt>
                <c:pt idx="26">
                  <c:v>1.0660733288188062E-2</c:v>
                </c:pt>
                <c:pt idx="27">
                  <c:v>-0.20725170380580438</c:v>
                </c:pt>
                <c:pt idx="28">
                  <c:v>-3.5498671818401495E-2</c:v>
                </c:pt>
                <c:pt idx="29">
                  <c:v>0.1300951427140713</c:v>
                </c:pt>
                <c:pt idx="30">
                  <c:v>0.19439028713222273</c:v>
                </c:pt>
                <c:pt idx="31">
                  <c:v>-0.15284733815618634</c:v>
                </c:pt>
                <c:pt idx="32">
                  <c:v>-0.24009196409021238</c:v>
                </c:pt>
                <c:pt idx="33">
                  <c:v>-9.3098977092637925E-2</c:v>
                </c:pt>
                <c:pt idx="34">
                  <c:v>2.7959585689776301E-3</c:v>
                </c:pt>
                <c:pt idx="35">
                  <c:v>-3.9319434763323113E-2</c:v>
                </c:pt>
                <c:pt idx="36">
                  <c:v>-0.1895386036080603</c:v>
                </c:pt>
                <c:pt idx="37">
                  <c:v>0.14214210140799222</c:v>
                </c:pt>
                <c:pt idx="38">
                  <c:v>0.14593650906758815</c:v>
                </c:pt>
                <c:pt idx="39">
                  <c:v>0.27985573485060478</c:v>
                </c:pt>
                <c:pt idx="40">
                  <c:v>8.9034107472548918E-2</c:v>
                </c:pt>
                <c:pt idx="41">
                  <c:v>4.1201008275892681E-2</c:v>
                </c:pt>
                <c:pt idx="42">
                  <c:v>0.17143714114319986</c:v>
                </c:pt>
                <c:pt idx="43">
                  <c:v>6.2401697209115259E-2</c:v>
                </c:pt>
                <c:pt idx="44">
                  <c:v>1.0707522809433767E-2</c:v>
                </c:pt>
                <c:pt idx="45">
                  <c:v>-0.14136803379206975</c:v>
                </c:pt>
                <c:pt idx="46">
                  <c:v>-1.8547171308418653E-2</c:v>
                </c:pt>
                <c:pt idx="47">
                  <c:v>-2.5890817955817824E-2</c:v>
                </c:pt>
                <c:pt idx="48">
                  <c:v>3.1019171715495064E-2</c:v>
                </c:pt>
                <c:pt idx="49">
                  <c:v>4.6889778833187901E-3</c:v>
                </c:pt>
                <c:pt idx="50">
                  <c:v>8.6391314798493601E-2</c:v>
                </c:pt>
                <c:pt idx="51">
                  <c:v>-6.4402529638438732E-2</c:v>
                </c:pt>
                <c:pt idx="52">
                  <c:v>-5.9120290083558569E-4</c:v>
                </c:pt>
                <c:pt idx="53">
                  <c:v>-2.6087470915329036E-2</c:v>
                </c:pt>
                <c:pt idx="54">
                  <c:v>-7.8617561903990718E-2</c:v>
                </c:pt>
                <c:pt idx="55">
                  <c:v>-1.2305528698250967E-3</c:v>
                </c:pt>
                <c:pt idx="56">
                  <c:v>-4.158232861040223E-3</c:v>
                </c:pt>
                <c:pt idx="57">
                  <c:v>-2.2976824337759272E-3</c:v>
                </c:pt>
                <c:pt idx="58">
                  <c:v>7.3230142385792618E-2</c:v>
                </c:pt>
                <c:pt idx="59">
                  <c:v>5.352205669954202E-2</c:v>
                </c:pt>
              </c:numCache>
            </c:numRef>
          </c:xVal>
          <c:yVal>
            <c:numRef>
              <c:f>Beta!$H$4:$H$63</c:f>
              <c:numCache>
                <c:formatCode>0.00%</c:formatCode>
                <c:ptCount val="60"/>
                <c:pt idx="0">
                  <c:v>0.29245283018867924</c:v>
                </c:pt>
                <c:pt idx="1">
                  <c:v>0.18248175182481752</c:v>
                </c:pt>
                <c:pt idx="2">
                  <c:v>0.15432098765432098</c:v>
                </c:pt>
                <c:pt idx="3">
                  <c:v>-4.8128342245989303E-2</c:v>
                </c:pt>
                <c:pt idx="4">
                  <c:v>-7.9775280898876338E-2</c:v>
                </c:pt>
                <c:pt idx="5">
                  <c:v>-0.16666666666666666</c:v>
                </c:pt>
                <c:pt idx="6">
                  <c:v>0.22222222222222221</c:v>
                </c:pt>
                <c:pt idx="7">
                  <c:v>6.0606060606060606E-3</c:v>
                </c:pt>
                <c:pt idx="8">
                  <c:v>-3.614457831325301E-2</c:v>
                </c:pt>
                <c:pt idx="9">
                  <c:v>0.32500000000000001</c:v>
                </c:pt>
                <c:pt idx="10">
                  <c:v>0.17924528301886791</c:v>
                </c:pt>
                <c:pt idx="11">
                  <c:v>0.47399999999999998</c:v>
                </c:pt>
                <c:pt idx="12">
                  <c:v>0.15428571428571428</c:v>
                </c:pt>
                <c:pt idx="13">
                  <c:v>-8.9108910891089105E-2</c:v>
                </c:pt>
                <c:pt idx="14">
                  <c:v>-8.1521739130434784E-2</c:v>
                </c:pt>
                <c:pt idx="15">
                  <c:v>9.4674556213017749E-2</c:v>
                </c:pt>
                <c:pt idx="16">
                  <c:v>-1.6756756756756724E-2</c:v>
                </c:pt>
                <c:pt idx="17">
                  <c:v>-3.3333333333333333E-2</c:v>
                </c:pt>
                <c:pt idx="18">
                  <c:v>-8.0459770114942528E-2</c:v>
                </c:pt>
                <c:pt idx="19">
                  <c:v>0.13750000000000001</c:v>
                </c:pt>
                <c:pt idx="20">
                  <c:v>1.098901098901099E-2</c:v>
                </c:pt>
                <c:pt idx="21">
                  <c:v>-9.7826086956521743E-2</c:v>
                </c:pt>
                <c:pt idx="22">
                  <c:v>0</c:v>
                </c:pt>
                <c:pt idx="23">
                  <c:v>-0.14457831325301204</c:v>
                </c:pt>
                <c:pt idx="24">
                  <c:v>-0.176056338028169</c:v>
                </c:pt>
                <c:pt idx="25">
                  <c:v>-6.8376068376068383E-2</c:v>
                </c:pt>
                <c:pt idx="26">
                  <c:v>0.23853211009174313</c:v>
                </c:pt>
                <c:pt idx="27">
                  <c:v>-0.19402985074626866</c:v>
                </c:pt>
                <c:pt idx="28">
                  <c:v>-1.8518518518518517E-2</c:v>
                </c:pt>
                <c:pt idx="29">
                  <c:v>2.8301886792452831E-2</c:v>
                </c:pt>
                <c:pt idx="30">
                  <c:v>-1.834862385321101E-2</c:v>
                </c:pt>
                <c:pt idx="31">
                  <c:v>-0.14622641509433962</c:v>
                </c:pt>
                <c:pt idx="32">
                  <c:v>-0.13812154696132597</c:v>
                </c:pt>
                <c:pt idx="33">
                  <c:v>5.1282051282052011E-3</c:v>
                </c:pt>
                <c:pt idx="34">
                  <c:v>8.4967320261437912E-2</c:v>
                </c:pt>
                <c:pt idx="35">
                  <c:v>-1.2048192771084338E-2</c:v>
                </c:pt>
                <c:pt idx="36">
                  <c:v>-9.1463414634146339E-2</c:v>
                </c:pt>
                <c:pt idx="37">
                  <c:v>5.3691275167785234E-2</c:v>
                </c:pt>
                <c:pt idx="38">
                  <c:v>8.2802547770700632E-2</c:v>
                </c:pt>
                <c:pt idx="39">
                  <c:v>3.5294117647058823E-2</c:v>
                </c:pt>
                <c:pt idx="40">
                  <c:v>4.5454545454545456E-2</c:v>
                </c:pt>
                <c:pt idx="41">
                  <c:v>0.39130434782608697</c:v>
                </c:pt>
                <c:pt idx="42">
                  <c:v>0.25396825396825395</c:v>
                </c:pt>
                <c:pt idx="43">
                  <c:v>0.13924050632911392</c:v>
                </c:pt>
                <c:pt idx="44">
                  <c:v>-2.7777777777777776E-2</c:v>
                </c:pt>
                <c:pt idx="45">
                  <c:v>-0.10285714285714286</c:v>
                </c:pt>
                <c:pt idx="46">
                  <c:v>-4.4585987261146494E-2</c:v>
                </c:pt>
                <c:pt idx="47">
                  <c:v>3.3333333333333333E-2</c:v>
                </c:pt>
                <c:pt idx="48">
                  <c:v>0.10967741935483871</c:v>
                </c:pt>
                <c:pt idx="49">
                  <c:v>0</c:v>
                </c:pt>
                <c:pt idx="50">
                  <c:v>0.11764705882352941</c:v>
                </c:pt>
                <c:pt idx="51">
                  <c:v>-5.8510638297872342E-2</c:v>
                </c:pt>
                <c:pt idx="52">
                  <c:v>1.6949152542372881E-2</c:v>
                </c:pt>
                <c:pt idx="53">
                  <c:v>1.6666666666666666E-2</c:v>
                </c:pt>
                <c:pt idx="54">
                  <c:v>5.4644808743169399E-3</c:v>
                </c:pt>
                <c:pt idx="55">
                  <c:v>-5.6179775280898875E-3</c:v>
                </c:pt>
                <c:pt idx="56">
                  <c:v>-1.6949152542372881E-2</c:v>
                </c:pt>
                <c:pt idx="57">
                  <c:v>-2.8735632183908046E-2</c:v>
                </c:pt>
                <c:pt idx="58">
                  <c:v>1.7751479289940829E-2</c:v>
                </c:pt>
                <c:pt idx="59">
                  <c:v>8.7209302325581398E-2</c:v>
                </c:pt>
              </c:numCache>
            </c:numRef>
          </c:yVal>
        </c:ser>
        <c:axId val="120720768"/>
        <c:axId val="120755328"/>
      </c:scatterChart>
      <c:valAx>
        <c:axId val="120720768"/>
        <c:scaling>
          <c:orientation val="minMax"/>
        </c:scaling>
        <c:axPos val="b"/>
        <c:numFmt formatCode="0.00%" sourceLinked="1"/>
        <c:tickLblPos val="nextTo"/>
        <c:crossAx val="120755328"/>
        <c:crosses val="autoZero"/>
        <c:crossBetween val="midCat"/>
      </c:valAx>
      <c:valAx>
        <c:axId val="120755328"/>
        <c:scaling>
          <c:orientation val="minMax"/>
        </c:scaling>
        <c:axPos val="l"/>
        <c:numFmt formatCode="0.00%" sourceLinked="1"/>
        <c:tickLblPos val="nextTo"/>
        <c:crossAx val="120720768"/>
        <c:crosses val="autoZero"/>
        <c:crossBetween val="midCat"/>
      </c:valAx>
    </c:plotArea>
    <c:plotVisOnly val="1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19</xdr:row>
      <xdr:rowOff>28575</xdr:rowOff>
    </xdr:from>
    <xdr:to>
      <xdr:col>19</xdr:col>
      <xdr:colOff>47625</xdr:colOff>
      <xdr:row>38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="115" zoomScaleNormal="115" workbookViewId="0">
      <selection activeCell="B15" sqref="B15"/>
    </sheetView>
  </sheetViews>
  <sheetFormatPr defaultRowHeight="15"/>
  <cols>
    <col min="1" max="1" width="57.42578125" style="3" customWidth="1"/>
    <col min="2" max="2" width="18.140625" style="3" customWidth="1"/>
    <col min="3" max="9" width="9.140625" style="3"/>
    <col min="10" max="10" width="11.42578125" style="3" customWidth="1"/>
    <col min="11" max="16384" width="9.140625" style="3"/>
  </cols>
  <sheetData>
    <row r="1" spans="1:10" ht="18.75">
      <c r="A1" s="51" t="s">
        <v>98</v>
      </c>
      <c r="B1" s="2" t="s">
        <v>0</v>
      </c>
    </row>
    <row r="2" spans="1:10">
      <c r="A2" s="4" t="s">
        <v>1</v>
      </c>
      <c r="B2" s="5" t="s">
        <v>2</v>
      </c>
    </row>
    <row r="3" spans="1:10">
      <c r="A3" s="4" t="s">
        <v>97</v>
      </c>
      <c r="B3" s="6">
        <v>40543</v>
      </c>
    </row>
    <row r="4" spans="1:10" ht="15.75">
      <c r="A4" s="52" t="s">
        <v>3</v>
      </c>
      <c r="B4" s="4"/>
      <c r="D4" s="121" t="s">
        <v>28</v>
      </c>
      <c r="E4" s="121"/>
      <c r="F4" s="121"/>
      <c r="G4" s="121"/>
      <c r="H4" s="121"/>
      <c r="I4" s="121"/>
      <c r="J4" s="121"/>
    </row>
    <row r="5" spans="1:10" ht="15.75" thickBot="1">
      <c r="A5" s="53" t="s">
        <v>4</v>
      </c>
      <c r="B5" s="8">
        <v>2010</v>
      </c>
      <c r="D5" s="12">
        <v>2010</v>
      </c>
      <c r="E5" s="12">
        <v>2009</v>
      </c>
      <c r="F5" s="12">
        <v>2008</v>
      </c>
      <c r="G5" s="12">
        <v>2007</v>
      </c>
      <c r="H5" s="12">
        <v>2006</v>
      </c>
      <c r="I5" s="12">
        <v>2005</v>
      </c>
      <c r="J5" s="12">
        <v>2004</v>
      </c>
    </row>
    <row r="6" spans="1:10" ht="15.75" thickTop="1">
      <c r="A6" s="4" t="s">
        <v>5</v>
      </c>
      <c r="B6" s="9">
        <f t="shared" ref="B6:B15" si="0">IF($B$5=D$5,D6,IF($B$5=E$5,E6,IF($B$5=F$5,F6,IF($B$5=G$5,G6,IF($B$5=H$5,H6,IF($B$5=I$5,I6))))))</f>
        <v>15752866</v>
      </c>
      <c r="D6" s="10">
        <v>15752866</v>
      </c>
      <c r="E6" s="11">
        <v>10613771</v>
      </c>
      <c r="F6" s="11">
        <v>8208982</v>
      </c>
      <c r="G6" s="11">
        <v>6537750.1299249995</v>
      </c>
      <c r="H6" s="11">
        <v>6245619</v>
      </c>
      <c r="I6" s="11">
        <v>5638784</v>
      </c>
      <c r="J6" s="11">
        <v>4226843</v>
      </c>
    </row>
    <row r="7" spans="1:10">
      <c r="A7" s="4" t="s">
        <v>6</v>
      </c>
      <c r="B7" s="9">
        <f t="shared" si="0"/>
        <v>3616186</v>
      </c>
      <c r="D7" s="10">
        <v>3616186</v>
      </c>
      <c r="E7" s="11">
        <v>2375693</v>
      </c>
      <c r="F7" s="11">
        <v>1248698</v>
      </c>
      <c r="G7" s="11">
        <v>963448.633638</v>
      </c>
      <c r="H7" s="11">
        <v>659890</v>
      </c>
      <c r="I7" s="11">
        <v>605484</v>
      </c>
      <c r="J7" s="11">
        <v>517671</v>
      </c>
    </row>
    <row r="8" spans="1:10">
      <c r="A8" s="4" t="s">
        <v>7</v>
      </c>
      <c r="B8" s="9">
        <f t="shared" si="0"/>
        <v>4251207</v>
      </c>
      <c r="D8" s="10">
        <v>4251207</v>
      </c>
      <c r="E8" s="11">
        <v>2731358</v>
      </c>
      <c r="F8" s="11">
        <v>1371313</v>
      </c>
      <c r="G8" s="11">
        <v>955381.49022100004</v>
      </c>
      <c r="H8" s="11">
        <v>662774</v>
      </c>
      <c r="I8" s="11">
        <v>602600</v>
      </c>
      <c r="J8" s="11">
        <v>544081</v>
      </c>
    </row>
    <row r="9" spans="1:10">
      <c r="A9" s="4" t="s">
        <v>8</v>
      </c>
      <c r="B9" s="9">
        <f t="shared" si="0"/>
        <v>6172</v>
      </c>
      <c r="D9" s="10">
        <v>6172</v>
      </c>
      <c r="E9" s="11">
        <v>6655</v>
      </c>
      <c r="F9" s="11">
        <v>26971</v>
      </c>
      <c r="G9" s="11">
        <f>691.996807+10975.173883</f>
        <v>11667.170689999999</v>
      </c>
      <c r="H9" s="11">
        <v>43519</v>
      </c>
      <c r="I9" s="11">
        <v>10030</v>
      </c>
      <c r="J9" s="11">
        <v>8324</v>
      </c>
    </row>
    <row r="10" spans="1:10">
      <c r="A10" s="4" t="s">
        <v>9</v>
      </c>
      <c r="B10" s="9">
        <f t="shared" si="0"/>
        <v>4257379</v>
      </c>
      <c r="D10" s="47">
        <f>D8+D9</f>
        <v>4257379</v>
      </c>
      <c r="E10" s="48">
        <f t="shared" ref="E10:J10" si="1">E8+E9</f>
        <v>2738013</v>
      </c>
      <c r="F10" s="48">
        <f t="shared" si="1"/>
        <v>1398284</v>
      </c>
      <c r="G10" s="48">
        <f t="shared" si="1"/>
        <v>967048.6609110001</v>
      </c>
      <c r="H10" s="48">
        <f t="shared" si="1"/>
        <v>706293</v>
      </c>
      <c r="I10" s="48">
        <f t="shared" si="1"/>
        <v>612630</v>
      </c>
      <c r="J10" s="48">
        <f t="shared" si="1"/>
        <v>552405</v>
      </c>
    </row>
    <row r="11" spans="1:10">
      <c r="A11" s="4" t="s">
        <v>10</v>
      </c>
      <c r="B11" s="9">
        <f t="shared" si="0"/>
        <v>301503</v>
      </c>
      <c r="D11" s="10">
        <f>448530-153199+D9</f>
        <v>301503</v>
      </c>
      <c r="E11" s="11">
        <f>439936-184828+E9</f>
        <v>261763</v>
      </c>
      <c r="F11" s="11">
        <f>264810-197621+F9</f>
        <v>94160</v>
      </c>
      <c r="G11" s="11">
        <f>257865.156601-25862.281945+G9</f>
        <v>243670.045346</v>
      </c>
      <c r="H11" s="11">
        <f>74253-49227+H9</f>
        <v>68545</v>
      </c>
      <c r="I11" s="11">
        <f>55373-19988+I9</f>
        <v>45415</v>
      </c>
      <c r="J11" s="11">
        <f>69253-51861+J9</f>
        <v>25716</v>
      </c>
    </row>
    <row r="12" spans="1:10">
      <c r="A12" s="4" t="s">
        <v>11</v>
      </c>
      <c r="B12" s="9">
        <f t="shared" si="0"/>
        <v>1432288</v>
      </c>
      <c r="D12" s="10">
        <v>1432288</v>
      </c>
      <c r="E12" s="11">
        <v>654817</v>
      </c>
      <c r="F12" s="11">
        <v>445062</v>
      </c>
      <c r="G12" s="11">
        <v>722292.75977899996</v>
      </c>
      <c r="H12" s="11">
        <v>609510</v>
      </c>
      <c r="I12" s="11">
        <v>242088</v>
      </c>
      <c r="J12" s="11">
        <v>172540</v>
      </c>
    </row>
    <row r="13" spans="1:10">
      <c r="A13" s="4" t="s">
        <v>12</v>
      </c>
      <c r="B13" s="9">
        <f t="shared" si="0"/>
        <v>309567</v>
      </c>
      <c r="D13" s="10">
        <v>309567</v>
      </c>
      <c r="E13" s="11">
        <v>2450</v>
      </c>
      <c r="F13" s="11">
        <v>134151.911265</v>
      </c>
      <c r="G13" s="11">
        <v>37150.044326000003</v>
      </c>
      <c r="H13" s="11">
        <f>129440-22460</f>
        <v>106980</v>
      </c>
      <c r="I13" s="11">
        <f>32028-14040</f>
        <v>17988</v>
      </c>
      <c r="J13" s="11">
        <v>242360</v>
      </c>
    </row>
    <row r="14" spans="1:10">
      <c r="A14" s="4" t="s">
        <v>13</v>
      </c>
      <c r="B14" s="9">
        <f t="shared" si="0"/>
        <v>1741855</v>
      </c>
      <c r="D14" s="47">
        <f>D13+D12</f>
        <v>1741855</v>
      </c>
      <c r="E14" s="48">
        <f t="shared" ref="E14:J14" si="2">E13+E12</f>
        <v>657267</v>
      </c>
      <c r="F14" s="48">
        <f t="shared" si="2"/>
        <v>579213.911265</v>
      </c>
      <c r="G14" s="48">
        <f t="shared" si="2"/>
        <v>759442.80410499999</v>
      </c>
      <c r="H14" s="48">
        <f t="shared" si="2"/>
        <v>716490</v>
      </c>
      <c r="I14" s="48">
        <f t="shared" si="2"/>
        <v>260076</v>
      </c>
      <c r="J14" s="48">
        <f t="shared" si="2"/>
        <v>414900</v>
      </c>
    </row>
    <row r="15" spans="1:10">
      <c r="A15" s="4" t="s">
        <v>14</v>
      </c>
      <c r="B15" s="9">
        <f t="shared" si="0"/>
        <v>290131</v>
      </c>
      <c r="D15" s="10">
        <v>290131</v>
      </c>
      <c r="E15" s="11">
        <v>234078</v>
      </c>
      <c r="F15" s="11">
        <v>178430.38179700001</v>
      </c>
      <c r="G15" s="11">
        <v>130759.57741</v>
      </c>
      <c r="H15" s="11">
        <v>101222</v>
      </c>
      <c r="I15" s="11">
        <v>77636</v>
      </c>
      <c r="J15" s="11">
        <v>88701.407009999995</v>
      </c>
    </row>
    <row r="16" spans="1:10">
      <c r="A16" s="4" t="s">
        <v>15</v>
      </c>
      <c r="B16" s="36">
        <f>IF(IF($B$5=D$5,D16,IF($B$5=E$5,E16,IF($B$5=F$5,F16,IF($B$5=G$5,G16,IF($B$5=H$5,H16,IF($B$5=I$5,I16))))))&gt;25%,IF($B$5=D$5,D16,IF($B$5=E$5,E16,IF($B$5=F$5,F16,IF($B$5=G$5,G16,IF($B$5=H$5,H16,IF($B$5=I$5,I16)))))),25%)</f>
        <v>0.25</v>
      </c>
      <c r="D16" s="49">
        <f>1-D7/D8</f>
        <v>0.14937428358581462</v>
      </c>
      <c r="E16" s="50">
        <f t="shared" ref="E16:J16" si="3">1-E7/E8</f>
        <v>0.13021544594300716</v>
      </c>
      <c r="F16" s="50">
        <f t="shared" si="3"/>
        <v>8.9414305851399312E-2</v>
      </c>
      <c r="G16" s="50">
        <f t="shared" si="3"/>
        <v>-8.4438975420528806E-3</v>
      </c>
      <c r="H16" s="50">
        <f t="shared" si="3"/>
        <v>4.351407870556212E-3</v>
      </c>
      <c r="I16" s="50">
        <f t="shared" si="3"/>
        <v>-4.7859276468635858E-3</v>
      </c>
      <c r="J16" s="50">
        <f t="shared" si="3"/>
        <v>4.8540566570051125E-2</v>
      </c>
    </row>
    <row r="17" spans="1:10">
      <c r="A17" s="4" t="s">
        <v>16</v>
      </c>
      <c r="B17" s="9">
        <f t="shared" ref="B17:B28" si="4">IF($B$5=D$5,D17,IF($B$5=E$5,E17,IF($B$5=F$5,F17,IF($B$5=G$5,G17,IF($B$5=H$5,H17,IF($B$5=I$5,I17))))))</f>
        <v>613472</v>
      </c>
      <c r="D17" s="10">
        <v>613472</v>
      </c>
      <c r="E17" s="11">
        <v>426135</v>
      </c>
      <c r="F17" s="11">
        <v>338654</v>
      </c>
      <c r="G17" s="11">
        <v>117818.399217</v>
      </c>
      <c r="H17" s="11">
        <v>156895</v>
      </c>
      <c r="I17" s="11">
        <f>500312+22800</f>
        <v>523112</v>
      </c>
      <c r="J17" s="11">
        <f>515695+292168</f>
        <v>807863</v>
      </c>
    </row>
    <row r="18" spans="1:10">
      <c r="A18" s="4" t="s">
        <v>17</v>
      </c>
      <c r="B18" s="9">
        <f t="shared" si="4"/>
        <v>1742260</v>
      </c>
      <c r="D18" s="10">
        <v>1742260</v>
      </c>
      <c r="E18" s="11">
        <v>2314253</v>
      </c>
      <c r="F18" s="11">
        <v>374002</v>
      </c>
      <c r="G18" s="11">
        <v>654484.42083199997</v>
      </c>
      <c r="H18" s="11">
        <v>306730</v>
      </c>
      <c r="I18" s="11">
        <v>594355</v>
      </c>
      <c r="J18" s="11">
        <f>152310+28662</f>
        <v>180972</v>
      </c>
    </row>
    <row r="19" spans="1:10">
      <c r="A19" s="4" t="s">
        <v>18</v>
      </c>
      <c r="B19" s="9">
        <f t="shared" si="4"/>
        <v>1124862</v>
      </c>
      <c r="D19" s="10">
        <v>1124862</v>
      </c>
      <c r="E19" s="11">
        <v>728634</v>
      </c>
      <c r="F19" s="11">
        <v>646384.97176099999</v>
      </c>
      <c r="G19" s="11">
        <v>654722.03552200005</v>
      </c>
      <c r="H19" s="11">
        <v>511623</v>
      </c>
      <c r="I19" s="11">
        <v>706166</v>
      </c>
      <c r="J19" s="11">
        <v>178800</v>
      </c>
    </row>
    <row r="20" spans="1:10">
      <c r="A20" s="4" t="s">
        <v>19</v>
      </c>
      <c r="B20" s="9">
        <f t="shared" si="4"/>
        <v>2351354</v>
      </c>
      <c r="D20" s="10">
        <v>2351354</v>
      </c>
      <c r="E20" s="11">
        <v>1311765</v>
      </c>
      <c r="F20" s="11">
        <v>1775342</v>
      </c>
      <c r="G20" s="11">
        <v>1669870.799569</v>
      </c>
      <c r="H20" s="11">
        <v>965826</v>
      </c>
      <c r="I20" s="11">
        <v>1081501</v>
      </c>
      <c r="J20" s="11">
        <v>778299</v>
      </c>
    </row>
    <row r="21" spans="1:10">
      <c r="A21" s="4" t="s">
        <v>20</v>
      </c>
      <c r="B21" s="9">
        <f t="shared" si="4"/>
        <v>87854</v>
      </c>
      <c r="D21" s="10">
        <v>87854</v>
      </c>
      <c r="E21" s="11">
        <v>288370</v>
      </c>
      <c r="F21" s="11">
        <v>53222.227991</v>
      </c>
      <c r="G21" s="11">
        <v>75536.630596999996</v>
      </c>
      <c r="H21" s="11">
        <v>55317</v>
      </c>
      <c r="I21" s="11">
        <v>95698</v>
      </c>
      <c r="J21" s="11">
        <v>4544</v>
      </c>
    </row>
    <row r="22" spans="1:10">
      <c r="A22" s="4" t="s">
        <v>21</v>
      </c>
      <c r="B22" s="9">
        <f t="shared" si="4"/>
        <v>2645012</v>
      </c>
      <c r="D22" s="10">
        <v>2645012</v>
      </c>
      <c r="E22" s="11">
        <v>1734871</v>
      </c>
      <c r="F22" s="11">
        <v>972502</v>
      </c>
      <c r="G22" s="11">
        <v>933353.23634399998</v>
      </c>
      <c r="H22" s="11">
        <v>754356</v>
      </c>
      <c r="I22" s="11">
        <v>1579433</v>
      </c>
      <c r="J22" s="11">
        <v>579076</v>
      </c>
    </row>
    <row r="23" spans="1:10">
      <c r="A23" s="4" t="s">
        <v>22</v>
      </c>
      <c r="B23" s="9">
        <f t="shared" si="4"/>
        <v>1487018</v>
      </c>
      <c r="D23" s="47">
        <f>D19+D20+D21-(D22-D25)</f>
        <v>1487018</v>
      </c>
      <c r="E23" s="48">
        <f t="shared" ref="E23:J23" si="5">E19+E20+E21-(E22-E25)</f>
        <v>607181</v>
      </c>
      <c r="F23" s="48">
        <f t="shared" si="5"/>
        <v>1690669.1357519997</v>
      </c>
      <c r="G23" s="48">
        <f t="shared" si="5"/>
        <v>1476739.6653439999</v>
      </c>
      <c r="H23" s="48">
        <f t="shared" si="5"/>
        <v>796293</v>
      </c>
      <c r="I23" s="48">
        <f t="shared" si="5"/>
        <v>316195</v>
      </c>
      <c r="J23" s="48">
        <f t="shared" si="5"/>
        <v>385849</v>
      </c>
    </row>
    <row r="24" spans="1:10">
      <c r="A24" s="4" t="s">
        <v>23</v>
      </c>
      <c r="B24" s="9">
        <f t="shared" si="4"/>
        <v>879837</v>
      </c>
      <c r="D24" s="47">
        <f>D23-E23</f>
        <v>879837</v>
      </c>
      <c r="E24" s="48">
        <f t="shared" ref="E24:I24" si="6">E23-F23</f>
        <v>-1083488.1357519997</v>
      </c>
      <c r="F24" s="48">
        <f t="shared" si="6"/>
        <v>213929.47040799982</v>
      </c>
      <c r="G24" s="48">
        <f t="shared" si="6"/>
        <v>680446.66534399986</v>
      </c>
      <c r="H24" s="48">
        <f t="shared" si="6"/>
        <v>480098</v>
      </c>
      <c r="I24" s="48">
        <f t="shared" si="6"/>
        <v>-69654</v>
      </c>
      <c r="J24" s="48"/>
    </row>
    <row r="25" spans="1:10">
      <c r="A25" s="4" t="s">
        <v>24</v>
      </c>
      <c r="B25" s="9">
        <f t="shared" si="4"/>
        <v>567960</v>
      </c>
      <c r="D25" s="10">
        <v>567960</v>
      </c>
      <c r="E25" s="11">
        <v>13283</v>
      </c>
      <c r="F25" s="11">
        <v>188221.93599999999</v>
      </c>
      <c r="G25" s="11">
        <v>9963.4359999999997</v>
      </c>
      <c r="H25" s="11">
        <v>17883</v>
      </c>
      <c r="I25" s="11">
        <v>12263</v>
      </c>
      <c r="J25" s="11">
        <v>3282</v>
      </c>
    </row>
    <row r="26" spans="1:10">
      <c r="A26" s="4" t="s">
        <v>25</v>
      </c>
      <c r="B26" s="9">
        <f t="shared" si="4"/>
        <v>0</v>
      </c>
      <c r="D26" s="10">
        <v>0</v>
      </c>
      <c r="E26" s="11">
        <v>12455</v>
      </c>
      <c r="F26" s="11">
        <v>22417.731</v>
      </c>
      <c r="G26" s="11">
        <v>32381.167000000001</v>
      </c>
      <c r="H26" s="11">
        <v>42345</v>
      </c>
      <c r="I26" s="11">
        <v>10410</v>
      </c>
      <c r="J26" s="11">
        <v>20000</v>
      </c>
    </row>
    <row r="27" spans="1:10">
      <c r="A27" s="4" t="s">
        <v>26</v>
      </c>
      <c r="B27" s="9">
        <f t="shared" si="4"/>
        <v>567960</v>
      </c>
      <c r="D27" s="47">
        <f>D25+D26</f>
        <v>567960</v>
      </c>
      <c r="E27" s="48">
        <f t="shared" ref="E27:J27" si="7">E25+E26</f>
        <v>25738</v>
      </c>
      <c r="F27" s="48">
        <f t="shared" si="7"/>
        <v>210639.66699999999</v>
      </c>
      <c r="G27" s="48">
        <f t="shared" si="7"/>
        <v>42344.603000000003</v>
      </c>
      <c r="H27" s="48">
        <f t="shared" si="7"/>
        <v>60228</v>
      </c>
      <c r="I27" s="48">
        <f t="shared" si="7"/>
        <v>22673</v>
      </c>
      <c r="J27" s="48">
        <f t="shared" si="7"/>
        <v>23282</v>
      </c>
    </row>
    <row r="28" spans="1:10">
      <c r="A28" s="4" t="s">
        <v>27</v>
      </c>
      <c r="B28" s="9">
        <f t="shared" si="4"/>
        <v>7964437</v>
      </c>
      <c r="D28" s="15">
        <v>7964437</v>
      </c>
      <c r="E28" s="16">
        <v>6455475</v>
      </c>
      <c r="F28" s="16">
        <f>4761913-96198</f>
        <v>4665715</v>
      </c>
      <c r="G28" s="16">
        <v>4224315</v>
      </c>
      <c r="H28" s="16">
        <v>2738383</v>
      </c>
      <c r="I28" s="16">
        <v>1984691</v>
      </c>
      <c r="J28" s="16">
        <v>1735887</v>
      </c>
    </row>
    <row r="30" spans="1:10">
      <c r="A30" s="53" t="s">
        <v>29</v>
      </c>
      <c r="B30" s="17"/>
    </row>
    <row r="31" spans="1:10">
      <c r="A31" s="4" t="s">
        <v>30</v>
      </c>
      <c r="B31" s="19" t="s">
        <v>31</v>
      </c>
      <c r="C31" s="24"/>
      <c r="D31" s="24"/>
      <c r="E31" s="24"/>
      <c r="F31" s="24"/>
      <c r="G31" s="24"/>
      <c r="H31" s="24"/>
    </row>
    <row r="32" spans="1:10">
      <c r="A32" s="2" t="s">
        <v>32</v>
      </c>
      <c r="B32" s="18"/>
      <c r="C32" s="24"/>
      <c r="D32" s="24"/>
      <c r="E32" s="24"/>
      <c r="F32" s="24"/>
      <c r="G32" s="24"/>
      <c r="H32" s="24"/>
    </row>
    <row r="33" spans="1:8">
      <c r="A33" s="4" t="s">
        <v>33</v>
      </c>
      <c r="B33" s="20">
        <v>86000</v>
      </c>
      <c r="C33" s="24"/>
      <c r="D33" s="24"/>
      <c r="E33" s="24"/>
      <c r="F33" s="24"/>
      <c r="G33" s="24"/>
      <c r="H33" s="24"/>
    </row>
    <row r="34" spans="1:8">
      <c r="A34" s="4" t="s">
        <v>34</v>
      </c>
      <c r="B34" s="23">
        <v>353.0061</v>
      </c>
      <c r="C34" s="24"/>
      <c r="D34" s="24"/>
      <c r="E34" s="24"/>
      <c r="F34" s="24"/>
      <c r="G34" s="24"/>
      <c r="H34" s="24"/>
    </row>
    <row r="35" spans="1:8">
      <c r="A35" s="4" t="s">
        <v>35</v>
      </c>
      <c r="B35" s="20">
        <f>B27</f>
        <v>567960</v>
      </c>
      <c r="C35" s="25"/>
      <c r="D35" s="24"/>
      <c r="E35" s="24"/>
      <c r="F35" s="24"/>
      <c r="G35" s="24"/>
      <c r="H35" s="24"/>
    </row>
    <row r="36" spans="1:8">
      <c r="A36" s="2" t="s">
        <v>36</v>
      </c>
      <c r="B36" s="18"/>
      <c r="C36" s="24"/>
      <c r="D36" s="24"/>
      <c r="E36" s="24"/>
      <c r="F36" s="24"/>
      <c r="G36" s="24"/>
      <c r="H36" s="24"/>
    </row>
    <row r="37" spans="1:8">
      <c r="A37" s="4" t="s">
        <v>37</v>
      </c>
      <c r="B37" s="19" t="s">
        <v>31</v>
      </c>
      <c r="C37" s="25"/>
      <c r="D37" s="24"/>
      <c r="E37" s="24"/>
      <c r="F37" s="24"/>
      <c r="G37" s="24"/>
      <c r="H37" s="24"/>
    </row>
    <row r="38" spans="1:8">
      <c r="A38" s="4" t="s">
        <v>38</v>
      </c>
      <c r="B38" s="21">
        <v>0.2</v>
      </c>
      <c r="C38" s="25"/>
      <c r="D38" s="24"/>
      <c r="E38" s="24"/>
      <c r="F38" s="24"/>
      <c r="G38" s="24"/>
      <c r="H38" s="24"/>
    </row>
    <row r="39" spans="1:8">
      <c r="A39" s="4"/>
      <c r="B39" s="4"/>
      <c r="C39" s="24"/>
      <c r="D39" s="24"/>
      <c r="E39" s="24"/>
      <c r="F39" s="24"/>
      <c r="G39" s="24"/>
      <c r="H39" s="24"/>
    </row>
    <row r="40" spans="1:8">
      <c r="A40" s="4" t="s">
        <v>39</v>
      </c>
      <c r="B40" s="5" t="s">
        <v>2</v>
      </c>
      <c r="C40" s="25"/>
      <c r="D40" s="24"/>
      <c r="E40" s="24"/>
      <c r="F40" s="24"/>
      <c r="G40" s="24"/>
      <c r="H40" s="24"/>
    </row>
    <row r="41" spans="1:8">
      <c r="A41" s="4" t="s">
        <v>40</v>
      </c>
      <c r="B41" s="22">
        <f>B9/((B27+E27)/2)</f>
        <v>2.0791715653413013E-2</v>
      </c>
      <c r="C41" s="25"/>
      <c r="D41" s="24"/>
      <c r="E41" s="24"/>
      <c r="F41" s="24"/>
      <c r="G41" s="24"/>
      <c r="H41" s="24"/>
    </row>
    <row r="42" spans="1:8">
      <c r="A42" s="4" t="s">
        <v>41</v>
      </c>
      <c r="B42" s="22">
        <v>0.18</v>
      </c>
      <c r="C42" s="25"/>
      <c r="D42" s="24"/>
      <c r="E42" s="24"/>
      <c r="F42" s="24"/>
      <c r="G42" s="24"/>
      <c r="H42" s="24"/>
    </row>
    <row r="43" spans="1:8">
      <c r="C43" s="24"/>
      <c r="D43" s="24"/>
      <c r="E43" s="24"/>
      <c r="F43" s="24"/>
      <c r="G43" s="24"/>
      <c r="H43" s="24"/>
    </row>
    <row r="44" spans="1:8">
      <c r="A44" s="53" t="s">
        <v>42</v>
      </c>
      <c r="B44" s="7"/>
    </row>
    <row r="45" spans="1:8">
      <c r="A45" s="2" t="s">
        <v>81</v>
      </c>
      <c r="B45" s="2"/>
    </row>
    <row r="46" spans="1:8">
      <c r="A46" s="4" t="s">
        <v>43</v>
      </c>
      <c r="B46" s="5">
        <v>2</v>
      </c>
      <c r="C46" s="24"/>
    </row>
    <row r="47" spans="1:8">
      <c r="A47" s="4" t="s">
        <v>44</v>
      </c>
      <c r="B47" s="5">
        <v>5</v>
      </c>
      <c r="C47" s="24"/>
    </row>
    <row r="48" spans="1:8">
      <c r="A48" s="4" t="s">
        <v>45</v>
      </c>
      <c r="B48" s="40">
        <f>B46+B47</f>
        <v>7</v>
      </c>
      <c r="C48" s="24"/>
    </row>
    <row r="49" spans="1:3">
      <c r="A49" s="34" t="s">
        <v>50</v>
      </c>
      <c r="B49" s="27"/>
      <c r="C49" s="24"/>
    </row>
    <row r="50" spans="1:3">
      <c r="A50" s="4" t="s">
        <v>46</v>
      </c>
      <c r="B50" s="67">
        <f>Beta!K18</f>
        <v>0.79085897688469653</v>
      </c>
      <c r="C50" s="25"/>
    </row>
    <row r="51" spans="1:3">
      <c r="A51" s="4" t="s">
        <v>47</v>
      </c>
      <c r="B51" s="22">
        <v>0.1081</v>
      </c>
      <c r="C51" s="25"/>
    </row>
    <row r="52" spans="1:3">
      <c r="A52" s="4" t="s">
        <v>48</v>
      </c>
      <c r="B52" s="22">
        <v>0.2112</v>
      </c>
      <c r="C52" s="25"/>
    </row>
    <row r="53" spans="1:3">
      <c r="A53" s="4" t="s">
        <v>49</v>
      </c>
      <c r="B53" s="22">
        <v>7.5999999999999998E-2</v>
      </c>
      <c r="C53" s="25"/>
    </row>
    <row r="54" spans="1:3">
      <c r="A54" s="4" t="s">
        <v>50</v>
      </c>
      <c r="B54" s="37">
        <f>B51+B50*(B52-B53)</f>
        <v>0.21502413367481096</v>
      </c>
      <c r="C54" s="25"/>
    </row>
    <row r="55" spans="1:3">
      <c r="A55" s="34" t="s">
        <v>56</v>
      </c>
      <c r="B55" s="27"/>
      <c r="C55" s="25"/>
    </row>
    <row r="56" spans="1:3">
      <c r="A56" s="4" t="s">
        <v>51</v>
      </c>
      <c r="B56" s="35">
        <v>1.071</v>
      </c>
      <c r="C56" s="25"/>
    </row>
    <row r="57" spans="1:3">
      <c r="A57" s="4" t="s">
        <v>52</v>
      </c>
      <c r="B57" s="22">
        <v>3.2000000000000002E-3</v>
      </c>
      <c r="C57" s="25"/>
    </row>
    <row r="58" spans="1:3">
      <c r="A58" s="4" t="s">
        <v>53</v>
      </c>
      <c r="B58" s="22">
        <v>6.0299999999999999E-2</v>
      </c>
      <c r="C58" s="25"/>
    </row>
    <row r="59" spans="1:3">
      <c r="A59" s="4" t="s">
        <v>54</v>
      </c>
      <c r="B59" s="22">
        <v>3.5000000000000003E-2</v>
      </c>
      <c r="C59" s="25"/>
    </row>
    <row r="60" spans="1:3">
      <c r="A60" s="4" t="s">
        <v>55</v>
      </c>
      <c r="B60" s="22">
        <v>7.8899999999999998E-2</v>
      </c>
      <c r="C60" s="25"/>
    </row>
    <row r="61" spans="1:3">
      <c r="A61" s="4" t="s">
        <v>56</v>
      </c>
      <c r="B61" s="37">
        <f>B57+B56*B58+B59+B60</f>
        <v>0.18168129999999999</v>
      </c>
      <c r="C61" s="25"/>
    </row>
    <row r="62" spans="1:3">
      <c r="A62" s="4"/>
      <c r="B62" s="27"/>
    </row>
    <row r="63" spans="1:3">
      <c r="A63" s="4" t="s">
        <v>82</v>
      </c>
      <c r="B63" s="29" t="s">
        <v>31</v>
      </c>
      <c r="C63" s="25"/>
    </row>
    <row r="64" spans="1:3">
      <c r="A64" s="4"/>
      <c r="B64" s="27"/>
    </row>
    <row r="65" spans="1:3">
      <c r="A65" s="4" t="s">
        <v>58</v>
      </c>
      <c r="B65" s="38">
        <f>B27/(B27+B28)</f>
        <v>6.6565116461411722E-2</v>
      </c>
      <c r="C65" s="25"/>
    </row>
    <row r="66" spans="1:3">
      <c r="A66" s="4" t="s">
        <v>59</v>
      </c>
      <c r="B66" s="38">
        <f>B35/(B33*B34+B35)</f>
        <v>1.8364841893475342E-2</v>
      </c>
      <c r="C66" s="25"/>
    </row>
    <row r="67" spans="1:3">
      <c r="A67" s="4" t="s">
        <v>60</v>
      </c>
      <c r="B67" s="39">
        <f>B38</f>
        <v>0.2</v>
      </c>
      <c r="C67" s="25"/>
    </row>
    <row r="68" spans="1:3">
      <c r="A68" s="4" t="s">
        <v>61</v>
      </c>
      <c r="B68" s="31">
        <v>1</v>
      </c>
      <c r="C68" s="25"/>
    </row>
    <row r="69" spans="1:3">
      <c r="A69" s="4" t="s">
        <v>62</v>
      </c>
      <c r="B69" s="5" t="s">
        <v>2</v>
      </c>
      <c r="C69" s="25"/>
    </row>
    <row r="70" spans="1:3">
      <c r="A70" s="4" t="s">
        <v>63</v>
      </c>
      <c r="B70" s="28">
        <f>B23/B6</f>
        <v>9.4396664073699357E-2</v>
      </c>
      <c r="C70" s="25"/>
    </row>
    <row r="71" spans="1:3">
      <c r="A71" s="4" t="s">
        <v>64</v>
      </c>
      <c r="B71" s="22">
        <v>0.14219999999999999</v>
      </c>
      <c r="C71" s="25"/>
    </row>
    <row r="72" spans="1:3">
      <c r="A72" s="4" t="s">
        <v>65</v>
      </c>
      <c r="B72" s="5" t="s">
        <v>31</v>
      </c>
      <c r="C72" s="25"/>
    </row>
    <row r="73" spans="1:3">
      <c r="A73" s="4" t="s">
        <v>66</v>
      </c>
      <c r="B73" s="30">
        <v>0.3</v>
      </c>
      <c r="C73" s="25"/>
    </row>
    <row r="74" spans="1:3">
      <c r="A74" s="4" t="s">
        <v>67</v>
      </c>
      <c r="B74" s="14"/>
      <c r="C74" s="25"/>
    </row>
    <row r="75" spans="1:3">
      <c r="A75" s="4" t="s">
        <v>68</v>
      </c>
      <c r="B75" s="37">
        <f>(B10-B11)*(1-B16)/(AVERAGE(B27+B28,E27+E28)-AVERAGE(B17+B18,E17+E18))</f>
        <v>0.59831812283148256</v>
      </c>
      <c r="C75" s="25"/>
    </row>
    <row r="76" spans="1:3">
      <c r="A76" s="4" t="s">
        <v>69</v>
      </c>
      <c r="B76" s="37">
        <f>(B14-B15+B24)/((B10-B11)*(1-B16))</f>
        <v>0.78585577505462756</v>
      </c>
      <c r="C76" s="25"/>
    </row>
    <row r="77" spans="1:3">
      <c r="A77" s="4" t="s">
        <v>70</v>
      </c>
      <c r="B77" s="5" t="s">
        <v>2</v>
      </c>
      <c r="C77" s="25"/>
    </row>
    <row r="78" spans="1:3">
      <c r="A78" s="4" t="s">
        <v>68</v>
      </c>
      <c r="B78" s="22">
        <v>0.43559999999999999</v>
      </c>
      <c r="C78" s="25"/>
    </row>
    <row r="79" spans="1:3">
      <c r="A79" s="4" t="s">
        <v>69</v>
      </c>
      <c r="B79" s="22">
        <v>0.88470000000000004</v>
      </c>
      <c r="C79" s="25"/>
    </row>
    <row r="80" spans="1:3">
      <c r="A80" s="4"/>
      <c r="B80" s="26"/>
      <c r="C80" s="25"/>
    </row>
    <row r="81" spans="1:3">
      <c r="A81" s="4" t="s">
        <v>71</v>
      </c>
      <c r="B81" s="22" t="s">
        <v>31</v>
      </c>
      <c r="C81" s="25"/>
    </row>
    <row r="82" spans="1:3">
      <c r="A82" s="4"/>
      <c r="B82" s="27"/>
      <c r="C82" s="25"/>
    </row>
    <row r="83" spans="1:3">
      <c r="A83" s="2" t="s">
        <v>72</v>
      </c>
      <c r="B83" s="32"/>
    </row>
    <row r="84" spans="1:3">
      <c r="A84" s="4" t="s">
        <v>73</v>
      </c>
      <c r="B84" s="22">
        <v>0.12</v>
      </c>
      <c r="C84" s="25"/>
    </row>
    <row r="85" spans="1:3">
      <c r="A85" s="4" t="s">
        <v>46</v>
      </c>
      <c r="B85" s="35">
        <f>B50</f>
        <v>0.79085897688469653</v>
      </c>
      <c r="C85" s="25"/>
    </row>
    <row r="86" spans="1:3">
      <c r="A86" s="4" t="s">
        <v>47</v>
      </c>
      <c r="B86" s="22">
        <f>B51</f>
        <v>0.1081</v>
      </c>
      <c r="C86" s="25"/>
    </row>
    <row r="87" spans="1:3">
      <c r="A87" s="4" t="s">
        <v>48</v>
      </c>
      <c r="B87" s="22">
        <f>B52</f>
        <v>0.2112</v>
      </c>
      <c r="C87" s="25"/>
    </row>
    <row r="88" spans="1:3">
      <c r="A88" s="4" t="s">
        <v>49</v>
      </c>
      <c r="B88" s="22">
        <f>B53</f>
        <v>7.5999999999999998E-2</v>
      </c>
      <c r="C88" s="25"/>
    </row>
    <row r="89" spans="1:3">
      <c r="A89" s="4" t="s">
        <v>50</v>
      </c>
      <c r="B89" s="37">
        <f>B86+B85*(B87-B88)</f>
        <v>0.21502413367481096</v>
      </c>
      <c r="C89" s="25"/>
    </row>
    <row r="90" spans="1:3">
      <c r="A90" s="4" t="s">
        <v>51</v>
      </c>
      <c r="B90" s="29">
        <f>B56</f>
        <v>1.071</v>
      </c>
      <c r="C90" s="25"/>
    </row>
    <row r="91" spans="1:3">
      <c r="A91" s="4" t="s">
        <v>52</v>
      </c>
      <c r="B91" s="28">
        <f>B57</f>
        <v>3.2000000000000002E-3</v>
      </c>
      <c r="C91" s="25"/>
    </row>
    <row r="92" spans="1:3">
      <c r="A92" s="4" t="s">
        <v>53</v>
      </c>
      <c r="B92" s="22">
        <f>B58</f>
        <v>6.0299999999999999E-2</v>
      </c>
      <c r="C92" s="25"/>
    </row>
    <row r="93" spans="1:3">
      <c r="A93" s="4" t="s">
        <v>54</v>
      </c>
      <c r="B93" s="22">
        <f>B59</f>
        <v>3.5000000000000003E-2</v>
      </c>
      <c r="C93" s="25"/>
    </row>
    <row r="94" spans="1:3">
      <c r="A94" s="4" t="s">
        <v>55</v>
      </c>
      <c r="B94" s="22">
        <f>B60</f>
        <v>7.8899999999999998E-2</v>
      </c>
      <c r="C94" s="25"/>
    </row>
    <row r="95" spans="1:3">
      <c r="A95" s="4" t="s">
        <v>56</v>
      </c>
      <c r="B95" s="37">
        <f>B91+B90*B92+B93+B94</f>
        <v>0.18168129999999999</v>
      </c>
      <c r="C95" s="25"/>
    </row>
    <row r="96" spans="1:3">
      <c r="A96" s="4" t="s">
        <v>57</v>
      </c>
      <c r="B96" s="22" t="s">
        <v>31</v>
      </c>
      <c r="C96" s="25"/>
    </row>
    <row r="97" spans="1:3">
      <c r="A97" s="4" t="s">
        <v>74</v>
      </c>
      <c r="B97" s="22">
        <f>B65</f>
        <v>6.6565116461411722E-2</v>
      </c>
      <c r="C97" s="25"/>
    </row>
    <row r="98" spans="1:3">
      <c r="A98" s="4" t="s">
        <v>75</v>
      </c>
      <c r="B98" s="22">
        <f>B42</f>
        <v>0.18</v>
      </c>
      <c r="C98" s="25"/>
    </row>
    <row r="99" spans="1:3">
      <c r="A99" s="4" t="s">
        <v>76</v>
      </c>
      <c r="B99" s="22">
        <v>0.25</v>
      </c>
      <c r="C99" s="25"/>
    </row>
    <row r="100" spans="1:3">
      <c r="A100" s="2" t="s">
        <v>77</v>
      </c>
      <c r="B100" s="32"/>
      <c r="C100" s="25"/>
    </row>
    <row r="101" spans="1:3">
      <c r="A101" s="4" t="s">
        <v>78</v>
      </c>
      <c r="B101" s="33" t="s">
        <v>31</v>
      </c>
      <c r="C101" s="25"/>
    </row>
    <row r="102" spans="1:3">
      <c r="A102" s="4" t="s">
        <v>79</v>
      </c>
      <c r="B102" s="22">
        <v>0.25</v>
      </c>
      <c r="C102" s="25"/>
    </row>
    <row r="103" spans="1:3">
      <c r="A103" s="4" t="s">
        <v>80</v>
      </c>
      <c r="B103" s="30">
        <f>B14/B15</f>
        <v>6.0036845424997676</v>
      </c>
      <c r="C103" s="25"/>
    </row>
  </sheetData>
  <mergeCells count="1">
    <mergeCell ref="D4:J4"/>
  </mergeCells>
  <pageMargins left="0.7" right="0.7" top="0.75" bottom="0.75" header="0.3" footer="0.3"/>
  <ignoredErrors>
    <ignoredError sqref="B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opLeftCell="A25" zoomScale="115" zoomScaleNormal="115" workbookViewId="0">
      <selection activeCell="H27" sqref="H27"/>
    </sheetView>
  </sheetViews>
  <sheetFormatPr defaultColWidth="11.42578125" defaultRowHeight="15"/>
  <cols>
    <col min="1" max="1" width="53.5703125" bestFit="1" customWidth="1"/>
    <col min="2" max="2" width="13.7109375" customWidth="1"/>
    <col min="3" max="3" width="14.42578125" customWidth="1"/>
    <col min="4" max="4" width="13.42578125" customWidth="1"/>
    <col min="5" max="5" width="9.42578125" customWidth="1"/>
    <col min="6" max="7" width="10.140625" bestFit="1" customWidth="1"/>
    <col min="8" max="8" width="11.42578125" bestFit="1" customWidth="1"/>
    <col min="9" max="9" width="12.28515625" bestFit="1" customWidth="1"/>
    <col min="10" max="10" width="6.42578125" customWidth="1"/>
    <col min="11" max="11" width="5.85546875" customWidth="1"/>
    <col min="12" max="12" width="6.140625" customWidth="1"/>
    <col min="13" max="13" width="11.42578125" bestFit="1" customWidth="1"/>
    <col min="250" max="250" width="2.7109375" customWidth="1"/>
    <col min="251" max="251" width="0" hidden="1" customWidth="1"/>
    <col min="252" max="252" width="57.5703125" customWidth="1"/>
    <col min="253" max="253" width="15.42578125" customWidth="1"/>
    <col min="254" max="254" width="14.42578125" customWidth="1"/>
    <col min="255" max="258" width="12.7109375" customWidth="1"/>
    <col min="265" max="265" width="11.5703125" bestFit="1" customWidth="1"/>
    <col min="269" max="269" width="14.28515625" bestFit="1" customWidth="1"/>
    <col min="506" max="506" width="2.7109375" customWidth="1"/>
    <col min="507" max="507" width="0" hidden="1" customWidth="1"/>
    <col min="508" max="508" width="57.5703125" customWidth="1"/>
    <col min="509" max="509" width="15.42578125" customWidth="1"/>
    <col min="510" max="510" width="14.42578125" customWidth="1"/>
    <col min="511" max="514" width="12.7109375" customWidth="1"/>
    <col min="521" max="521" width="11.5703125" bestFit="1" customWidth="1"/>
    <col min="525" max="525" width="14.28515625" bestFit="1" customWidth="1"/>
    <col min="762" max="762" width="2.7109375" customWidth="1"/>
    <col min="763" max="763" width="0" hidden="1" customWidth="1"/>
    <col min="764" max="764" width="57.5703125" customWidth="1"/>
    <col min="765" max="765" width="15.42578125" customWidth="1"/>
    <col min="766" max="766" width="14.42578125" customWidth="1"/>
    <col min="767" max="770" width="12.7109375" customWidth="1"/>
    <col min="777" max="777" width="11.5703125" bestFit="1" customWidth="1"/>
    <col min="781" max="781" width="14.28515625" bestFit="1" customWidth="1"/>
    <col min="1018" max="1018" width="2.7109375" customWidth="1"/>
    <col min="1019" max="1019" width="0" hidden="1" customWidth="1"/>
    <col min="1020" max="1020" width="57.5703125" customWidth="1"/>
    <col min="1021" max="1021" width="15.42578125" customWidth="1"/>
    <col min="1022" max="1022" width="14.42578125" customWidth="1"/>
    <col min="1023" max="1026" width="12.7109375" customWidth="1"/>
    <col min="1033" max="1033" width="11.5703125" bestFit="1" customWidth="1"/>
    <col min="1037" max="1037" width="14.28515625" bestFit="1" customWidth="1"/>
    <col min="1274" max="1274" width="2.7109375" customWidth="1"/>
    <col min="1275" max="1275" width="0" hidden="1" customWidth="1"/>
    <col min="1276" max="1276" width="57.5703125" customWidth="1"/>
    <col min="1277" max="1277" width="15.42578125" customWidth="1"/>
    <col min="1278" max="1278" width="14.42578125" customWidth="1"/>
    <col min="1279" max="1282" width="12.7109375" customWidth="1"/>
    <col min="1289" max="1289" width="11.5703125" bestFit="1" customWidth="1"/>
    <col min="1293" max="1293" width="14.28515625" bestFit="1" customWidth="1"/>
    <col min="1530" max="1530" width="2.7109375" customWidth="1"/>
    <col min="1531" max="1531" width="0" hidden="1" customWidth="1"/>
    <col min="1532" max="1532" width="57.5703125" customWidth="1"/>
    <col min="1533" max="1533" width="15.42578125" customWidth="1"/>
    <col min="1534" max="1534" width="14.42578125" customWidth="1"/>
    <col min="1535" max="1538" width="12.7109375" customWidth="1"/>
    <col min="1545" max="1545" width="11.5703125" bestFit="1" customWidth="1"/>
    <col min="1549" max="1549" width="14.28515625" bestFit="1" customWidth="1"/>
    <col min="1786" max="1786" width="2.7109375" customWidth="1"/>
    <col min="1787" max="1787" width="0" hidden="1" customWidth="1"/>
    <col min="1788" max="1788" width="57.5703125" customWidth="1"/>
    <col min="1789" max="1789" width="15.42578125" customWidth="1"/>
    <col min="1790" max="1790" width="14.42578125" customWidth="1"/>
    <col min="1791" max="1794" width="12.7109375" customWidth="1"/>
    <col min="1801" max="1801" width="11.5703125" bestFit="1" customWidth="1"/>
    <col min="1805" max="1805" width="14.28515625" bestFit="1" customWidth="1"/>
    <col min="2042" max="2042" width="2.7109375" customWidth="1"/>
    <col min="2043" max="2043" width="0" hidden="1" customWidth="1"/>
    <col min="2044" max="2044" width="57.5703125" customWidth="1"/>
    <col min="2045" max="2045" width="15.42578125" customWidth="1"/>
    <col min="2046" max="2046" width="14.42578125" customWidth="1"/>
    <col min="2047" max="2050" width="12.7109375" customWidth="1"/>
    <col min="2057" max="2057" width="11.5703125" bestFit="1" customWidth="1"/>
    <col min="2061" max="2061" width="14.28515625" bestFit="1" customWidth="1"/>
    <col min="2298" max="2298" width="2.7109375" customWidth="1"/>
    <col min="2299" max="2299" width="0" hidden="1" customWidth="1"/>
    <col min="2300" max="2300" width="57.5703125" customWidth="1"/>
    <col min="2301" max="2301" width="15.42578125" customWidth="1"/>
    <col min="2302" max="2302" width="14.42578125" customWidth="1"/>
    <col min="2303" max="2306" width="12.7109375" customWidth="1"/>
    <col min="2313" max="2313" width="11.5703125" bestFit="1" customWidth="1"/>
    <col min="2317" max="2317" width="14.28515625" bestFit="1" customWidth="1"/>
    <col min="2554" max="2554" width="2.7109375" customWidth="1"/>
    <col min="2555" max="2555" width="0" hidden="1" customWidth="1"/>
    <col min="2556" max="2556" width="57.5703125" customWidth="1"/>
    <col min="2557" max="2557" width="15.42578125" customWidth="1"/>
    <col min="2558" max="2558" width="14.42578125" customWidth="1"/>
    <col min="2559" max="2562" width="12.7109375" customWidth="1"/>
    <col min="2569" max="2569" width="11.5703125" bestFit="1" customWidth="1"/>
    <col min="2573" max="2573" width="14.28515625" bestFit="1" customWidth="1"/>
    <col min="2810" max="2810" width="2.7109375" customWidth="1"/>
    <col min="2811" max="2811" width="0" hidden="1" customWidth="1"/>
    <col min="2812" max="2812" width="57.5703125" customWidth="1"/>
    <col min="2813" max="2813" width="15.42578125" customWidth="1"/>
    <col min="2814" max="2814" width="14.42578125" customWidth="1"/>
    <col min="2815" max="2818" width="12.7109375" customWidth="1"/>
    <col min="2825" max="2825" width="11.5703125" bestFit="1" customWidth="1"/>
    <col min="2829" max="2829" width="14.28515625" bestFit="1" customWidth="1"/>
    <col min="3066" max="3066" width="2.7109375" customWidth="1"/>
    <col min="3067" max="3067" width="0" hidden="1" customWidth="1"/>
    <col min="3068" max="3068" width="57.5703125" customWidth="1"/>
    <col min="3069" max="3069" width="15.42578125" customWidth="1"/>
    <col min="3070" max="3070" width="14.42578125" customWidth="1"/>
    <col min="3071" max="3074" width="12.7109375" customWidth="1"/>
    <col min="3081" max="3081" width="11.5703125" bestFit="1" customWidth="1"/>
    <col min="3085" max="3085" width="14.28515625" bestFit="1" customWidth="1"/>
    <col min="3322" max="3322" width="2.7109375" customWidth="1"/>
    <col min="3323" max="3323" width="0" hidden="1" customWidth="1"/>
    <col min="3324" max="3324" width="57.5703125" customWidth="1"/>
    <col min="3325" max="3325" width="15.42578125" customWidth="1"/>
    <col min="3326" max="3326" width="14.42578125" customWidth="1"/>
    <col min="3327" max="3330" width="12.7109375" customWidth="1"/>
    <col min="3337" max="3337" width="11.5703125" bestFit="1" customWidth="1"/>
    <col min="3341" max="3341" width="14.28515625" bestFit="1" customWidth="1"/>
    <col min="3578" max="3578" width="2.7109375" customWidth="1"/>
    <col min="3579" max="3579" width="0" hidden="1" customWidth="1"/>
    <col min="3580" max="3580" width="57.5703125" customWidth="1"/>
    <col min="3581" max="3581" width="15.42578125" customWidth="1"/>
    <col min="3582" max="3582" width="14.42578125" customWidth="1"/>
    <col min="3583" max="3586" width="12.7109375" customWidth="1"/>
    <col min="3593" max="3593" width="11.5703125" bestFit="1" customWidth="1"/>
    <col min="3597" max="3597" width="14.28515625" bestFit="1" customWidth="1"/>
    <col min="3834" max="3834" width="2.7109375" customWidth="1"/>
    <col min="3835" max="3835" width="0" hidden="1" customWidth="1"/>
    <col min="3836" max="3836" width="57.5703125" customWidth="1"/>
    <col min="3837" max="3837" width="15.42578125" customWidth="1"/>
    <col min="3838" max="3838" width="14.42578125" customWidth="1"/>
    <col min="3839" max="3842" width="12.7109375" customWidth="1"/>
    <col min="3849" max="3849" width="11.5703125" bestFit="1" customWidth="1"/>
    <col min="3853" max="3853" width="14.28515625" bestFit="1" customWidth="1"/>
    <col min="4090" max="4090" width="2.7109375" customWidth="1"/>
    <col min="4091" max="4091" width="0" hidden="1" customWidth="1"/>
    <col min="4092" max="4092" width="57.5703125" customWidth="1"/>
    <col min="4093" max="4093" width="15.42578125" customWidth="1"/>
    <col min="4094" max="4094" width="14.42578125" customWidth="1"/>
    <col min="4095" max="4098" width="12.7109375" customWidth="1"/>
    <col min="4105" max="4105" width="11.5703125" bestFit="1" customWidth="1"/>
    <col min="4109" max="4109" width="14.28515625" bestFit="1" customWidth="1"/>
    <col min="4346" max="4346" width="2.7109375" customWidth="1"/>
    <col min="4347" max="4347" width="0" hidden="1" customWidth="1"/>
    <col min="4348" max="4348" width="57.5703125" customWidth="1"/>
    <col min="4349" max="4349" width="15.42578125" customWidth="1"/>
    <col min="4350" max="4350" width="14.42578125" customWidth="1"/>
    <col min="4351" max="4354" width="12.7109375" customWidth="1"/>
    <col min="4361" max="4361" width="11.5703125" bestFit="1" customWidth="1"/>
    <col min="4365" max="4365" width="14.28515625" bestFit="1" customWidth="1"/>
    <col min="4602" max="4602" width="2.7109375" customWidth="1"/>
    <col min="4603" max="4603" width="0" hidden="1" customWidth="1"/>
    <col min="4604" max="4604" width="57.5703125" customWidth="1"/>
    <col min="4605" max="4605" width="15.42578125" customWidth="1"/>
    <col min="4606" max="4606" width="14.42578125" customWidth="1"/>
    <col min="4607" max="4610" width="12.7109375" customWidth="1"/>
    <col min="4617" max="4617" width="11.5703125" bestFit="1" customWidth="1"/>
    <col min="4621" max="4621" width="14.28515625" bestFit="1" customWidth="1"/>
    <col min="4858" max="4858" width="2.7109375" customWidth="1"/>
    <col min="4859" max="4859" width="0" hidden="1" customWidth="1"/>
    <col min="4860" max="4860" width="57.5703125" customWidth="1"/>
    <col min="4861" max="4861" width="15.42578125" customWidth="1"/>
    <col min="4862" max="4862" width="14.42578125" customWidth="1"/>
    <col min="4863" max="4866" width="12.7109375" customWidth="1"/>
    <col min="4873" max="4873" width="11.5703125" bestFit="1" customWidth="1"/>
    <col min="4877" max="4877" width="14.28515625" bestFit="1" customWidth="1"/>
    <col min="5114" max="5114" width="2.7109375" customWidth="1"/>
    <col min="5115" max="5115" width="0" hidden="1" customWidth="1"/>
    <col min="5116" max="5116" width="57.5703125" customWidth="1"/>
    <col min="5117" max="5117" width="15.42578125" customWidth="1"/>
    <col min="5118" max="5118" width="14.42578125" customWidth="1"/>
    <col min="5119" max="5122" width="12.7109375" customWidth="1"/>
    <col min="5129" max="5129" width="11.5703125" bestFit="1" customWidth="1"/>
    <col min="5133" max="5133" width="14.28515625" bestFit="1" customWidth="1"/>
    <col min="5370" max="5370" width="2.7109375" customWidth="1"/>
    <col min="5371" max="5371" width="0" hidden="1" customWidth="1"/>
    <col min="5372" max="5372" width="57.5703125" customWidth="1"/>
    <col min="5373" max="5373" width="15.42578125" customWidth="1"/>
    <col min="5374" max="5374" width="14.42578125" customWidth="1"/>
    <col min="5375" max="5378" width="12.7109375" customWidth="1"/>
    <col min="5385" max="5385" width="11.5703125" bestFit="1" customWidth="1"/>
    <col min="5389" max="5389" width="14.28515625" bestFit="1" customWidth="1"/>
    <col min="5626" max="5626" width="2.7109375" customWidth="1"/>
    <col min="5627" max="5627" width="0" hidden="1" customWidth="1"/>
    <col min="5628" max="5628" width="57.5703125" customWidth="1"/>
    <col min="5629" max="5629" width="15.42578125" customWidth="1"/>
    <col min="5630" max="5630" width="14.42578125" customWidth="1"/>
    <col min="5631" max="5634" width="12.7109375" customWidth="1"/>
    <col min="5641" max="5641" width="11.5703125" bestFit="1" customWidth="1"/>
    <col min="5645" max="5645" width="14.28515625" bestFit="1" customWidth="1"/>
    <col min="5882" max="5882" width="2.7109375" customWidth="1"/>
    <col min="5883" max="5883" width="0" hidden="1" customWidth="1"/>
    <col min="5884" max="5884" width="57.5703125" customWidth="1"/>
    <col min="5885" max="5885" width="15.42578125" customWidth="1"/>
    <col min="5886" max="5886" width="14.42578125" customWidth="1"/>
    <col min="5887" max="5890" width="12.7109375" customWidth="1"/>
    <col min="5897" max="5897" width="11.5703125" bestFit="1" customWidth="1"/>
    <col min="5901" max="5901" width="14.28515625" bestFit="1" customWidth="1"/>
    <col min="6138" max="6138" width="2.7109375" customWidth="1"/>
    <col min="6139" max="6139" width="0" hidden="1" customWidth="1"/>
    <col min="6140" max="6140" width="57.5703125" customWidth="1"/>
    <col min="6141" max="6141" width="15.42578125" customWidth="1"/>
    <col min="6142" max="6142" width="14.42578125" customWidth="1"/>
    <col min="6143" max="6146" width="12.7109375" customWidth="1"/>
    <col min="6153" max="6153" width="11.5703125" bestFit="1" customWidth="1"/>
    <col min="6157" max="6157" width="14.28515625" bestFit="1" customWidth="1"/>
    <col min="6394" max="6394" width="2.7109375" customWidth="1"/>
    <col min="6395" max="6395" width="0" hidden="1" customWidth="1"/>
    <col min="6396" max="6396" width="57.5703125" customWidth="1"/>
    <col min="6397" max="6397" width="15.42578125" customWidth="1"/>
    <col min="6398" max="6398" width="14.42578125" customWidth="1"/>
    <col min="6399" max="6402" width="12.7109375" customWidth="1"/>
    <col min="6409" max="6409" width="11.5703125" bestFit="1" customWidth="1"/>
    <col min="6413" max="6413" width="14.28515625" bestFit="1" customWidth="1"/>
    <col min="6650" max="6650" width="2.7109375" customWidth="1"/>
    <col min="6651" max="6651" width="0" hidden="1" customWidth="1"/>
    <col min="6652" max="6652" width="57.5703125" customWidth="1"/>
    <col min="6653" max="6653" width="15.42578125" customWidth="1"/>
    <col min="6654" max="6654" width="14.42578125" customWidth="1"/>
    <col min="6655" max="6658" width="12.7109375" customWidth="1"/>
    <col min="6665" max="6665" width="11.5703125" bestFit="1" customWidth="1"/>
    <col min="6669" max="6669" width="14.28515625" bestFit="1" customWidth="1"/>
    <col min="6906" max="6906" width="2.7109375" customWidth="1"/>
    <col min="6907" max="6907" width="0" hidden="1" customWidth="1"/>
    <col min="6908" max="6908" width="57.5703125" customWidth="1"/>
    <col min="6909" max="6909" width="15.42578125" customWidth="1"/>
    <col min="6910" max="6910" width="14.42578125" customWidth="1"/>
    <col min="6911" max="6914" width="12.7109375" customWidth="1"/>
    <col min="6921" max="6921" width="11.5703125" bestFit="1" customWidth="1"/>
    <col min="6925" max="6925" width="14.28515625" bestFit="1" customWidth="1"/>
    <col min="7162" max="7162" width="2.7109375" customWidth="1"/>
    <col min="7163" max="7163" width="0" hidden="1" customWidth="1"/>
    <col min="7164" max="7164" width="57.5703125" customWidth="1"/>
    <col min="7165" max="7165" width="15.42578125" customWidth="1"/>
    <col min="7166" max="7166" width="14.42578125" customWidth="1"/>
    <col min="7167" max="7170" width="12.7109375" customWidth="1"/>
    <col min="7177" max="7177" width="11.5703125" bestFit="1" customWidth="1"/>
    <col min="7181" max="7181" width="14.28515625" bestFit="1" customWidth="1"/>
    <col min="7418" max="7418" width="2.7109375" customWidth="1"/>
    <col min="7419" max="7419" width="0" hidden="1" customWidth="1"/>
    <col min="7420" max="7420" width="57.5703125" customWidth="1"/>
    <col min="7421" max="7421" width="15.42578125" customWidth="1"/>
    <col min="7422" max="7422" width="14.42578125" customWidth="1"/>
    <col min="7423" max="7426" width="12.7109375" customWidth="1"/>
    <col min="7433" max="7433" width="11.5703125" bestFit="1" customWidth="1"/>
    <col min="7437" max="7437" width="14.28515625" bestFit="1" customWidth="1"/>
    <col min="7674" max="7674" width="2.7109375" customWidth="1"/>
    <col min="7675" max="7675" width="0" hidden="1" customWidth="1"/>
    <col min="7676" max="7676" width="57.5703125" customWidth="1"/>
    <col min="7677" max="7677" width="15.42578125" customWidth="1"/>
    <col min="7678" max="7678" width="14.42578125" customWidth="1"/>
    <col min="7679" max="7682" width="12.7109375" customWidth="1"/>
    <col min="7689" max="7689" width="11.5703125" bestFit="1" customWidth="1"/>
    <col min="7693" max="7693" width="14.28515625" bestFit="1" customWidth="1"/>
    <col min="7930" max="7930" width="2.7109375" customWidth="1"/>
    <col min="7931" max="7931" width="0" hidden="1" customWidth="1"/>
    <col min="7932" max="7932" width="57.5703125" customWidth="1"/>
    <col min="7933" max="7933" width="15.42578125" customWidth="1"/>
    <col min="7934" max="7934" width="14.42578125" customWidth="1"/>
    <col min="7935" max="7938" width="12.7109375" customWidth="1"/>
    <col min="7945" max="7945" width="11.5703125" bestFit="1" customWidth="1"/>
    <col min="7949" max="7949" width="14.28515625" bestFit="1" customWidth="1"/>
    <col min="8186" max="8186" width="2.7109375" customWidth="1"/>
    <col min="8187" max="8187" width="0" hidden="1" customWidth="1"/>
    <col min="8188" max="8188" width="57.5703125" customWidth="1"/>
    <col min="8189" max="8189" width="15.42578125" customWidth="1"/>
    <col min="8190" max="8190" width="14.42578125" customWidth="1"/>
    <col min="8191" max="8194" width="12.7109375" customWidth="1"/>
    <col min="8201" max="8201" width="11.5703125" bestFit="1" customWidth="1"/>
    <col min="8205" max="8205" width="14.28515625" bestFit="1" customWidth="1"/>
    <col min="8442" max="8442" width="2.7109375" customWidth="1"/>
    <col min="8443" max="8443" width="0" hidden="1" customWidth="1"/>
    <col min="8444" max="8444" width="57.5703125" customWidth="1"/>
    <col min="8445" max="8445" width="15.42578125" customWidth="1"/>
    <col min="8446" max="8446" width="14.42578125" customWidth="1"/>
    <col min="8447" max="8450" width="12.7109375" customWidth="1"/>
    <col min="8457" max="8457" width="11.5703125" bestFit="1" customWidth="1"/>
    <col min="8461" max="8461" width="14.28515625" bestFit="1" customWidth="1"/>
    <col min="8698" max="8698" width="2.7109375" customWidth="1"/>
    <col min="8699" max="8699" width="0" hidden="1" customWidth="1"/>
    <col min="8700" max="8700" width="57.5703125" customWidth="1"/>
    <col min="8701" max="8701" width="15.42578125" customWidth="1"/>
    <col min="8702" max="8702" width="14.42578125" customWidth="1"/>
    <col min="8703" max="8706" width="12.7109375" customWidth="1"/>
    <col min="8713" max="8713" width="11.5703125" bestFit="1" customWidth="1"/>
    <col min="8717" max="8717" width="14.28515625" bestFit="1" customWidth="1"/>
    <col min="8954" max="8954" width="2.7109375" customWidth="1"/>
    <col min="8955" max="8955" width="0" hidden="1" customWidth="1"/>
    <col min="8956" max="8956" width="57.5703125" customWidth="1"/>
    <col min="8957" max="8957" width="15.42578125" customWidth="1"/>
    <col min="8958" max="8958" width="14.42578125" customWidth="1"/>
    <col min="8959" max="8962" width="12.7109375" customWidth="1"/>
    <col min="8969" max="8969" width="11.5703125" bestFit="1" customWidth="1"/>
    <col min="8973" max="8973" width="14.28515625" bestFit="1" customWidth="1"/>
    <col min="9210" max="9210" width="2.7109375" customWidth="1"/>
    <col min="9211" max="9211" width="0" hidden="1" customWidth="1"/>
    <col min="9212" max="9212" width="57.5703125" customWidth="1"/>
    <col min="9213" max="9213" width="15.42578125" customWidth="1"/>
    <col min="9214" max="9214" width="14.42578125" customWidth="1"/>
    <col min="9215" max="9218" width="12.7109375" customWidth="1"/>
    <col min="9225" max="9225" width="11.5703125" bestFit="1" customWidth="1"/>
    <col min="9229" max="9229" width="14.28515625" bestFit="1" customWidth="1"/>
    <col min="9466" max="9466" width="2.7109375" customWidth="1"/>
    <col min="9467" max="9467" width="0" hidden="1" customWidth="1"/>
    <col min="9468" max="9468" width="57.5703125" customWidth="1"/>
    <col min="9469" max="9469" width="15.42578125" customWidth="1"/>
    <col min="9470" max="9470" width="14.42578125" customWidth="1"/>
    <col min="9471" max="9474" width="12.7109375" customWidth="1"/>
    <col min="9481" max="9481" width="11.5703125" bestFit="1" customWidth="1"/>
    <col min="9485" max="9485" width="14.28515625" bestFit="1" customWidth="1"/>
    <col min="9722" max="9722" width="2.7109375" customWidth="1"/>
    <col min="9723" max="9723" width="0" hidden="1" customWidth="1"/>
    <col min="9724" max="9724" width="57.5703125" customWidth="1"/>
    <col min="9725" max="9725" width="15.42578125" customWidth="1"/>
    <col min="9726" max="9726" width="14.42578125" customWidth="1"/>
    <col min="9727" max="9730" width="12.7109375" customWidth="1"/>
    <col min="9737" max="9737" width="11.5703125" bestFit="1" customWidth="1"/>
    <col min="9741" max="9741" width="14.28515625" bestFit="1" customWidth="1"/>
    <col min="9978" max="9978" width="2.7109375" customWidth="1"/>
    <col min="9979" max="9979" width="0" hidden="1" customWidth="1"/>
    <col min="9980" max="9980" width="57.5703125" customWidth="1"/>
    <col min="9981" max="9981" width="15.42578125" customWidth="1"/>
    <col min="9982" max="9982" width="14.42578125" customWidth="1"/>
    <col min="9983" max="9986" width="12.7109375" customWidth="1"/>
    <col min="9993" max="9993" width="11.5703125" bestFit="1" customWidth="1"/>
    <col min="9997" max="9997" width="14.28515625" bestFit="1" customWidth="1"/>
    <col min="10234" max="10234" width="2.7109375" customWidth="1"/>
    <col min="10235" max="10235" width="0" hidden="1" customWidth="1"/>
    <col min="10236" max="10236" width="57.5703125" customWidth="1"/>
    <col min="10237" max="10237" width="15.42578125" customWidth="1"/>
    <col min="10238" max="10238" width="14.42578125" customWidth="1"/>
    <col min="10239" max="10242" width="12.7109375" customWidth="1"/>
    <col min="10249" max="10249" width="11.5703125" bestFit="1" customWidth="1"/>
    <col min="10253" max="10253" width="14.28515625" bestFit="1" customWidth="1"/>
    <col min="10490" max="10490" width="2.7109375" customWidth="1"/>
    <col min="10491" max="10491" width="0" hidden="1" customWidth="1"/>
    <col min="10492" max="10492" width="57.5703125" customWidth="1"/>
    <col min="10493" max="10493" width="15.42578125" customWidth="1"/>
    <col min="10494" max="10494" width="14.42578125" customWidth="1"/>
    <col min="10495" max="10498" width="12.7109375" customWidth="1"/>
    <col min="10505" max="10505" width="11.5703125" bestFit="1" customWidth="1"/>
    <col min="10509" max="10509" width="14.28515625" bestFit="1" customWidth="1"/>
    <col min="10746" max="10746" width="2.7109375" customWidth="1"/>
    <col min="10747" max="10747" width="0" hidden="1" customWidth="1"/>
    <col min="10748" max="10748" width="57.5703125" customWidth="1"/>
    <col min="10749" max="10749" width="15.42578125" customWidth="1"/>
    <col min="10750" max="10750" width="14.42578125" customWidth="1"/>
    <col min="10751" max="10754" width="12.7109375" customWidth="1"/>
    <col min="10761" max="10761" width="11.5703125" bestFit="1" customWidth="1"/>
    <col min="10765" max="10765" width="14.28515625" bestFit="1" customWidth="1"/>
    <col min="11002" max="11002" width="2.7109375" customWidth="1"/>
    <col min="11003" max="11003" width="0" hidden="1" customWidth="1"/>
    <col min="11004" max="11004" width="57.5703125" customWidth="1"/>
    <col min="11005" max="11005" width="15.42578125" customWidth="1"/>
    <col min="11006" max="11006" width="14.42578125" customWidth="1"/>
    <col min="11007" max="11010" width="12.7109375" customWidth="1"/>
    <col min="11017" max="11017" width="11.5703125" bestFit="1" customWidth="1"/>
    <col min="11021" max="11021" width="14.28515625" bestFit="1" customWidth="1"/>
    <col min="11258" max="11258" width="2.7109375" customWidth="1"/>
    <col min="11259" max="11259" width="0" hidden="1" customWidth="1"/>
    <col min="11260" max="11260" width="57.5703125" customWidth="1"/>
    <col min="11261" max="11261" width="15.42578125" customWidth="1"/>
    <col min="11262" max="11262" width="14.42578125" customWidth="1"/>
    <col min="11263" max="11266" width="12.7109375" customWidth="1"/>
    <col min="11273" max="11273" width="11.5703125" bestFit="1" customWidth="1"/>
    <col min="11277" max="11277" width="14.28515625" bestFit="1" customWidth="1"/>
    <col min="11514" max="11514" width="2.7109375" customWidth="1"/>
    <col min="11515" max="11515" width="0" hidden="1" customWidth="1"/>
    <col min="11516" max="11516" width="57.5703125" customWidth="1"/>
    <col min="11517" max="11517" width="15.42578125" customWidth="1"/>
    <col min="11518" max="11518" width="14.42578125" customWidth="1"/>
    <col min="11519" max="11522" width="12.7109375" customWidth="1"/>
    <col min="11529" max="11529" width="11.5703125" bestFit="1" customWidth="1"/>
    <col min="11533" max="11533" width="14.28515625" bestFit="1" customWidth="1"/>
    <col min="11770" max="11770" width="2.7109375" customWidth="1"/>
    <col min="11771" max="11771" width="0" hidden="1" customWidth="1"/>
    <col min="11772" max="11772" width="57.5703125" customWidth="1"/>
    <col min="11773" max="11773" width="15.42578125" customWidth="1"/>
    <col min="11774" max="11774" width="14.42578125" customWidth="1"/>
    <col min="11775" max="11778" width="12.7109375" customWidth="1"/>
    <col min="11785" max="11785" width="11.5703125" bestFit="1" customWidth="1"/>
    <col min="11789" max="11789" width="14.28515625" bestFit="1" customWidth="1"/>
    <col min="12026" max="12026" width="2.7109375" customWidth="1"/>
    <col min="12027" max="12027" width="0" hidden="1" customWidth="1"/>
    <col min="12028" max="12028" width="57.5703125" customWidth="1"/>
    <col min="12029" max="12029" width="15.42578125" customWidth="1"/>
    <col min="12030" max="12030" width="14.42578125" customWidth="1"/>
    <col min="12031" max="12034" width="12.7109375" customWidth="1"/>
    <col min="12041" max="12041" width="11.5703125" bestFit="1" customWidth="1"/>
    <col min="12045" max="12045" width="14.28515625" bestFit="1" customWidth="1"/>
    <col min="12282" max="12282" width="2.7109375" customWidth="1"/>
    <col min="12283" max="12283" width="0" hidden="1" customWidth="1"/>
    <col min="12284" max="12284" width="57.5703125" customWidth="1"/>
    <col min="12285" max="12285" width="15.42578125" customWidth="1"/>
    <col min="12286" max="12286" width="14.42578125" customWidth="1"/>
    <col min="12287" max="12290" width="12.7109375" customWidth="1"/>
    <col min="12297" max="12297" width="11.5703125" bestFit="1" customWidth="1"/>
    <col min="12301" max="12301" width="14.28515625" bestFit="1" customWidth="1"/>
    <col min="12538" max="12538" width="2.7109375" customWidth="1"/>
    <col min="12539" max="12539" width="0" hidden="1" customWidth="1"/>
    <col min="12540" max="12540" width="57.5703125" customWidth="1"/>
    <col min="12541" max="12541" width="15.42578125" customWidth="1"/>
    <col min="12542" max="12542" width="14.42578125" customWidth="1"/>
    <col min="12543" max="12546" width="12.7109375" customWidth="1"/>
    <col min="12553" max="12553" width="11.5703125" bestFit="1" customWidth="1"/>
    <col min="12557" max="12557" width="14.28515625" bestFit="1" customWidth="1"/>
    <col min="12794" max="12794" width="2.7109375" customWidth="1"/>
    <col min="12795" max="12795" width="0" hidden="1" customWidth="1"/>
    <col min="12796" max="12796" width="57.5703125" customWidth="1"/>
    <col min="12797" max="12797" width="15.42578125" customWidth="1"/>
    <col min="12798" max="12798" width="14.42578125" customWidth="1"/>
    <col min="12799" max="12802" width="12.7109375" customWidth="1"/>
    <col min="12809" max="12809" width="11.5703125" bestFit="1" customWidth="1"/>
    <col min="12813" max="12813" width="14.28515625" bestFit="1" customWidth="1"/>
    <col min="13050" max="13050" width="2.7109375" customWidth="1"/>
    <col min="13051" max="13051" width="0" hidden="1" customWidth="1"/>
    <col min="13052" max="13052" width="57.5703125" customWidth="1"/>
    <col min="13053" max="13053" width="15.42578125" customWidth="1"/>
    <col min="13054" max="13054" width="14.42578125" customWidth="1"/>
    <col min="13055" max="13058" width="12.7109375" customWidth="1"/>
    <col min="13065" max="13065" width="11.5703125" bestFit="1" customWidth="1"/>
    <col min="13069" max="13069" width="14.28515625" bestFit="1" customWidth="1"/>
    <col min="13306" max="13306" width="2.7109375" customWidth="1"/>
    <col min="13307" max="13307" width="0" hidden="1" customWidth="1"/>
    <col min="13308" max="13308" width="57.5703125" customWidth="1"/>
    <col min="13309" max="13309" width="15.42578125" customWidth="1"/>
    <col min="13310" max="13310" width="14.42578125" customWidth="1"/>
    <col min="13311" max="13314" width="12.7109375" customWidth="1"/>
    <col min="13321" max="13321" width="11.5703125" bestFit="1" customWidth="1"/>
    <col min="13325" max="13325" width="14.28515625" bestFit="1" customWidth="1"/>
    <col min="13562" max="13562" width="2.7109375" customWidth="1"/>
    <col min="13563" max="13563" width="0" hidden="1" customWidth="1"/>
    <col min="13564" max="13564" width="57.5703125" customWidth="1"/>
    <col min="13565" max="13565" width="15.42578125" customWidth="1"/>
    <col min="13566" max="13566" width="14.42578125" customWidth="1"/>
    <col min="13567" max="13570" width="12.7109375" customWidth="1"/>
    <col min="13577" max="13577" width="11.5703125" bestFit="1" customWidth="1"/>
    <col min="13581" max="13581" width="14.28515625" bestFit="1" customWidth="1"/>
    <col min="13818" max="13818" width="2.7109375" customWidth="1"/>
    <col min="13819" max="13819" width="0" hidden="1" customWidth="1"/>
    <col min="13820" max="13820" width="57.5703125" customWidth="1"/>
    <col min="13821" max="13821" width="15.42578125" customWidth="1"/>
    <col min="13822" max="13822" width="14.42578125" customWidth="1"/>
    <col min="13823" max="13826" width="12.7109375" customWidth="1"/>
    <col min="13833" max="13833" width="11.5703125" bestFit="1" customWidth="1"/>
    <col min="13837" max="13837" width="14.28515625" bestFit="1" customWidth="1"/>
    <col min="14074" max="14074" width="2.7109375" customWidth="1"/>
    <col min="14075" max="14075" width="0" hidden="1" customWidth="1"/>
    <col min="14076" max="14076" width="57.5703125" customWidth="1"/>
    <col min="14077" max="14077" width="15.42578125" customWidth="1"/>
    <col min="14078" max="14078" width="14.42578125" customWidth="1"/>
    <col min="14079" max="14082" width="12.7109375" customWidth="1"/>
    <col min="14089" max="14089" width="11.5703125" bestFit="1" customWidth="1"/>
    <col min="14093" max="14093" width="14.28515625" bestFit="1" customWidth="1"/>
    <col min="14330" max="14330" width="2.7109375" customWidth="1"/>
    <col min="14331" max="14331" width="0" hidden="1" customWidth="1"/>
    <col min="14332" max="14332" width="57.5703125" customWidth="1"/>
    <col min="14333" max="14333" width="15.42578125" customWidth="1"/>
    <col min="14334" max="14334" width="14.42578125" customWidth="1"/>
    <col min="14335" max="14338" width="12.7109375" customWidth="1"/>
    <col min="14345" max="14345" width="11.5703125" bestFit="1" customWidth="1"/>
    <col min="14349" max="14349" width="14.28515625" bestFit="1" customWidth="1"/>
    <col min="14586" max="14586" width="2.7109375" customWidth="1"/>
    <col min="14587" max="14587" width="0" hidden="1" customWidth="1"/>
    <col min="14588" max="14588" width="57.5703125" customWidth="1"/>
    <col min="14589" max="14589" width="15.42578125" customWidth="1"/>
    <col min="14590" max="14590" width="14.42578125" customWidth="1"/>
    <col min="14591" max="14594" width="12.7109375" customWidth="1"/>
    <col min="14601" max="14601" width="11.5703125" bestFit="1" customWidth="1"/>
    <col min="14605" max="14605" width="14.28515625" bestFit="1" customWidth="1"/>
    <col min="14842" max="14842" width="2.7109375" customWidth="1"/>
    <col min="14843" max="14843" width="0" hidden="1" customWidth="1"/>
    <col min="14844" max="14844" width="57.5703125" customWidth="1"/>
    <col min="14845" max="14845" width="15.42578125" customWidth="1"/>
    <col min="14846" max="14846" width="14.42578125" customWidth="1"/>
    <col min="14847" max="14850" width="12.7109375" customWidth="1"/>
    <col min="14857" max="14857" width="11.5703125" bestFit="1" customWidth="1"/>
    <col min="14861" max="14861" width="14.28515625" bestFit="1" customWidth="1"/>
    <col min="15098" max="15098" width="2.7109375" customWidth="1"/>
    <col min="15099" max="15099" width="0" hidden="1" customWidth="1"/>
    <col min="15100" max="15100" width="57.5703125" customWidth="1"/>
    <col min="15101" max="15101" width="15.42578125" customWidth="1"/>
    <col min="15102" max="15102" width="14.42578125" customWidth="1"/>
    <col min="15103" max="15106" width="12.7109375" customWidth="1"/>
    <col min="15113" max="15113" width="11.5703125" bestFit="1" customWidth="1"/>
    <col min="15117" max="15117" width="14.28515625" bestFit="1" customWidth="1"/>
    <col min="15354" max="15354" width="2.7109375" customWidth="1"/>
    <col min="15355" max="15355" width="0" hidden="1" customWidth="1"/>
    <col min="15356" max="15356" width="57.5703125" customWidth="1"/>
    <col min="15357" max="15357" width="15.42578125" customWidth="1"/>
    <col min="15358" max="15358" width="14.42578125" customWidth="1"/>
    <col min="15359" max="15362" width="12.7109375" customWidth="1"/>
    <col min="15369" max="15369" width="11.5703125" bestFit="1" customWidth="1"/>
    <col min="15373" max="15373" width="14.28515625" bestFit="1" customWidth="1"/>
    <col min="15610" max="15610" width="2.7109375" customWidth="1"/>
    <col min="15611" max="15611" width="0" hidden="1" customWidth="1"/>
    <col min="15612" max="15612" width="57.5703125" customWidth="1"/>
    <col min="15613" max="15613" width="15.42578125" customWidth="1"/>
    <col min="15614" max="15614" width="14.42578125" customWidth="1"/>
    <col min="15615" max="15618" width="12.7109375" customWidth="1"/>
    <col min="15625" max="15625" width="11.5703125" bestFit="1" customWidth="1"/>
    <col min="15629" max="15629" width="14.28515625" bestFit="1" customWidth="1"/>
    <col min="15866" max="15866" width="2.7109375" customWidth="1"/>
    <col min="15867" max="15867" width="0" hidden="1" customWidth="1"/>
    <col min="15868" max="15868" width="57.5703125" customWidth="1"/>
    <col min="15869" max="15869" width="15.42578125" customWidth="1"/>
    <col min="15870" max="15870" width="14.42578125" customWidth="1"/>
    <col min="15871" max="15874" width="12.7109375" customWidth="1"/>
    <col min="15881" max="15881" width="11.5703125" bestFit="1" customWidth="1"/>
    <col min="15885" max="15885" width="14.28515625" bestFit="1" customWidth="1"/>
    <col min="16122" max="16122" width="2.7109375" customWidth="1"/>
    <col min="16123" max="16123" width="0" hidden="1" customWidth="1"/>
    <col min="16124" max="16124" width="57.5703125" customWidth="1"/>
    <col min="16125" max="16125" width="15.42578125" customWidth="1"/>
    <col min="16126" max="16126" width="14.42578125" customWidth="1"/>
    <col min="16127" max="16130" width="12.7109375" customWidth="1"/>
    <col min="16137" max="16137" width="11.5703125" bestFit="1" customWidth="1"/>
    <col min="16141" max="16141" width="14.28515625" bestFit="1" customWidth="1"/>
  </cols>
  <sheetData>
    <row r="1" spans="1:9" s="75" customFormat="1" ht="18.75">
      <c r="A1" s="111" t="s">
        <v>132</v>
      </c>
      <c r="B1" s="74"/>
      <c r="C1" s="74"/>
      <c r="D1" s="74"/>
      <c r="E1" s="74"/>
      <c r="F1" s="74"/>
      <c r="G1" s="74"/>
      <c r="H1" s="74"/>
      <c r="I1" s="74"/>
    </row>
    <row r="2" spans="1:9" s="79" customFormat="1" ht="20.100000000000001" customHeight="1">
      <c r="A2" s="76" t="s">
        <v>133</v>
      </c>
      <c r="B2" s="77"/>
      <c r="C2" s="78">
        <f>IF(Inputs!B2="No",Inputs!B10,IF(Inputs!B2="Yes",Normalizer!D14))</f>
        <v>4257379</v>
      </c>
      <c r="D2" s="76"/>
      <c r="E2" s="77"/>
      <c r="F2" s="77"/>
      <c r="G2" s="77"/>
      <c r="H2" s="77"/>
    </row>
    <row r="3" spans="1:9" s="79" customFormat="1" ht="20.100000000000001" customHeight="1">
      <c r="A3" s="79" t="s">
        <v>134</v>
      </c>
      <c r="C3" s="78">
        <f>C2-Inputs!B11</f>
        <v>3955876</v>
      </c>
      <c r="D3" s="76"/>
      <c r="E3"/>
    </row>
    <row r="4" spans="1:9" s="79" customFormat="1" ht="20.100000000000001" customHeight="1">
      <c r="A4" s="79" t="s">
        <v>135</v>
      </c>
      <c r="C4" s="78">
        <f>Inputs!B9</f>
        <v>6172</v>
      </c>
      <c r="D4" s="76"/>
      <c r="E4"/>
    </row>
    <row r="5" spans="1:9" s="79" customFormat="1" ht="20.100000000000001" customHeight="1">
      <c r="A5" s="79" t="s">
        <v>13</v>
      </c>
      <c r="C5" s="78">
        <f>Inputs!B14</f>
        <v>1741855</v>
      </c>
      <c r="D5" s="76"/>
      <c r="E5"/>
    </row>
    <row r="6" spans="1:9" s="79" customFormat="1" ht="20.100000000000001" customHeight="1">
      <c r="A6" s="79" t="s">
        <v>136</v>
      </c>
      <c r="C6" s="78">
        <f>Inputs!B15</f>
        <v>290131</v>
      </c>
      <c r="D6" s="76"/>
      <c r="E6"/>
    </row>
    <row r="7" spans="1:9" s="79" customFormat="1" ht="20.100000000000001" customHeight="1">
      <c r="A7" s="79" t="s">
        <v>137</v>
      </c>
      <c r="C7" s="80">
        <f>Inputs!B16</f>
        <v>0.25</v>
      </c>
      <c r="D7" s="76"/>
      <c r="E7"/>
    </row>
    <row r="8" spans="1:9" s="79" customFormat="1" ht="20.100000000000001" customHeight="1">
      <c r="A8" s="79" t="s">
        <v>138</v>
      </c>
      <c r="C8" s="78">
        <f>Inputs!B6</f>
        <v>15752866</v>
      </c>
      <c r="D8" s="76"/>
      <c r="E8"/>
    </row>
    <row r="9" spans="1:9" s="79" customFormat="1" ht="20.100000000000001" customHeight="1">
      <c r="A9" s="79" t="s">
        <v>139</v>
      </c>
      <c r="C9" s="78">
        <f>Inputs!B23</f>
        <v>1487018</v>
      </c>
      <c r="D9" s="76"/>
      <c r="E9"/>
    </row>
    <row r="10" spans="1:9" s="79" customFormat="1" ht="20.100000000000001" customHeight="1">
      <c r="A10" s="79" t="s">
        <v>23</v>
      </c>
      <c r="C10" s="78">
        <f>IF(Inputs!B24&lt;0,(Inputs!B6-Inputs!F6)*(Inputs!B23/Inputs!B6),Inputs!B24)</f>
        <v>879837</v>
      </c>
      <c r="D10" s="76"/>
      <c r="E10"/>
    </row>
    <row r="11" spans="1:9" s="79" customFormat="1" ht="20.100000000000001" customHeight="1">
      <c r="A11" s="79" t="s">
        <v>26</v>
      </c>
      <c r="C11" s="78">
        <f>Inputs!B27</f>
        <v>567960</v>
      </c>
      <c r="D11" s="76"/>
      <c r="E11"/>
    </row>
    <row r="12" spans="1:9" s="79" customFormat="1" ht="20.100000000000001" customHeight="1">
      <c r="A12" s="79" t="s">
        <v>27</v>
      </c>
      <c r="C12" s="78">
        <f>Inputs!B28</f>
        <v>7964437</v>
      </c>
      <c r="D12" s="76"/>
      <c r="E12"/>
    </row>
    <row r="13" spans="1:9" s="79" customFormat="1" ht="20.100000000000001" customHeight="1">
      <c r="C13" s="81"/>
      <c r="D13" s="82"/>
    </row>
    <row r="14" spans="1:9" s="83" customFormat="1" ht="20.100000000000001" customHeight="1">
      <c r="A14" s="79" t="s">
        <v>140</v>
      </c>
      <c r="B14" s="114"/>
      <c r="C14" s="84">
        <f>Inputs!B46</f>
        <v>2</v>
      </c>
      <c r="D14" s="84" t="s">
        <v>141</v>
      </c>
      <c r="E14" s="113"/>
    </row>
    <row r="15" spans="1:9" s="83" customFormat="1" ht="20.100000000000001" customHeight="1">
      <c r="A15" s="79" t="s">
        <v>142</v>
      </c>
      <c r="B15" s="114"/>
      <c r="C15" s="85">
        <f>IF(Inputs!B72="Yes",Valuation!C23*Valuation!C24,Inputs!B73)</f>
        <v>0.47019175214696457</v>
      </c>
      <c r="D15" s="86">
        <f>Inputs!B84</f>
        <v>0.12</v>
      </c>
      <c r="E15" s="113"/>
    </row>
    <row r="16" spans="1:9" s="83" customFormat="1" ht="20.100000000000001" customHeight="1">
      <c r="A16" s="79" t="s">
        <v>143</v>
      </c>
      <c r="B16" s="114"/>
      <c r="C16" s="86">
        <f>IF(Inputs!B63="Yes",Inputs!B54,Inputs!B61)</f>
        <v>0.21502413367481096</v>
      </c>
      <c r="D16" s="86">
        <f>IF(Inputs!B96="Yes",Inputs!B89,Inputs!B95)</f>
        <v>0.21502413367481096</v>
      </c>
      <c r="E16" s="113"/>
    </row>
    <row r="17" spans="1:13" s="83" customFormat="1" ht="20.100000000000001" customHeight="1">
      <c r="A17" s="79" t="s">
        <v>144</v>
      </c>
      <c r="B17" s="114"/>
      <c r="C17" s="87">
        <f>IF(Inputs!B40="Yes",Inputs!B41,Inputs!B42)</f>
        <v>0.18</v>
      </c>
      <c r="D17" s="86">
        <f>Inputs!B98</f>
        <v>0.18</v>
      </c>
      <c r="E17" s="113"/>
    </row>
    <row r="18" spans="1:13" s="79" customFormat="1" ht="20.100000000000001" customHeight="1">
      <c r="A18" s="79" t="s">
        <v>145</v>
      </c>
      <c r="B18" s="114"/>
      <c r="C18" s="87">
        <f>IF(Inputs!B68=1,Inputs!B65,IF(Inputs!B68=2,Inputs!B66,Inputs!B67))</f>
        <v>6.6565116461411722E-2</v>
      </c>
      <c r="D18" s="86">
        <f>Inputs!B97</f>
        <v>6.6565116461411722E-2</v>
      </c>
      <c r="E18" s="113"/>
    </row>
    <row r="19" spans="1:13" s="79" customFormat="1" ht="20.100000000000001" customHeight="1">
      <c r="A19" s="79" t="s">
        <v>146</v>
      </c>
      <c r="B19" s="114"/>
      <c r="C19" s="86">
        <f>1-C18</f>
        <v>0.93343488353858828</v>
      </c>
      <c r="D19" s="86">
        <f>1-D18</f>
        <v>0.93343488353858828</v>
      </c>
      <c r="E19" s="113"/>
    </row>
    <row r="20" spans="1:13" s="79" customFormat="1" ht="20.100000000000001" customHeight="1">
      <c r="A20" s="79" t="s">
        <v>147</v>
      </c>
      <c r="B20" s="114"/>
      <c r="C20" s="88">
        <f>1-C19</f>
        <v>6.6565116461411722E-2</v>
      </c>
      <c r="D20" s="86">
        <f>1-D19</f>
        <v>6.6565116461411722E-2</v>
      </c>
      <c r="E20" s="113"/>
    </row>
    <row r="21" spans="1:13" s="79" customFormat="1" ht="20.100000000000001" customHeight="1">
      <c r="A21" s="79" t="s">
        <v>148</v>
      </c>
      <c r="B21" s="114"/>
      <c r="C21" s="87">
        <f>Inputs!B16</f>
        <v>0.25</v>
      </c>
      <c r="D21" s="86">
        <f>Inputs!B99</f>
        <v>0.25</v>
      </c>
      <c r="E21" s="113"/>
    </row>
    <row r="22" spans="1:13" s="79" customFormat="1" ht="20.100000000000001" customHeight="1">
      <c r="A22" s="79" t="s">
        <v>149</v>
      </c>
      <c r="B22" s="114"/>
      <c r="C22" s="86">
        <f>C17*(1-C21)</f>
        <v>0.13500000000000001</v>
      </c>
      <c r="D22" s="86">
        <f>D17*(1-D21)</f>
        <v>0.13500000000000001</v>
      </c>
      <c r="E22" s="113"/>
    </row>
    <row r="23" spans="1:13" s="79" customFormat="1" ht="20.100000000000001" customHeight="1">
      <c r="A23" s="79" t="s">
        <v>150</v>
      </c>
      <c r="B23" s="114"/>
      <c r="C23" s="87">
        <f>IF(Inputs!B77="No",Inputs!B75,Inputs!B78)</f>
        <v>0.59831812283148256</v>
      </c>
      <c r="D23" s="86">
        <f>Inputs!B102</f>
        <v>0.25</v>
      </c>
      <c r="E23" s="113"/>
    </row>
    <row r="24" spans="1:13" s="79" customFormat="1" ht="20.100000000000001" customHeight="1">
      <c r="A24" s="79" t="s">
        <v>151</v>
      </c>
      <c r="B24" s="114"/>
      <c r="C24" s="87">
        <f>IF(Inputs!B77="No",Inputs!B76,Inputs!B79)</f>
        <v>0.78585577505462756</v>
      </c>
      <c r="D24" s="86">
        <f>IF(Inputs!B101="Yes",Inputs!B84/Inputs!B102,"Not used")</f>
        <v>0.48</v>
      </c>
      <c r="E24" s="113"/>
    </row>
    <row r="25" spans="1:13" s="79" customFormat="1" ht="20.100000000000001" customHeight="1">
      <c r="A25" s="79" t="s">
        <v>153</v>
      </c>
      <c r="B25" s="114"/>
      <c r="C25" s="86">
        <f>C16*C19+C22*C20</f>
        <v>0.20969731789702362</v>
      </c>
      <c r="D25" s="86">
        <f>D16*D19+D22*D20</f>
        <v>0.20969731789702362</v>
      </c>
      <c r="E25" s="113"/>
    </row>
    <row r="26" spans="1:13" s="79" customFormat="1" ht="20.100000000000001" customHeight="1">
      <c r="C26" s="81"/>
      <c r="D26" s="82"/>
    </row>
    <row r="27" spans="1:13" s="90" customFormat="1" ht="20.100000000000001" customHeight="1">
      <c r="A27" s="111" t="s">
        <v>152</v>
      </c>
      <c r="B27" s="89"/>
      <c r="C27" s="89"/>
      <c r="D27" s="89"/>
      <c r="E27" s="89"/>
      <c r="F27" s="89"/>
      <c r="G27" s="89"/>
      <c r="H27" s="89"/>
    </row>
    <row r="28" spans="1:13" s="79" customFormat="1" ht="20.100000000000001" customHeight="1">
      <c r="E28" s="82"/>
    </row>
    <row r="29" spans="1:13" s="79" customFormat="1" ht="20.100000000000001" customHeight="1">
      <c r="A29" s="84"/>
      <c r="B29" s="91" t="s">
        <v>171</v>
      </c>
      <c r="C29" s="84">
        <f>IF(Inputs!$B$48=0,"",1)</f>
        <v>1</v>
      </c>
      <c r="D29" s="84">
        <f>IF(Inputs!$B$48&lt;2,"",2)</f>
        <v>2</v>
      </c>
      <c r="E29" s="84">
        <f>IF(Inputs!$B$48&lt;3,"",3)</f>
        <v>3</v>
      </c>
      <c r="F29" s="84">
        <f>IF(Inputs!$B$48&lt;4,"",4)</f>
        <v>4</v>
      </c>
      <c r="G29" s="84">
        <f>IF(Inputs!$B$48&lt;5,"",5)</f>
        <v>5</v>
      </c>
      <c r="H29" s="84">
        <f>IF(Inputs!$B$48&lt;6,"",6)</f>
        <v>6</v>
      </c>
      <c r="I29" s="84">
        <f>IF(Inputs!$B$48&lt;7,"",7)</f>
        <v>7</v>
      </c>
      <c r="J29" s="84" t="str">
        <f>IF(Inputs!$B$48&lt;8,"",8)</f>
        <v/>
      </c>
      <c r="K29" s="84" t="str">
        <f>IF(Inputs!$B$48&lt;9,"",9)</f>
        <v/>
      </c>
      <c r="L29" s="84" t="str">
        <f>IF(Inputs!$B$48&lt;10,"",10)</f>
        <v/>
      </c>
      <c r="M29" s="92" t="s">
        <v>172</v>
      </c>
    </row>
    <row r="30" spans="1:13" s="79" customFormat="1" ht="20.100000000000001" customHeight="1">
      <c r="A30" s="93" t="s">
        <v>154</v>
      </c>
      <c r="B30" s="91"/>
      <c r="C30" s="85">
        <f>IF(Inputs!$B$48&lt;Valuation!C29,"",IF(Valuation!C29&lt;Inputs!$B$46+1,Valuation!$C$15,Valuation!$D$15+(Valuation!$C$15-Valuation!$D$15)/(Inputs!$B$47+1)*(Inputs!$B$46+Inputs!$B$47+1-Valuation!C29)))</f>
        <v>0.47019175214696457</v>
      </c>
      <c r="D30" s="85">
        <f>IF(Inputs!$B$48&lt;Valuation!D29,"",IF(Valuation!D29&lt;Inputs!$B$46+1,Valuation!$C$15,Valuation!$D$15+(Valuation!$C$15-Valuation!$D$15)/(Inputs!$B$47+1)*(Inputs!$B$46+Inputs!$B$47+1-Valuation!D29)))</f>
        <v>0.47019175214696457</v>
      </c>
      <c r="E30" s="85">
        <f>IF(Inputs!$B$48&lt;Valuation!E29,"",IF(Valuation!E29&lt;Inputs!$B$46+1,Valuation!$C$15,Valuation!$D$15+(Valuation!$C$15-Valuation!$D$15)/(Inputs!$B$47+1)*(Inputs!$B$46+Inputs!$B$47+1-Valuation!E29)))</f>
        <v>0.41182646012247048</v>
      </c>
      <c r="F30" s="85">
        <f>IF(Inputs!$B$48&lt;Valuation!F29,"",IF(Valuation!F29&lt;Inputs!$B$46+1,Valuation!$C$15,Valuation!$D$15+(Valuation!$C$15-Valuation!$D$15)/(Inputs!$B$47+1)*(Inputs!$B$46+Inputs!$B$47+1-Valuation!F29)))</f>
        <v>0.35346116809797634</v>
      </c>
      <c r="G30" s="85">
        <f>IF(Inputs!$B$48&lt;Valuation!G29,"",IF(Valuation!G29&lt;Inputs!$B$46+1,Valuation!$C$15,Valuation!$D$15+(Valuation!$C$15-Valuation!$D$15)/(Inputs!$B$47+1)*(Inputs!$B$46+Inputs!$B$47+1-Valuation!G29)))</f>
        <v>0.29509587607348231</v>
      </c>
      <c r="H30" s="85">
        <f>IF(Inputs!$B$48&lt;Valuation!H29,"",IF(Valuation!H29&lt;Inputs!$B$46+1,Valuation!$C$15,Valuation!$D$15+(Valuation!$C$15-Valuation!$D$15)/(Inputs!$B$47+1)*(Inputs!$B$46+Inputs!$B$47+1-Valuation!H29)))</f>
        <v>0.23673058404898817</v>
      </c>
      <c r="I30" s="85">
        <f>IF(Inputs!$B$48&lt;Valuation!I29,"",IF(Valuation!I29&lt;Inputs!$B$46+1,Valuation!$C$15,Valuation!$D$15+(Valuation!$C$15-Valuation!$D$15)/(Inputs!$B$47+1)*(Inputs!$B$46+Inputs!$B$47+1-Valuation!I29)))</f>
        <v>0.17836529202449408</v>
      </c>
      <c r="J30" s="85" t="str">
        <f>IF(Inputs!$B$48&lt;Valuation!J29,"",IF(Valuation!J29&lt;Inputs!$B$46+1,Valuation!$C$15,Valuation!$D$15+(Valuation!$C$15-Valuation!$D$15)/(Inputs!$B$47+1)*(Inputs!$B$46+Inputs!$B$47+1-Valuation!J29)))</f>
        <v/>
      </c>
      <c r="K30" s="85" t="str">
        <f>IF(Inputs!$B$48&lt;Valuation!K29,"",IF(Valuation!K29&lt;Inputs!$B$46+1,Valuation!$C$15,Valuation!$D$15+(Valuation!$C$15-Valuation!$D$15)/(Inputs!$B$47+1)*(Inputs!$B$46+Inputs!$B$47+1-Valuation!K29)))</f>
        <v/>
      </c>
      <c r="L30" s="85" t="str">
        <f>IF(Inputs!$B$48&lt;Valuation!L29,"",IF(Valuation!L29&lt;Inputs!$B$46+1,Valuation!$C$15,Valuation!$D$15+(Valuation!$C$15-Valuation!$D$15)/(Inputs!$B$47+1)*(Inputs!$B$46+Inputs!$B$47+1-Valuation!L29)))</f>
        <v/>
      </c>
      <c r="M30" s="85">
        <f>D15</f>
        <v>0.12</v>
      </c>
    </row>
    <row r="31" spans="1:13" s="79" customFormat="1" ht="20.100000000000001" customHeight="1">
      <c r="A31" s="93" t="s">
        <v>155</v>
      </c>
      <c r="B31" s="91"/>
      <c r="C31" s="94">
        <f>IF(Inputs!$B$48&lt;Valuation!C29,"",(1+Valuation!C30))</f>
        <v>1.4701917521469645</v>
      </c>
      <c r="D31" s="94">
        <f>IF(Inputs!$B$48&lt;Valuation!D29,"",C31*(1+Valuation!D30))</f>
        <v>2.1614637880809617</v>
      </c>
      <c r="E31" s="94">
        <f>IF(Inputs!$B$48&lt;Valuation!E29,"",D31*(1+Valuation!E30))</f>
        <v>3.0516117686092499</v>
      </c>
      <c r="F31" s="94">
        <f>IF(Inputs!$B$48&lt;Valuation!F29,"",E31*(1+Valuation!F30))</f>
        <v>4.1302380289234062</v>
      </c>
      <c r="G31" s="94">
        <f>IF(Inputs!$B$48&lt;Valuation!G29,"",F31*(1+Valuation!G30))</f>
        <v>5.3490542384605719</v>
      </c>
      <c r="H31" s="94">
        <f>IF(Inputs!$B$48&lt;Valuation!H29,"",G31*(1+Valuation!H30))</f>
        <v>6.6153389724410587</v>
      </c>
      <c r="I31" s="94">
        <f>IF(Inputs!$B$48&lt;Valuation!I29,"",H31*(1+Valuation!I30))</f>
        <v>7.7952858401015241</v>
      </c>
      <c r="J31" s="94" t="str">
        <f>IF(Inputs!$B$48&lt;Valuation!J29,"",I31*(1+Valuation!J30))</f>
        <v/>
      </c>
      <c r="K31" s="94" t="str">
        <f>IF(Inputs!$B$48&lt;Valuation!K29,"",J31*(1+Valuation!K30))</f>
        <v/>
      </c>
      <c r="L31" s="94" t="str">
        <f>IF(Inputs!$B$48&lt;Valuation!L29,"",K31*(1+Valuation!L30))</f>
        <v/>
      </c>
      <c r="M31" s="95"/>
    </row>
    <row r="32" spans="1:13" s="79" customFormat="1" ht="20.100000000000001" customHeight="1">
      <c r="A32" s="93" t="s">
        <v>151</v>
      </c>
      <c r="B32" s="91"/>
      <c r="C32" s="85">
        <f>IF(Inputs!$B$48&lt;Valuation!C29,"",IF(Valuation!C29&lt;Inputs!$B$46+1,Valuation!$C$24,Valuation!$D$24+(Valuation!$C$24-Valuation!$D$24)/(Inputs!$B$47+1)*(Inputs!$B$46+Inputs!$B$47+1-Valuation!C29)))</f>
        <v>0.78585577505462756</v>
      </c>
      <c r="D32" s="85">
        <f>IF(Inputs!$B$48&lt;Valuation!D29,"",IF(Valuation!D29&lt;Inputs!$B$46+1,Valuation!$C$24,Valuation!$D$24+(Valuation!$C$24-Valuation!$D$24)/(Inputs!$B$47+1)*(Inputs!$B$46+Inputs!$B$47+1-Valuation!D29)))</f>
        <v>0.78585577505462756</v>
      </c>
      <c r="E32" s="85">
        <f>IF(Inputs!$B$48&lt;Valuation!E29,"",IF(Valuation!E29&lt;Inputs!$B$46+1,Valuation!$C$24,Valuation!$D$24+(Valuation!$C$24-Valuation!$D$24)/(Inputs!$B$47+1)*(Inputs!$B$46+Inputs!$B$47+1-Valuation!E29)))</f>
        <v>0.73487981254552293</v>
      </c>
      <c r="F32" s="85">
        <f>IF(Inputs!$B$48&lt;Valuation!F29,"",IF(Valuation!F29&lt;Inputs!$B$46+1,Valuation!$C$24,Valuation!$D$24+(Valuation!$C$24-Valuation!$D$24)/(Inputs!$B$47+1)*(Inputs!$B$46+Inputs!$B$47+1-Valuation!F29)))</f>
        <v>0.6839038500364184</v>
      </c>
      <c r="G32" s="85">
        <f>IF(Inputs!$B$48&lt;Valuation!G29,"",IF(Valuation!G29&lt;Inputs!$B$46+1,Valuation!$C$24,Valuation!$D$24+(Valuation!$C$24-Valuation!$D$24)/(Inputs!$B$47+1)*(Inputs!$B$46+Inputs!$B$47+1-Valuation!G29)))</f>
        <v>0.63292788752731377</v>
      </c>
      <c r="H32" s="85">
        <f>IF(Inputs!$B$48&lt;Valuation!H29,"",IF(Valuation!H29&lt;Inputs!$B$46+1,Valuation!$C$24,Valuation!$D$24+(Valuation!$C$24-Valuation!$D$24)/(Inputs!$B$47+1)*(Inputs!$B$46+Inputs!$B$47+1-Valuation!H29)))</f>
        <v>0.58195192501820914</v>
      </c>
      <c r="I32" s="85">
        <f>IF(Inputs!$B$48&lt;Valuation!I29,"",IF(Valuation!I29&lt;Inputs!$B$46+1,Valuation!$C$24,Valuation!$D$24+(Valuation!$C$24-Valuation!$D$24)/(Inputs!$B$47+1)*(Inputs!$B$46+Inputs!$B$47+1-Valuation!I29)))</f>
        <v>0.53097596250910462</v>
      </c>
      <c r="J32" s="85" t="str">
        <f>IF(Inputs!$B$48&lt;Valuation!J29,"",IF(Valuation!J29&lt;Inputs!$B$46+1,Valuation!$C$24,Valuation!$D$24+(Valuation!$C$24-Valuation!$D$24)/(Inputs!$B$47+1)*(Inputs!$B$46+Inputs!$B$47+1-Valuation!J29)))</f>
        <v/>
      </c>
      <c r="K32" s="85" t="str">
        <f>IF(Inputs!$B$48&lt;Valuation!K29,"",IF(Valuation!K29&lt;Inputs!$B$46+1,Valuation!$C$24,Valuation!$D$24+(Valuation!$C$24-Valuation!$D$24)/(Inputs!$B$47+1)*(Inputs!$B$46+Inputs!$B$47+1-Valuation!K29)))</f>
        <v/>
      </c>
      <c r="L32" s="85" t="str">
        <f>IF(Inputs!$B$48&lt;Valuation!L29,"",IF(Valuation!L29&lt;Inputs!$B$46+1,Valuation!$C$24,Valuation!$D$24+(Valuation!$C$24-Valuation!$D$24)/(Inputs!$B$47+1)*(Inputs!$B$46+Inputs!$B$47+1-Valuation!L29)))</f>
        <v/>
      </c>
      <c r="M32" s="85">
        <f>D24</f>
        <v>0.48</v>
      </c>
    </row>
    <row r="33" spans="1:13" s="79" customFormat="1" ht="20.100000000000001" customHeight="1">
      <c r="A33" s="93" t="s">
        <v>95</v>
      </c>
      <c r="B33" s="96">
        <f>C3</f>
        <v>3955876</v>
      </c>
      <c r="C33" s="97">
        <f>IF(Inputs!$B$48&lt;Valuation!C29,"",Valuation!$B$33*Valuation!C31)</f>
        <v>5815896.2677161256</v>
      </c>
      <c r="D33" s="97">
        <f>IF(Inputs!$B$48&lt;Valuation!D29,"",Valuation!$B$33*Valuation!D31)</f>
        <v>8550482.7241385635</v>
      </c>
      <c r="E33" s="97">
        <f>IF(Inputs!$B$48&lt;Valuation!E29,"",Valuation!$B$33*Valuation!E31)</f>
        <v>12071797.756758885</v>
      </c>
      <c r="F33" s="97">
        <f>IF(Inputs!$B$48&lt;Valuation!F29,"",Valuation!$B$33*Valuation!F31)</f>
        <v>16338709.492905408</v>
      </c>
      <c r="G33" s="97">
        <f>IF(Inputs!$B$48&lt;Valuation!G29,"",Valuation!$B$33*Valuation!G31)</f>
        <v>21160195.284624454</v>
      </c>
      <c r="H33" s="97">
        <f>IF(Inputs!$B$48&lt;Valuation!H29,"",Valuation!$B$33*Valuation!H31)</f>
        <v>26169460.672944244</v>
      </c>
      <c r="I33" s="97">
        <f>IF(Inputs!$B$48&lt;Valuation!I29,"",Valuation!$B$33*Valuation!I31)</f>
        <v>30837184.167997457</v>
      </c>
      <c r="J33" s="97" t="str">
        <f>IF(Inputs!$B$48&lt;Valuation!J29,"",Valuation!$B$33*Valuation!J31)</f>
        <v/>
      </c>
      <c r="K33" s="97" t="str">
        <f>IF(Inputs!$B$48&lt;Valuation!K29,"",Valuation!$B$33*Valuation!K31)</f>
        <v/>
      </c>
      <c r="L33" s="97" t="str">
        <f>IF(Inputs!$B$48&lt;Valuation!L29,"",Valuation!$B$33*Valuation!L31)</f>
        <v/>
      </c>
      <c r="M33" s="97">
        <f>MAX(C33:L33)*(1+M30)</f>
        <v>34537646.268157154</v>
      </c>
    </row>
    <row r="34" spans="1:13" s="79" customFormat="1" ht="20.100000000000001" customHeight="1">
      <c r="A34" s="93" t="s">
        <v>148</v>
      </c>
      <c r="B34" s="85">
        <f>C21</f>
        <v>0.25</v>
      </c>
      <c r="C34" s="115">
        <f>IF(Inputs!$B$48&lt;Valuation!C29,"",Valuation!$C$7)</f>
        <v>0.25</v>
      </c>
      <c r="D34" s="115">
        <f>IF(Inputs!$B$48&lt;Valuation!D29,"",Valuation!$C$7)</f>
        <v>0.25</v>
      </c>
      <c r="E34" s="115">
        <f>IF(Inputs!$B$48&lt;Valuation!E29,"",Valuation!$C$7)</f>
        <v>0.25</v>
      </c>
      <c r="F34" s="115">
        <f>IF(Inputs!$B$48&lt;Valuation!F29,"",Valuation!$C$7)</f>
        <v>0.25</v>
      </c>
      <c r="G34" s="115">
        <f>IF(Inputs!$B$48&lt;Valuation!G29,"",Valuation!$C$7)</f>
        <v>0.25</v>
      </c>
      <c r="H34" s="115">
        <f>IF(Inputs!$B$48&lt;Valuation!H29,"",Valuation!$C$7)</f>
        <v>0.25</v>
      </c>
      <c r="I34" s="115">
        <f>IF(Inputs!$B$48&lt;Valuation!I29,"",Valuation!$C$7)</f>
        <v>0.25</v>
      </c>
      <c r="J34" s="115" t="str">
        <f>IF(Inputs!$B$48&lt;Valuation!J29,"",Valuation!$C$7)</f>
        <v/>
      </c>
      <c r="K34" s="115" t="str">
        <f>IF(Inputs!$B$48&lt;Valuation!K29,"",Valuation!$C$7)</f>
        <v/>
      </c>
      <c r="L34" s="115" t="str">
        <f>IF(Inputs!$B$48&lt;Valuation!L29,"",Valuation!$C$7)</f>
        <v/>
      </c>
      <c r="M34" s="115">
        <f>D23</f>
        <v>0.25</v>
      </c>
    </row>
    <row r="35" spans="1:13" s="79" customFormat="1" ht="20.100000000000001" customHeight="1">
      <c r="A35" s="93" t="s">
        <v>156</v>
      </c>
      <c r="B35" s="98">
        <f>B33*(1-B34)</f>
        <v>2966907</v>
      </c>
      <c r="C35" s="97">
        <f>IF(Inputs!$B$48&lt;Valuation!C29,"",Valuation!C33*(1-C34))</f>
        <v>4361922.2007870944</v>
      </c>
      <c r="D35" s="97">
        <f>IF(Inputs!$B$48&lt;Valuation!D29,"",Valuation!D33*(1-D34))</f>
        <v>6412862.0431039222</v>
      </c>
      <c r="E35" s="97">
        <f>IF(Inputs!$B$48&lt;Valuation!E29,"",Valuation!E33*(1-E34))</f>
        <v>9053848.3175691646</v>
      </c>
      <c r="F35" s="97">
        <f>IF(Inputs!$B$48&lt;Valuation!F29,"",Valuation!F33*(1-F34))</f>
        <v>12254032.119679056</v>
      </c>
      <c r="G35" s="97">
        <f>IF(Inputs!$B$48&lt;Valuation!G29,"",Valuation!G33*(1-G34))</f>
        <v>15870146.463468339</v>
      </c>
      <c r="H35" s="97">
        <f>IF(Inputs!$B$48&lt;Valuation!H29,"",Valuation!H33*(1-H34))</f>
        <v>19627095.504708182</v>
      </c>
      <c r="I35" s="97">
        <f>IF(Inputs!$B$48&lt;Valuation!I29,"",Valuation!I33*(1-I34))</f>
        <v>23127888.125998095</v>
      </c>
      <c r="J35" s="97" t="str">
        <f>IF(Inputs!$B$48&lt;Valuation!J29,"",Valuation!J33*(1-J34))</f>
        <v/>
      </c>
      <c r="K35" s="97" t="str">
        <f>IF(Inputs!$B$48&lt;Valuation!K29,"",Valuation!K33*(1-K34))</f>
        <v/>
      </c>
      <c r="L35" s="97" t="str">
        <f>IF(Inputs!$B$48&lt;Valuation!L29,"",Valuation!L33*(1-L34))</f>
        <v/>
      </c>
      <c r="M35" s="97">
        <f>MAX(C35:L35)*(1+M30)</f>
        <v>25903234.701117869</v>
      </c>
    </row>
    <row r="36" spans="1:13" s="79" customFormat="1" ht="20.100000000000001" customHeight="1">
      <c r="A36" s="93" t="s">
        <v>157</v>
      </c>
      <c r="B36" s="98"/>
      <c r="C36" s="97">
        <f>IF(Inputs!$B$48&lt;Valuation!C29,"",Valuation!C32*Valuation!C35)</f>
        <v>3427841.7518275287</v>
      </c>
      <c r="D36" s="97">
        <f>IF(Inputs!$B$48&lt;Valuation!D29,"",Valuation!D32*Valuation!D35)</f>
        <v>5039584.6712018354</v>
      </c>
      <c r="E36" s="97">
        <f>IF(Inputs!$B$48&lt;Valuation!E29,"",Valuation!E32*Valuation!E35)</f>
        <v>6653490.3544308254</v>
      </c>
      <c r="F36" s="97">
        <f>IF(Inputs!$B$48&lt;Valuation!F29,"",Valuation!F32*Valuation!F35)</f>
        <v>8380579.7451184392</v>
      </c>
      <c r="G36" s="97">
        <f>IF(Inputs!$B$48&lt;Valuation!G29,"",Valuation!G32*Valuation!G35)</f>
        <v>10044658.275872085</v>
      </c>
      <c r="H36" s="97">
        <f>IF(Inputs!$B$48&lt;Valuation!H29,"",Valuation!H32*Valuation!H35)</f>
        <v>11422026.011481166</v>
      </c>
      <c r="I36" s="97">
        <f>IF(Inputs!$B$48&lt;Valuation!I29,"",Valuation!I32*Valuation!I35)</f>
        <v>12280352.65850473</v>
      </c>
      <c r="J36" s="97" t="str">
        <f>IF(Inputs!$B$48&lt;Valuation!J29,"",Valuation!J32*Valuation!J35)</f>
        <v/>
      </c>
      <c r="K36" s="97" t="str">
        <f>IF(Inputs!$B$48&lt;Valuation!K29,"",Valuation!K32*Valuation!K35)</f>
        <v/>
      </c>
      <c r="L36" s="97" t="str">
        <f>IF(Inputs!$B$48&lt;Valuation!L29,"",Valuation!L32*Valuation!L35)</f>
        <v/>
      </c>
      <c r="M36" s="97">
        <f>M35*M32</f>
        <v>12433552.656536577</v>
      </c>
    </row>
    <row r="37" spans="1:13" s="79" customFormat="1" ht="20.100000000000001" customHeight="1">
      <c r="A37" s="93" t="s">
        <v>158</v>
      </c>
      <c r="B37" s="98"/>
      <c r="C37" s="97">
        <f>IF(Inputs!$B$48&lt;Valuation!C29,"",Valuation!C35-Valuation!C36)</f>
        <v>934080.44895956572</v>
      </c>
      <c r="D37" s="97">
        <f>IF(Inputs!$B$48&lt;Valuation!D29,"",Valuation!D35-Valuation!D36)</f>
        <v>1373277.3719020868</v>
      </c>
      <c r="E37" s="97">
        <f>IF(Inputs!$B$48&lt;Valuation!E29,"",Valuation!E35-Valuation!E36)</f>
        <v>2400357.9631383391</v>
      </c>
      <c r="F37" s="97">
        <f>IF(Inputs!$B$48&lt;Valuation!F29,"",Valuation!F35-Valuation!F36)</f>
        <v>3873452.3745606169</v>
      </c>
      <c r="G37" s="97">
        <f>IF(Inputs!$B$48&lt;Valuation!G29,"",Valuation!G35-Valuation!G36)</f>
        <v>5825488.1875962541</v>
      </c>
      <c r="H37" s="97">
        <f>IF(Inputs!$B$48&lt;Valuation!H29,"",Valuation!H35-Valuation!H36)</f>
        <v>8205069.4932270162</v>
      </c>
      <c r="I37" s="97">
        <f>IF(Inputs!$B$48&lt;Valuation!I29,"",Valuation!I35-Valuation!I36)</f>
        <v>10847535.467493365</v>
      </c>
      <c r="J37" s="97" t="str">
        <f>IF(Inputs!$B$48&lt;Valuation!J29,"",Valuation!J35-Valuation!J36)</f>
        <v/>
      </c>
      <c r="K37" s="97" t="str">
        <f>IF(Inputs!$B$48&lt;Valuation!K29,"",Valuation!K35-Valuation!K36)</f>
        <v/>
      </c>
      <c r="L37" s="97" t="str">
        <f>IF(Inputs!$B$48&lt;Valuation!L29,"",Valuation!L35-Valuation!L36)</f>
        <v/>
      </c>
      <c r="M37" s="97">
        <f>M35-M36</f>
        <v>13469682.044581292</v>
      </c>
    </row>
    <row r="38" spans="1:13" s="79" customFormat="1" ht="20.100000000000001" customHeight="1">
      <c r="A38" s="93" t="s">
        <v>159</v>
      </c>
      <c r="B38" s="99"/>
      <c r="C38" s="85">
        <f>IF(Inputs!$B$48&lt;C29,"",IF(Inputs!$B$81="Yes",IF(C29&lt;Inputs!$B$46/2,$C$25,$D$25+(($C$25-$D$25)/(Inputs!$B$46/2))*(Inputs!$B$46-Valuation!C29)),$C$25))</f>
        <v>0.20969731789702362</v>
      </c>
      <c r="D38" s="85">
        <f>IF(Inputs!$B$48&lt;D29,"",IF(Inputs!$B$81="Yes",IF(D29&lt;Inputs!$B$46/2,$C$25,$D$25+(($C$25-$D$25)/(Inputs!$B$46/2))*(Inputs!$B$46-Valuation!D29)),$C$25))</f>
        <v>0.20969731789702362</v>
      </c>
      <c r="E38" s="85">
        <f>IF(Inputs!$B$48&lt;E29,"",IF(Inputs!$B$81="Yes",IF(E29&lt;Inputs!$B$46/2,$C$25,$D$25+(($C$25-$D$25)/(Inputs!$B$46/2))*(Inputs!$B$46-Valuation!E29)),$C$25))</f>
        <v>0.20969731789702362</v>
      </c>
      <c r="F38" s="85">
        <f>IF(Inputs!$B$48&lt;F29,"",IF(Inputs!$B$81="Yes",IF(F29&lt;Inputs!$B$46/2,$C$25,$D$25+(($C$25-$D$25)/(Inputs!$B$46/2))*(Inputs!$B$46-Valuation!F29)),$C$25))</f>
        <v>0.20969731789702362</v>
      </c>
      <c r="G38" s="85">
        <f>IF(Inputs!$B$48&lt;G29,"",IF(Inputs!$B$81="Yes",IF(G29&lt;Inputs!$B$46/2,$C$25,$D$25+(($C$25-$D$25)/(Inputs!$B$46/2))*(Inputs!$B$46-Valuation!G29)),$C$25))</f>
        <v>0.20969731789702362</v>
      </c>
      <c r="H38" s="85">
        <f>IF(Inputs!$B$48&lt;H29,"",IF(Inputs!$B$81="Yes",IF(H29&lt;Inputs!$B$46/2,$C$25,$D$25+(($C$25-$D$25)/(Inputs!$B$46/2))*(Inputs!$B$46-Valuation!H29)),$C$25))</f>
        <v>0.20969731789702362</v>
      </c>
      <c r="I38" s="85">
        <f>IF(Inputs!$B$48&lt;I29,"",IF(Inputs!$B$81="Yes",IF(I29&lt;Inputs!$B$46/2,$C$25,$D$25+(($C$25-$D$25)/(Inputs!$B$46/2))*(Inputs!$B$46-Valuation!I29)),$C$25))</f>
        <v>0.20969731789702362</v>
      </c>
      <c r="J38" s="85" t="str">
        <f>IF(Inputs!$B$48&lt;J29,"",IF(Inputs!$B$81="Yes",IF(J29&lt;Inputs!$B$46/2,$C$25,$D$25+(($C$25-$D$25)/(Inputs!$B$46/2))*(Inputs!$B$46-Valuation!J29)),$C$25))</f>
        <v/>
      </c>
      <c r="K38" s="85" t="str">
        <f>IF(Inputs!$B$48&lt;K29,"",IF(Inputs!$B$81="Yes",IF(K29&lt;Inputs!$B$46/2,$C$25,$D$25+(($C$25-$D$25)/(Inputs!$B$46/2))*(Inputs!$B$46-Valuation!K29)),$C$25))</f>
        <v/>
      </c>
      <c r="L38" s="85" t="str">
        <f>IF(Inputs!$B$48&lt;L29,"",IF(Inputs!$B$81="Yes",IF(L29&lt;Inputs!$B$46/2,$C$25,$D$25+(($C$25-$D$25)/(Inputs!$B$46/2))*(Inputs!$B$46-Valuation!L29)),$C$25))</f>
        <v/>
      </c>
      <c r="M38" s="86">
        <f>D25</f>
        <v>0.20969731789702362</v>
      </c>
    </row>
    <row r="39" spans="1:13" s="79" customFormat="1" ht="20.100000000000001" customHeight="1">
      <c r="A39" s="93" t="s">
        <v>160</v>
      </c>
      <c r="B39" s="99"/>
      <c r="C39" s="94">
        <f>IF(Inputs!$B$48&lt;Valuation!C29,"",(1+Valuation!C38))</f>
        <v>1.2096973178970236</v>
      </c>
      <c r="D39" s="116">
        <f>IF(Inputs!$B$48&lt;Valuation!D29,"",C39*(1+Valuation!D38))</f>
        <v>1.4633676009272527</v>
      </c>
      <c r="E39" s="116">
        <f>IF(Inputs!$B$48&lt;Valuation!E29,"",D39*(1+Valuation!E38))</f>
        <v>1.7702318619390995</v>
      </c>
      <c r="F39" s="116">
        <f>IF(Inputs!$B$48&lt;Valuation!F29,"",E39*(1+Valuation!F38))</f>
        <v>2.1414447354435828</v>
      </c>
      <c r="G39" s="116">
        <f>IF(Inputs!$B$48&lt;Valuation!G29,"",F39*(1+Valuation!G38))</f>
        <v>2.5904999528908035</v>
      </c>
      <c r="H39" s="116">
        <f>IF(Inputs!$B$48&lt;Valuation!H29,"",G39*(1+Valuation!H38))</f>
        <v>3.1337208450243712</v>
      </c>
      <c r="I39" s="116">
        <f>IF(Inputs!$B$48&lt;Valuation!I29,"",H39*(1+Valuation!I38))</f>
        <v>3.7908537012639765</v>
      </c>
      <c r="J39" s="116" t="str">
        <f>IF(Inputs!$B$48&lt;Valuation!J29,"",I39*(1+Valuation!J38))</f>
        <v/>
      </c>
      <c r="K39" s="116" t="str">
        <f>IF(Inputs!$B$48&lt;Valuation!K29,"",J39*(1+Valuation!K38))</f>
        <v/>
      </c>
      <c r="L39" s="116" t="str">
        <f>IF(Inputs!$B$48&lt;Valuation!L29,"",K39*(1+Valuation!L38))</f>
        <v/>
      </c>
      <c r="M39" s="100"/>
    </row>
    <row r="40" spans="1:13" s="79" customFormat="1" ht="20.100000000000001" customHeight="1">
      <c r="A40" s="84" t="s">
        <v>161</v>
      </c>
      <c r="B40" s="101"/>
      <c r="C40" s="102">
        <f>IF(Inputs!$B$48&lt;Valuation!C29,"",Valuation!C37/Valuation!C39)</f>
        <v>772160.46951596206</v>
      </c>
      <c r="D40" s="102">
        <f>IF(Inputs!$B$48&lt;Valuation!D29,"",Valuation!D37/Valuation!D39)</f>
        <v>938436.36488324543</v>
      </c>
      <c r="E40" s="102">
        <f>IF(Inputs!$B$48&lt;Valuation!E29,"",Valuation!E37/Valuation!E39)</f>
        <v>1355956.8182831169</v>
      </c>
      <c r="F40" s="102">
        <f>IF(Inputs!$B$48&lt;Valuation!F29,"",Valuation!F37/Valuation!F39)</f>
        <v>1808803.3328388757</v>
      </c>
      <c r="G40" s="102">
        <f>IF(Inputs!$B$48&lt;Valuation!G29,"",Valuation!G37/Valuation!G39)</f>
        <v>2248789.1501775347</v>
      </c>
      <c r="H40" s="102">
        <f>IF(Inputs!$B$48&lt;Valuation!H29,"",Valuation!H37/Valuation!H39)</f>
        <v>2618315.3825762053</v>
      </c>
      <c r="I40" s="102">
        <f>IF(Inputs!$B$48&lt;Valuation!I29,"",Valuation!I37/Valuation!I39)</f>
        <v>2861502.0051753758</v>
      </c>
      <c r="J40" s="102" t="str">
        <f>IF(Inputs!$B$48&lt;Valuation!J29,"",Valuation!J37/Valuation!J39)</f>
        <v/>
      </c>
      <c r="K40" s="102" t="str">
        <f>IF(Inputs!$B$48&lt;Valuation!K29,"",Valuation!K37/Valuation!K39)</f>
        <v/>
      </c>
      <c r="L40" s="102" t="str">
        <f>IF(Inputs!$B$48&lt;Valuation!L29,"",Valuation!L37/Valuation!L39)</f>
        <v/>
      </c>
      <c r="M40" s="117">
        <f>M37/(M38-M30)</f>
        <v>150168169.5772115</v>
      </c>
    </row>
    <row r="41" spans="1:13" s="79" customFormat="1" ht="20.100000000000001" customHeight="1"/>
    <row r="42" spans="1:13" s="79" customFormat="1" ht="20.100000000000001" customHeight="1">
      <c r="A42" s="112" t="s">
        <v>162</v>
      </c>
      <c r="B42" s="105"/>
      <c r="C42" s="105"/>
      <c r="D42" s="105"/>
      <c r="E42" s="105"/>
      <c r="F42" s="105"/>
      <c r="G42" s="105"/>
      <c r="H42" s="105"/>
      <c r="I42" s="105"/>
      <c r="J42" s="105"/>
    </row>
    <row r="43" spans="1:13" s="79" customFormat="1" ht="20.100000000000001" customHeight="1">
      <c r="A43" s="103" t="s">
        <v>163</v>
      </c>
      <c r="B43" s="106">
        <f>SUM(C40:L40)</f>
        <v>12603963.523450317</v>
      </c>
      <c r="C43" s="113"/>
      <c r="D43" s="104"/>
    </row>
    <row r="44" spans="1:13" s="79" customFormat="1" ht="20.100000000000001" customHeight="1">
      <c r="A44" s="103" t="s">
        <v>164</v>
      </c>
      <c r="B44" s="106">
        <f>IF(Inputs!$B$46=0,Valuation!M40,Valuation!M40/MAX(Valuation!C39:L39))</f>
        <v>39613285.399840474</v>
      </c>
      <c r="C44" s="113"/>
      <c r="D44" s="104"/>
      <c r="F44" s="107"/>
    </row>
    <row r="45" spans="1:13" s="79" customFormat="1" ht="20.100000000000001" customHeight="1">
      <c r="A45" s="103" t="s">
        <v>165</v>
      </c>
      <c r="B45" s="106">
        <f>B43+B44</f>
        <v>52217248.923290789</v>
      </c>
      <c r="C45" s="113"/>
      <c r="D45" s="104"/>
    </row>
    <row r="46" spans="1:13" s="79" customFormat="1" ht="20.100000000000001" customHeight="1">
      <c r="A46" s="103" t="s">
        <v>166</v>
      </c>
      <c r="B46" s="106">
        <f>Inputs!B17+Inputs!B18</f>
        <v>2355732</v>
      </c>
      <c r="C46" s="113"/>
      <c r="D46" s="104"/>
    </row>
    <row r="47" spans="1:13" s="79" customFormat="1" ht="20.100000000000001" customHeight="1">
      <c r="A47" s="103" t="s">
        <v>167</v>
      </c>
      <c r="B47" s="106">
        <f>B45+B46</f>
        <v>54572980.923290789</v>
      </c>
      <c r="C47" s="113"/>
      <c r="D47" s="104"/>
    </row>
    <row r="48" spans="1:13" s="79" customFormat="1" ht="20.100000000000001" customHeight="1">
      <c r="A48" s="103" t="s">
        <v>168</v>
      </c>
      <c r="B48" s="106">
        <f>Inputs!B35</f>
        <v>567960</v>
      </c>
      <c r="C48" s="113"/>
      <c r="D48" s="104"/>
    </row>
    <row r="49" spans="1:6" s="79" customFormat="1" ht="20.100000000000001" customHeight="1">
      <c r="A49" s="103" t="s">
        <v>169</v>
      </c>
      <c r="B49" s="106">
        <f>B47-B48</f>
        <v>54005020.923290789</v>
      </c>
      <c r="C49" s="113"/>
      <c r="D49" s="104"/>
    </row>
    <row r="50" spans="1:6" s="79" customFormat="1" ht="20.100000000000001" customHeight="1">
      <c r="A50" s="103" t="s">
        <v>170</v>
      </c>
      <c r="B50" s="108">
        <f>B49/Inputs!B34</f>
        <v>152986.08415914283</v>
      </c>
      <c r="C50" s="113"/>
      <c r="D50" s="104"/>
    </row>
    <row r="51" spans="1:6" ht="20.100000000000001" customHeight="1">
      <c r="A51" s="109"/>
      <c r="B51" s="109"/>
      <c r="C51" s="109"/>
      <c r="D51" s="110"/>
      <c r="E51" s="110"/>
      <c r="F51" s="109"/>
    </row>
  </sheetData>
  <pageMargins left="0.7" right="0.7" top="0.75" bottom="0.75" header="0.3" footer="0.3"/>
  <ignoredErrors>
    <ignoredError sqref="B4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G25" sqref="G25"/>
    </sheetView>
  </sheetViews>
  <sheetFormatPr defaultColWidth="11" defaultRowHeight="15"/>
  <cols>
    <col min="1" max="1" width="42.7109375" style="3" bestFit="1" customWidth="1"/>
    <col min="2" max="16384" width="11" style="3"/>
  </cols>
  <sheetData>
    <row r="1" spans="1:7" ht="18.75">
      <c r="A1" s="118" t="s">
        <v>83</v>
      </c>
      <c r="B1" s="1"/>
      <c r="C1" s="1"/>
      <c r="D1" s="41"/>
      <c r="E1" s="41"/>
      <c r="F1" s="1"/>
      <c r="G1" s="1"/>
    </row>
    <row r="2" spans="1:7">
      <c r="A2" s="4" t="s">
        <v>84</v>
      </c>
      <c r="B2" s="4"/>
      <c r="C2" s="4"/>
      <c r="D2" s="5">
        <v>1</v>
      </c>
      <c r="E2" s="14"/>
      <c r="F2" s="4"/>
      <c r="G2" s="4"/>
    </row>
    <row r="3" spans="1:7">
      <c r="A3" s="4"/>
      <c r="B3" s="4"/>
      <c r="C3" s="4"/>
      <c r="D3" s="4"/>
      <c r="E3" s="14"/>
      <c r="F3" s="4"/>
      <c r="G3" s="4"/>
    </row>
    <row r="4" spans="1:7">
      <c r="A4" s="69" t="s">
        <v>85</v>
      </c>
      <c r="B4" s="7"/>
      <c r="C4" s="7"/>
      <c r="D4" s="7"/>
      <c r="E4" s="13"/>
      <c r="F4" s="7"/>
      <c r="G4" s="7"/>
    </row>
    <row r="5" spans="1:7">
      <c r="A5" s="4" t="s">
        <v>86</v>
      </c>
      <c r="B5" s="4"/>
      <c r="C5" s="4"/>
      <c r="D5" s="42">
        <f>AVERAGE(B20:F20)</f>
        <v>1284453.7321822001</v>
      </c>
      <c r="E5" s="4"/>
      <c r="F5" s="4"/>
      <c r="G5" s="4"/>
    </row>
    <row r="6" spans="1:7">
      <c r="A6" s="4"/>
      <c r="B6" s="4"/>
      <c r="C6" s="4"/>
      <c r="D6" s="14"/>
      <c r="E6" s="4"/>
      <c r="F6" s="4"/>
      <c r="G6" s="4"/>
    </row>
    <row r="7" spans="1:7">
      <c r="A7" s="69" t="s">
        <v>87</v>
      </c>
      <c r="B7" s="7"/>
      <c r="C7" s="7"/>
      <c r="D7" s="13"/>
      <c r="E7" s="7"/>
      <c r="F7" s="7"/>
      <c r="G7" s="7"/>
    </row>
    <row r="8" spans="1:7">
      <c r="A8" s="4" t="s">
        <v>88</v>
      </c>
      <c r="B8" s="4"/>
      <c r="C8" s="4"/>
      <c r="D8" s="22">
        <f>Inputs!B78</f>
        <v>0.43559999999999999</v>
      </c>
      <c r="E8" s="4"/>
      <c r="F8" s="4"/>
      <c r="G8" s="4"/>
    </row>
    <row r="9" spans="1:7">
      <c r="A9" s="4"/>
      <c r="B9" s="4"/>
      <c r="C9" s="4"/>
      <c r="D9" s="14"/>
      <c r="E9" s="4"/>
      <c r="F9" s="4"/>
      <c r="G9" s="4"/>
    </row>
    <row r="10" spans="1:7">
      <c r="A10" s="69" t="s">
        <v>89</v>
      </c>
      <c r="B10" s="7"/>
      <c r="C10" s="7"/>
      <c r="D10" s="13"/>
      <c r="E10" s="7"/>
      <c r="F10" s="7"/>
      <c r="G10" s="7"/>
    </row>
    <row r="11" spans="1:7">
      <c r="A11" s="4" t="s">
        <v>90</v>
      </c>
      <c r="B11" s="4"/>
      <c r="C11" s="4"/>
      <c r="D11" s="22">
        <v>0.12</v>
      </c>
      <c r="E11" s="4"/>
      <c r="F11" s="4"/>
      <c r="G11" s="4"/>
    </row>
    <row r="12" spans="1:7">
      <c r="A12" s="4"/>
      <c r="B12" s="4"/>
      <c r="C12" s="4"/>
      <c r="D12" s="4"/>
      <c r="E12" s="14"/>
      <c r="F12" s="4"/>
      <c r="G12" s="4"/>
    </row>
    <row r="13" spans="1:7">
      <c r="E13" s="43"/>
    </row>
    <row r="14" spans="1:7">
      <c r="A14" s="4" t="s">
        <v>91</v>
      </c>
      <c r="B14" s="4"/>
      <c r="C14" s="4"/>
      <c r="D14" s="42">
        <f>IF(D2=1,D5,(IF(D2=2,D8*(Inputs!B27+Inputs!B28),D11*Inputs!B6)))</f>
        <v>1284453.7321822001</v>
      </c>
      <c r="E14" s="119"/>
      <c r="F14" s="4"/>
      <c r="G14" s="4"/>
    </row>
    <row r="15" spans="1:7">
      <c r="E15" s="43"/>
    </row>
    <row r="16" spans="1:7">
      <c r="E16" s="43"/>
    </row>
    <row r="17" spans="1:7">
      <c r="A17" s="68" t="s">
        <v>92</v>
      </c>
      <c r="B17" s="2"/>
      <c r="C17" s="2"/>
      <c r="D17" s="2"/>
      <c r="E17" s="32"/>
      <c r="F17" s="2"/>
      <c r="G17" s="2"/>
    </row>
    <row r="18" spans="1:7">
      <c r="A18" s="5"/>
      <c r="B18" s="5">
        <v>-5</v>
      </c>
      <c r="C18" s="5">
        <v>-4</v>
      </c>
      <c r="D18" s="5">
        <v>-3</v>
      </c>
      <c r="E18" s="5">
        <v>-2</v>
      </c>
      <c r="F18" s="5">
        <v>-1</v>
      </c>
      <c r="G18" s="5" t="s">
        <v>93</v>
      </c>
    </row>
    <row r="19" spans="1:7">
      <c r="A19" s="44" t="s">
        <v>94</v>
      </c>
      <c r="B19" s="45">
        <f>Inputs!I6</f>
        <v>5638784</v>
      </c>
      <c r="C19" s="45">
        <f>Inputs!H6</f>
        <v>6245619</v>
      </c>
      <c r="D19" s="45">
        <f>Inputs!G6</f>
        <v>6537750.1299249995</v>
      </c>
      <c r="E19" s="42">
        <f>Inputs!F6</f>
        <v>8208982</v>
      </c>
      <c r="F19" s="45">
        <f>Inputs!E6</f>
        <v>10613771</v>
      </c>
      <c r="G19" s="45">
        <f>SUM(B19:F19)</f>
        <v>37244906.129924998</v>
      </c>
    </row>
    <row r="20" spans="1:7">
      <c r="A20" s="44" t="s">
        <v>95</v>
      </c>
      <c r="B20" s="45">
        <f>Inputs!I10</f>
        <v>612630</v>
      </c>
      <c r="C20" s="45">
        <f>Inputs!H10</f>
        <v>706293</v>
      </c>
      <c r="D20" s="45">
        <f>Inputs!G10</f>
        <v>967048.6609110001</v>
      </c>
      <c r="E20" s="42">
        <f>Inputs!F10</f>
        <v>1398284</v>
      </c>
      <c r="F20" s="45">
        <f>Inputs!E10</f>
        <v>2738013</v>
      </c>
      <c r="G20" s="45">
        <f>SUM(B20:F20)</f>
        <v>6422268.6609110003</v>
      </c>
    </row>
    <row r="21" spans="1:7">
      <c r="A21" s="44" t="s">
        <v>96</v>
      </c>
      <c r="B21" s="46">
        <f t="shared" ref="B21:G21" si="0">B20/B19</f>
        <v>0.10864576476062925</v>
      </c>
      <c r="C21" s="46">
        <f t="shared" si="0"/>
        <v>0.11308614886690975</v>
      </c>
      <c r="D21" s="46">
        <f t="shared" si="0"/>
        <v>0.14791765388593919</v>
      </c>
      <c r="E21" s="46">
        <f t="shared" si="0"/>
        <v>0.17033585894085285</v>
      </c>
      <c r="F21" s="46">
        <f t="shared" si="0"/>
        <v>0.25796797387092674</v>
      </c>
      <c r="G21" s="46">
        <f t="shared" si="0"/>
        <v>0.17243347690305841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6"/>
  <sheetViews>
    <sheetView topLeftCell="A7" workbookViewId="0">
      <selection activeCell="H4" sqref="H4"/>
    </sheetView>
  </sheetViews>
  <sheetFormatPr defaultRowHeight="14.25"/>
  <cols>
    <col min="1" max="1" width="8.7109375" style="66" bestFit="1" customWidth="1"/>
    <col min="2" max="2" width="7.42578125" style="66" bestFit="1" customWidth="1"/>
    <col min="3" max="3" width="4.85546875" style="66" bestFit="1" customWidth="1"/>
    <col min="4" max="4" width="8" style="66" bestFit="1" customWidth="1"/>
    <col min="5" max="5" width="7.85546875" style="66" bestFit="1" customWidth="1"/>
    <col min="6" max="6" width="18.5703125" style="66" bestFit="1" customWidth="1"/>
    <col min="7" max="7" width="9.42578125" style="66" bestFit="1" customWidth="1"/>
    <col min="8" max="8" width="6.85546875" style="66" bestFit="1" customWidth="1"/>
    <col min="9" max="9" width="8.42578125" style="66" customWidth="1"/>
    <col min="10" max="10" width="18" style="66" bestFit="1" customWidth="1"/>
    <col min="11" max="11" width="12" style="66" bestFit="1" customWidth="1"/>
    <col min="12" max="16384" width="9.140625" style="66"/>
  </cols>
  <sheetData>
    <row r="1" spans="1:18" ht="15">
      <c r="A1" s="54"/>
      <c r="B1" s="54"/>
      <c r="C1" s="122" t="s">
        <v>99</v>
      </c>
      <c r="D1" s="122"/>
      <c r="E1" s="122"/>
      <c r="F1" s="54"/>
      <c r="G1" s="54" t="s">
        <v>100</v>
      </c>
      <c r="H1" s="54"/>
      <c r="J1" t="s">
        <v>108</v>
      </c>
      <c r="K1"/>
      <c r="L1"/>
      <c r="M1"/>
      <c r="N1"/>
      <c r="O1"/>
      <c r="P1"/>
      <c r="Q1"/>
      <c r="R1"/>
    </row>
    <row r="2" spans="1:18" ht="15.75" thickBot="1">
      <c r="A2" s="54" t="s">
        <v>101</v>
      </c>
      <c r="B2" s="54" t="s">
        <v>102</v>
      </c>
      <c r="C2" s="57" t="s">
        <v>103</v>
      </c>
      <c r="D2" s="57" t="s">
        <v>104</v>
      </c>
      <c r="E2" s="54" t="s">
        <v>105</v>
      </c>
      <c r="F2" s="54" t="s">
        <v>106</v>
      </c>
      <c r="G2" s="54" t="s">
        <v>102</v>
      </c>
      <c r="H2" s="54" t="s">
        <v>107</v>
      </c>
      <c r="J2"/>
      <c r="K2"/>
      <c r="L2"/>
      <c r="M2"/>
      <c r="N2"/>
      <c r="O2"/>
      <c r="P2"/>
      <c r="Q2"/>
      <c r="R2"/>
    </row>
    <row r="3" spans="1:18" ht="15">
      <c r="A3" s="61">
        <v>38744</v>
      </c>
      <c r="B3" s="55">
        <v>312.32</v>
      </c>
      <c r="C3" s="56">
        <v>53</v>
      </c>
      <c r="D3" s="57"/>
      <c r="E3" s="58"/>
      <c r="F3" s="54"/>
      <c r="G3" s="54"/>
      <c r="H3" s="54"/>
      <c r="J3" s="73" t="s">
        <v>109</v>
      </c>
      <c r="K3" s="73"/>
      <c r="L3"/>
      <c r="M3"/>
      <c r="N3"/>
      <c r="O3"/>
      <c r="P3"/>
      <c r="Q3"/>
      <c r="R3"/>
    </row>
    <row r="4" spans="1:18" ht="15">
      <c r="A4" s="61">
        <v>38776</v>
      </c>
      <c r="B4" s="55">
        <v>390.65</v>
      </c>
      <c r="C4" s="56">
        <v>68.5</v>
      </c>
      <c r="D4" s="57"/>
      <c r="E4" s="58"/>
      <c r="F4" s="54"/>
      <c r="G4" s="59">
        <f>B4/B3-1</f>
        <v>0.25080046106557363</v>
      </c>
      <c r="H4" s="59">
        <f>(C4+D4+(C4-F4)*E4-C3)/C3</f>
        <v>0.29245283018867924</v>
      </c>
      <c r="J4" s="70" t="s">
        <v>110</v>
      </c>
      <c r="K4" s="70">
        <v>0.79223698478555615</v>
      </c>
      <c r="L4"/>
      <c r="M4"/>
      <c r="N4"/>
      <c r="O4"/>
      <c r="P4"/>
      <c r="Q4"/>
      <c r="R4"/>
    </row>
    <row r="5" spans="1:18" ht="15">
      <c r="A5" s="61">
        <v>38807</v>
      </c>
      <c r="B5" s="55">
        <v>503.56</v>
      </c>
      <c r="C5" s="56">
        <v>81</v>
      </c>
      <c r="D5" s="57"/>
      <c r="E5" s="58"/>
      <c r="F5" s="54"/>
      <c r="G5" s="59">
        <f t="shared" ref="G5:G63" si="0">B5/B4-1</f>
        <v>0.28903110200947157</v>
      </c>
      <c r="H5" s="59">
        <f t="shared" ref="H5:H63" si="1">(C5+D5+(C5-F5)*E5-C4)/C4</f>
        <v>0.18248175182481752</v>
      </c>
      <c r="J5" s="70" t="s">
        <v>111</v>
      </c>
      <c r="K5" s="70">
        <v>0.62763944006210948</v>
      </c>
      <c r="L5"/>
      <c r="M5"/>
      <c r="N5"/>
      <c r="O5"/>
      <c r="P5"/>
      <c r="Q5"/>
      <c r="R5"/>
    </row>
    <row r="6" spans="1:18" ht="15">
      <c r="A6" s="61">
        <v>38835</v>
      </c>
      <c r="B6" s="55">
        <v>595.48</v>
      </c>
      <c r="C6" s="56">
        <v>93.5</v>
      </c>
      <c r="D6" s="57"/>
      <c r="E6" s="58"/>
      <c r="F6" s="54"/>
      <c r="G6" s="59">
        <f t="shared" si="0"/>
        <v>0.18254031297164186</v>
      </c>
      <c r="H6" s="59">
        <f t="shared" si="1"/>
        <v>0.15432098765432098</v>
      </c>
      <c r="J6" s="70" t="s">
        <v>112</v>
      </c>
      <c r="K6" s="70">
        <v>0.62121943040800787</v>
      </c>
      <c r="L6"/>
      <c r="M6"/>
      <c r="N6"/>
      <c r="O6"/>
      <c r="P6"/>
      <c r="Q6"/>
      <c r="R6"/>
    </row>
    <row r="7" spans="1:18" ht="15">
      <c r="A7" s="61">
        <v>38868</v>
      </c>
      <c r="B7" s="55">
        <v>538.91</v>
      </c>
      <c r="C7" s="56">
        <v>89</v>
      </c>
      <c r="D7" s="57"/>
      <c r="E7" s="58"/>
      <c r="F7" s="54"/>
      <c r="G7" s="59">
        <f t="shared" si="0"/>
        <v>-9.4998992409484839E-2</v>
      </c>
      <c r="H7" s="59">
        <f t="shared" si="1"/>
        <v>-4.8128342245989303E-2</v>
      </c>
      <c r="J7" s="70" t="s">
        <v>113</v>
      </c>
      <c r="K7" s="70">
        <v>8.4924899232508386E-2</v>
      </c>
      <c r="L7"/>
      <c r="M7"/>
      <c r="N7"/>
      <c r="O7"/>
      <c r="P7"/>
      <c r="Q7"/>
      <c r="R7"/>
    </row>
    <row r="8" spans="1:18" ht="15.75" thickBot="1">
      <c r="A8" s="61">
        <v>38898</v>
      </c>
      <c r="B8" s="55">
        <v>515.59</v>
      </c>
      <c r="C8" s="56">
        <v>81</v>
      </c>
      <c r="D8" s="57">
        <v>0.9</v>
      </c>
      <c r="E8" s="58"/>
      <c r="F8" s="54"/>
      <c r="G8" s="59">
        <f t="shared" si="0"/>
        <v>-4.327253159154576E-2</v>
      </c>
      <c r="H8" s="59">
        <f t="shared" si="1"/>
        <v>-7.9775280898876338E-2</v>
      </c>
      <c r="J8" s="71" t="s">
        <v>114</v>
      </c>
      <c r="K8" s="71">
        <v>60</v>
      </c>
      <c r="L8"/>
      <c r="M8"/>
      <c r="N8"/>
      <c r="O8"/>
      <c r="P8"/>
      <c r="Q8"/>
      <c r="R8"/>
    </row>
    <row r="9" spans="1:18" ht="15">
      <c r="A9" s="61">
        <v>38929</v>
      </c>
      <c r="B9" s="55">
        <v>422.41</v>
      </c>
      <c r="C9" s="56">
        <v>67.5</v>
      </c>
      <c r="D9" s="57"/>
      <c r="E9" s="58"/>
      <c r="F9" s="54"/>
      <c r="G9" s="59">
        <f t="shared" si="0"/>
        <v>-0.18072499466630465</v>
      </c>
      <c r="H9" s="59">
        <f t="shared" si="1"/>
        <v>-0.16666666666666666</v>
      </c>
      <c r="J9"/>
      <c r="K9"/>
      <c r="L9"/>
      <c r="M9"/>
      <c r="N9"/>
      <c r="O9"/>
      <c r="P9"/>
      <c r="Q9"/>
      <c r="R9"/>
    </row>
    <row r="10" spans="1:18" ht="15.75" thickBot="1">
      <c r="A10" s="61">
        <v>38960</v>
      </c>
      <c r="B10" s="55">
        <v>491.18</v>
      </c>
      <c r="C10" s="56">
        <v>82.5</v>
      </c>
      <c r="D10" s="57"/>
      <c r="E10" s="58"/>
      <c r="F10" s="54"/>
      <c r="G10" s="59">
        <f t="shared" si="0"/>
        <v>0.16280391089226098</v>
      </c>
      <c r="H10" s="59">
        <f t="shared" si="1"/>
        <v>0.22222222222222221</v>
      </c>
      <c r="J10" t="s">
        <v>115</v>
      </c>
      <c r="K10"/>
      <c r="L10"/>
      <c r="M10"/>
      <c r="N10"/>
      <c r="O10"/>
      <c r="P10"/>
      <c r="Q10"/>
      <c r="R10"/>
    </row>
    <row r="11" spans="1:18" ht="15">
      <c r="A11" s="61">
        <v>38989</v>
      </c>
      <c r="B11" s="55">
        <v>526.73</v>
      </c>
      <c r="C11" s="56">
        <v>83</v>
      </c>
      <c r="D11" s="57"/>
      <c r="E11" s="58"/>
      <c r="F11" s="54"/>
      <c r="G11" s="59">
        <f t="shared" si="0"/>
        <v>7.2376725436703371E-2</v>
      </c>
      <c r="H11" s="59">
        <f t="shared" si="1"/>
        <v>6.0606060606060606E-3</v>
      </c>
      <c r="J11" s="72"/>
      <c r="K11" s="72" t="s">
        <v>119</v>
      </c>
      <c r="L11" s="72" t="s">
        <v>120</v>
      </c>
      <c r="M11" s="72" t="s">
        <v>121</v>
      </c>
      <c r="N11" s="72" t="s">
        <v>122</v>
      </c>
      <c r="O11" s="72" t="s">
        <v>123</v>
      </c>
      <c r="P11"/>
      <c r="Q11"/>
      <c r="R11"/>
    </row>
    <row r="12" spans="1:18" ht="15">
      <c r="A12" s="61">
        <v>39021</v>
      </c>
      <c r="B12" s="55">
        <v>511.54</v>
      </c>
      <c r="C12" s="56">
        <v>80</v>
      </c>
      <c r="D12" s="57"/>
      <c r="E12" s="58"/>
      <c r="F12" s="54"/>
      <c r="G12" s="59">
        <f t="shared" si="0"/>
        <v>-2.8838304254551694E-2</v>
      </c>
      <c r="H12" s="59">
        <f t="shared" si="1"/>
        <v>-3.614457831325301E-2</v>
      </c>
      <c r="J12" s="70" t="s">
        <v>116</v>
      </c>
      <c r="K12" s="70">
        <v>1</v>
      </c>
      <c r="L12" s="70">
        <v>0.70509011414028144</v>
      </c>
      <c r="M12" s="70">
        <v>0.70509011414028144</v>
      </c>
      <c r="N12" s="70">
        <v>97.763005646125251</v>
      </c>
      <c r="O12" s="70">
        <v>4.7124753629715874E-14</v>
      </c>
      <c r="P12"/>
      <c r="Q12"/>
      <c r="R12"/>
    </row>
    <row r="13" spans="1:18" ht="15">
      <c r="A13" s="61">
        <v>39051</v>
      </c>
      <c r="B13" s="55">
        <v>633.04999999999995</v>
      </c>
      <c r="C13" s="56">
        <v>106</v>
      </c>
      <c r="D13" s="57"/>
      <c r="E13" s="58"/>
      <c r="F13" s="54"/>
      <c r="G13" s="59">
        <f t="shared" si="0"/>
        <v>0.23753763146576978</v>
      </c>
      <c r="H13" s="59">
        <f t="shared" si="1"/>
        <v>0.32500000000000001</v>
      </c>
      <c r="J13" s="70" t="s">
        <v>117</v>
      </c>
      <c r="K13" s="70">
        <v>58</v>
      </c>
      <c r="L13" s="70">
        <v>0.41830983355979878</v>
      </c>
      <c r="M13" s="70">
        <v>7.2122385096517029E-3</v>
      </c>
      <c r="N13" s="70"/>
      <c r="O13" s="70"/>
      <c r="P13"/>
      <c r="Q13"/>
      <c r="R13"/>
    </row>
    <row r="14" spans="1:18" ht="15.75" thickBot="1">
      <c r="A14" s="61">
        <v>39080</v>
      </c>
      <c r="B14" s="55">
        <v>751.77</v>
      </c>
      <c r="C14" s="56">
        <v>125</v>
      </c>
      <c r="D14" s="57"/>
      <c r="E14" s="58"/>
      <c r="F14" s="54"/>
      <c r="G14" s="59">
        <f t="shared" si="0"/>
        <v>0.18753652950003952</v>
      </c>
      <c r="H14" s="59">
        <f t="shared" si="1"/>
        <v>0.17924528301886791</v>
      </c>
      <c r="J14" s="71" t="s">
        <v>93</v>
      </c>
      <c r="K14" s="71">
        <v>59</v>
      </c>
      <c r="L14" s="71">
        <v>1.1233999477000802</v>
      </c>
      <c r="M14" s="71"/>
      <c r="N14" s="71"/>
      <c r="O14" s="71"/>
      <c r="P14"/>
      <c r="Q14"/>
      <c r="R14"/>
    </row>
    <row r="15" spans="1:18" ht="15.75" thickBot="1">
      <c r="A15" s="61">
        <v>39113</v>
      </c>
      <c r="B15" s="55">
        <v>1041.33</v>
      </c>
      <c r="C15" s="56">
        <v>175</v>
      </c>
      <c r="D15" s="57">
        <v>1</v>
      </c>
      <c r="E15" s="58">
        <v>0.05</v>
      </c>
      <c r="F15" s="54">
        <v>10</v>
      </c>
      <c r="G15" s="59">
        <f t="shared" si="0"/>
        <v>0.38517099644838182</v>
      </c>
      <c r="H15" s="59">
        <f t="shared" si="1"/>
        <v>0.47399999999999998</v>
      </c>
      <c r="J15"/>
      <c r="K15"/>
      <c r="L15"/>
      <c r="M15"/>
      <c r="N15"/>
      <c r="O15"/>
      <c r="P15"/>
      <c r="Q15"/>
      <c r="R15"/>
    </row>
    <row r="16" spans="1:18" ht="15">
      <c r="A16" s="61">
        <v>39141</v>
      </c>
      <c r="B16" s="55">
        <v>1137.69</v>
      </c>
      <c r="C16" s="56">
        <v>202</v>
      </c>
      <c r="D16" s="57"/>
      <c r="E16" s="58"/>
      <c r="F16" s="54"/>
      <c r="G16" s="59">
        <f t="shared" si="0"/>
        <v>9.2535507476016354E-2</v>
      </c>
      <c r="H16" s="59">
        <f t="shared" si="1"/>
        <v>0.15428571428571428</v>
      </c>
      <c r="J16" s="72"/>
      <c r="K16" s="72" t="s">
        <v>124</v>
      </c>
      <c r="L16" s="72" t="s">
        <v>113</v>
      </c>
      <c r="M16" s="72" t="s">
        <v>125</v>
      </c>
      <c r="N16" s="72" t="s">
        <v>126</v>
      </c>
      <c r="O16" s="72" t="s">
        <v>127</v>
      </c>
      <c r="P16" s="72" t="s">
        <v>128</v>
      </c>
      <c r="Q16" s="72" t="s">
        <v>129</v>
      </c>
      <c r="R16" s="72" t="s">
        <v>130</v>
      </c>
    </row>
    <row r="17" spans="1:18" ht="15">
      <c r="A17" s="61">
        <v>39171</v>
      </c>
      <c r="B17" s="55">
        <v>1071.33</v>
      </c>
      <c r="C17" s="56">
        <v>184</v>
      </c>
      <c r="D17" s="57"/>
      <c r="E17" s="58"/>
      <c r="F17" s="54"/>
      <c r="G17" s="59">
        <f t="shared" si="0"/>
        <v>-5.832871871951073E-2</v>
      </c>
      <c r="H17" s="59">
        <f t="shared" si="1"/>
        <v>-8.9108910891089105E-2</v>
      </c>
      <c r="J17" s="70" t="s">
        <v>118</v>
      </c>
      <c r="K17" s="70">
        <v>1.9171869171822294E-2</v>
      </c>
      <c r="L17" s="70">
        <v>1.1051341726724147E-2</v>
      </c>
      <c r="M17" s="70">
        <v>1.7348001397388011</v>
      </c>
      <c r="N17" s="70">
        <v>8.8087856430621975E-2</v>
      </c>
      <c r="O17" s="70">
        <v>-2.9497946074368356E-3</v>
      </c>
      <c r="P17" s="70">
        <v>4.1293532951081423E-2</v>
      </c>
      <c r="Q17" s="70">
        <v>-2.9497946074368356E-3</v>
      </c>
      <c r="R17" s="70">
        <v>4.1293532951081423E-2</v>
      </c>
    </row>
    <row r="18" spans="1:18" ht="15.75" thickBot="1">
      <c r="A18" s="61">
        <v>39197</v>
      </c>
      <c r="B18" s="55">
        <v>923.89</v>
      </c>
      <c r="C18" s="56">
        <v>169</v>
      </c>
      <c r="D18" s="57"/>
      <c r="E18" s="58"/>
      <c r="F18" s="54"/>
      <c r="G18" s="59">
        <f t="shared" si="0"/>
        <v>-0.13762332801284383</v>
      </c>
      <c r="H18" s="59">
        <f t="shared" si="1"/>
        <v>-8.1521739130434784E-2</v>
      </c>
      <c r="J18" s="71" t="s">
        <v>131</v>
      </c>
      <c r="K18" s="120">
        <v>0.79085897688469653</v>
      </c>
      <c r="L18" s="71">
        <v>7.9985594301316465E-2</v>
      </c>
      <c r="M18" s="71">
        <v>9.8875176685619746</v>
      </c>
      <c r="N18" s="71">
        <v>4.7124753629715874E-14</v>
      </c>
      <c r="O18" s="71">
        <v>0.63075041558311418</v>
      </c>
      <c r="P18" s="71">
        <v>0.95096753818627888</v>
      </c>
      <c r="Q18" s="71">
        <v>0.63075041558311418</v>
      </c>
      <c r="R18" s="71">
        <v>0.95096753818627888</v>
      </c>
    </row>
    <row r="19" spans="1:18" ht="15">
      <c r="A19" s="61">
        <v>39233</v>
      </c>
      <c r="B19" s="55">
        <v>1081.48</v>
      </c>
      <c r="C19" s="56">
        <v>185</v>
      </c>
      <c r="D19" s="57"/>
      <c r="E19" s="58"/>
      <c r="F19" s="54"/>
      <c r="G19" s="59">
        <f t="shared" si="0"/>
        <v>0.17057225427269485</v>
      </c>
      <c r="H19" s="59">
        <f t="shared" si="1"/>
        <v>9.4674556213017749E-2</v>
      </c>
      <c r="J19"/>
      <c r="K19"/>
      <c r="L19"/>
      <c r="M19"/>
      <c r="N19"/>
      <c r="O19"/>
      <c r="P19"/>
      <c r="Q19"/>
      <c r="R19"/>
    </row>
    <row r="20" spans="1:18" ht="15">
      <c r="A20" s="61">
        <v>39262</v>
      </c>
      <c r="B20" s="55">
        <v>1024.68</v>
      </c>
      <c r="C20" s="56">
        <v>180</v>
      </c>
      <c r="D20" s="57">
        <v>1.9</v>
      </c>
      <c r="E20" s="58"/>
      <c r="F20" s="54"/>
      <c r="G20" s="59">
        <f t="shared" si="0"/>
        <v>-5.2520619891260112E-2</v>
      </c>
      <c r="H20" s="59">
        <f t="shared" si="1"/>
        <v>-1.6756756756756724E-2</v>
      </c>
      <c r="J20"/>
      <c r="K20"/>
      <c r="L20"/>
      <c r="M20"/>
      <c r="N20"/>
      <c r="O20"/>
      <c r="P20"/>
      <c r="Q20"/>
      <c r="R20"/>
    </row>
    <row r="21" spans="1:18" ht="15">
      <c r="A21" s="61">
        <v>39294</v>
      </c>
      <c r="B21" s="55">
        <v>907.95</v>
      </c>
      <c r="C21" s="56">
        <v>174</v>
      </c>
      <c r="D21" s="57"/>
      <c r="E21" s="58"/>
      <c r="F21" s="54"/>
      <c r="G21" s="59">
        <f t="shared" si="0"/>
        <v>-0.11391849162665424</v>
      </c>
      <c r="H21" s="59">
        <f t="shared" si="1"/>
        <v>-3.3333333333333333E-2</v>
      </c>
      <c r="J21"/>
      <c r="K21"/>
      <c r="L21"/>
      <c r="M21"/>
      <c r="N21"/>
      <c r="O21"/>
      <c r="P21"/>
      <c r="Q21"/>
      <c r="R21"/>
    </row>
    <row r="22" spans="1:18">
      <c r="A22" s="61">
        <v>39325</v>
      </c>
      <c r="B22" s="55">
        <v>908</v>
      </c>
      <c r="C22" s="56">
        <v>160</v>
      </c>
      <c r="D22" s="57"/>
      <c r="E22" s="58"/>
      <c r="F22" s="54"/>
      <c r="G22" s="59">
        <f t="shared" si="0"/>
        <v>5.5069111735139842E-5</v>
      </c>
      <c r="H22" s="59">
        <f t="shared" si="1"/>
        <v>-8.0459770114942528E-2</v>
      </c>
    </row>
    <row r="23" spans="1:18">
      <c r="A23" s="61">
        <v>39353</v>
      </c>
      <c r="B23" s="55">
        <v>1046.8599999999999</v>
      </c>
      <c r="C23" s="56">
        <v>182</v>
      </c>
      <c r="D23" s="57"/>
      <c r="E23" s="58"/>
      <c r="F23" s="54"/>
      <c r="G23" s="59">
        <f t="shared" si="0"/>
        <v>0.15292951541850219</v>
      </c>
      <c r="H23" s="59">
        <f t="shared" si="1"/>
        <v>0.13750000000000001</v>
      </c>
    </row>
    <row r="24" spans="1:18">
      <c r="A24" s="61">
        <v>39386</v>
      </c>
      <c r="B24" s="55">
        <v>1065.0899999999999</v>
      </c>
      <c r="C24" s="56">
        <v>184</v>
      </c>
      <c r="D24" s="57"/>
      <c r="E24" s="58"/>
      <c r="F24" s="54"/>
      <c r="G24" s="59">
        <f t="shared" si="0"/>
        <v>1.7413980857039268E-2</v>
      </c>
      <c r="H24" s="59">
        <f t="shared" si="1"/>
        <v>1.098901098901099E-2</v>
      </c>
    </row>
    <row r="25" spans="1:18">
      <c r="A25" s="61">
        <v>39416</v>
      </c>
      <c r="B25" s="55">
        <v>972.35</v>
      </c>
      <c r="C25" s="56">
        <v>166</v>
      </c>
      <c r="D25" s="57"/>
      <c r="E25" s="58"/>
      <c r="F25" s="54"/>
      <c r="G25" s="59">
        <f t="shared" si="0"/>
        <v>-8.7072453971025809E-2</v>
      </c>
      <c r="H25" s="59">
        <f t="shared" si="1"/>
        <v>-9.7826086956521743E-2</v>
      </c>
    </row>
    <row r="26" spans="1:18">
      <c r="A26" s="61">
        <v>39444</v>
      </c>
      <c r="B26" s="55">
        <v>927.02</v>
      </c>
      <c r="C26" s="56">
        <v>166</v>
      </c>
      <c r="D26" s="57"/>
      <c r="E26" s="58"/>
      <c r="F26" s="54"/>
      <c r="G26" s="59">
        <f t="shared" si="0"/>
        <v>-4.6619015786496631E-2</v>
      </c>
      <c r="H26" s="59">
        <f t="shared" si="1"/>
        <v>0</v>
      </c>
    </row>
    <row r="27" spans="1:18">
      <c r="A27" s="61">
        <v>39478</v>
      </c>
      <c r="B27" s="55">
        <v>844.11</v>
      </c>
      <c r="C27" s="56">
        <v>142</v>
      </c>
      <c r="D27" s="57"/>
      <c r="E27" s="58"/>
      <c r="F27" s="54"/>
      <c r="G27" s="59">
        <f t="shared" si="0"/>
        <v>-8.9437121097710959E-2</v>
      </c>
      <c r="H27" s="59">
        <f t="shared" si="1"/>
        <v>-0.14457831325301204</v>
      </c>
    </row>
    <row r="28" spans="1:18">
      <c r="A28" s="61">
        <v>39507</v>
      </c>
      <c r="B28" s="55">
        <v>663.3</v>
      </c>
      <c r="C28" s="56">
        <v>117</v>
      </c>
      <c r="D28" s="57"/>
      <c r="E28" s="58"/>
      <c r="F28" s="54"/>
      <c r="G28" s="59">
        <f t="shared" si="0"/>
        <v>-0.21420194050538444</v>
      </c>
      <c r="H28" s="59">
        <f t="shared" si="1"/>
        <v>-0.176056338028169</v>
      </c>
    </row>
    <row r="29" spans="1:18">
      <c r="A29" s="61">
        <v>39538</v>
      </c>
      <c r="B29" s="55">
        <v>516.85</v>
      </c>
      <c r="C29" s="56">
        <v>109</v>
      </c>
      <c r="D29" s="57"/>
      <c r="E29" s="58"/>
      <c r="F29" s="54"/>
      <c r="G29" s="59">
        <f t="shared" si="0"/>
        <v>-0.2207899894467058</v>
      </c>
      <c r="H29" s="59">
        <f t="shared" si="1"/>
        <v>-6.8376068376068383E-2</v>
      </c>
    </row>
    <row r="30" spans="1:18">
      <c r="A30" s="61">
        <v>39567</v>
      </c>
      <c r="B30" s="55">
        <v>522.36</v>
      </c>
      <c r="C30" s="56">
        <v>134</v>
      </c>
      <c r="D30" s="57">
        <v>1</v>
      </c>
      <c r="E30" s="58"/>
      <c r="F30" s="54"/>
      <c r="G30" s="59">
        <f t="shared" si="0"/>
        <v>1.0660733288188062E-2</v>
      </c>
      <c r="H30" s="59">
        <f t="shared" si="1"/>
        <v>0.23853211009174313</v>
      </c>
    </row>
    <row r="31" spans="1:18">
      <c r="A31" s="61">
        <v>39598</v>
      </c>
      <c r="B31" s="55">
        <v>414.1</v>
      </c>
      <c r="C31" s="56">
        <v>108</v>
      </c>
      <c r="D31" s="57"/>
      <c r="E31" s="58"/>
      <c r="F31" s="54"/>
      <c r="G31" s="59">
        <f t="shared" si="0"/>
        <v>-0.20725170380580438</v>
      </c>
      <c r="H31" s="59">
        <f t="shared" si="1"/>
        <v>-0.19402985074626866</v>
      </c>
    </row>
    <row r="32" spans="1:18">
      <c r="A32" s="61">
        <v>39629</v>
      </c>
      <c r="B32" s="55">
        <v>399.4</v>
      </c>
      <c r="C32" s="56">
        <v>106</v>
      </c>
      <c r="D32" s="57"/>
      <c r="E32" s="58"/>
      <c r="F32" s="54"/>
      <c r="G32" s="59">
        <f t="shared" si="0"/>
        <v>-3.5498671818401495E-2</v>
      </c>
      <c r="H32" s="59">
        <f t="shared" si="1"/>
        <v>-1.8518518518518517E-2</v>
      </c>
    </row>
    <row r="33" spans="1:8">
      <c r="A33" s="61">
        <v>39660</v>
      </c>
      <c r="B33" s="55">
        <v>451.36</v>
      </c>
      <c r="C33" s="56">
        <v>109</v>
      </c>
      <c r="D33" s="57"/>
      <c r="E33" s="58"/>
      <c r="F33" s="54"/>
      <c r="G33" s="59">
        <f t="shared" si="0"/>
        <v>0.1300951427140713</v>
      </c>
      <c r="H33" s="59">
        <f t="shared" si="1"/>
        <v>2.8301886792452831E-2</v>
      </c>
    </row>
    <row r="34" spans="1:8">
      <c r="A34" s="61">
        <v>39689</v>
      </c>
      <c r="B34" s="55">
        <v>539.1</v>
      </c>
      <c r="C34" s="56">
        <v>106</v>
      </c>
      <c r="D34" s="57">
        <v>1</v>
      </c>
      <c r="E34" s="58"/>
      <c r="F34" s="54"/>
      <c r="G34" s="59">
        <f t="shared" si="0"/>
        <v>0.19439028713222273</v>
      </c>
      <c r="H34" s="59">
        <f t="shared" si="1"/>
        <v>-1.834862385321101E-2</v>
      </c>
    </row>
    <row r="35" spans="1:8">
      <c r="A35" s="61">
        <v>39721</v>
      </c>
      <c r="B35" s="55">
        <v>456.7</v>
      </c>
      <c r="C35" s="56">
        <v>90.5</v>
      </c>
      <c r="D35" s="57"/>
      <c r="E35" s="58"/>
      <c r="F35" s="54"/>
      <c r="G35" s="59">
        <f t="shared" si="0"/>
        <v>-0.15284733815618634</v>
      </c>
      <c r="H35" s="59">
        <f t="shared" si="1"/>
        <v>-0.14622641509433962</v>
      </c>
    </row>
    <row r="36" spans="1:8">
      <c r="A36" s="61">
        <v>39752</v>
      </c>
      <c r="B36" s="55">
        <v>347.05</v>
      </c>
      <c r="C36" s="56">
        <v>78</v>
      </c>
      <c r="D36" s="57"/>
      <c r="E36" s="58"/>
      <c r="F36" s="54"/>
      <c r="G36" s="59">
        <f t="shared" si="0"/>
        <v>-0.24009196409021238</v>
      </c>
      <c r="H36" s="59">
        <f t="shared" si="1"/>
        <v>-0.13812154696132597</v>
      </c>
    </row>
    <row r="37" spans="1:8">
      <c r="A37" s="61">
        <v>39780</v>
      </c>
      <c r="B37" s="55">
        <v>314.74</v>
      </c>
      <c r="C37" s="56">
        <v>76.5</v>
      </c>
      <c r="D37" s="57">
        <v>1.9</v>
      </c>
      <c r="E37" s="58"/>
      <c r="F37" s="54"/>
      <c r="G37" s="59">
        <f t="shared" si="0"/>
        <v>-9.3098977092637925E-2</v>
      </c>
      <c r="H37" s="59">
        <f t="shared" si="1"/>
        <v>5.1282051282052011E-3</v>
      </c>
    </row>
    <row r="38" spans="1:8">
      <c r="A38" s="61">
        <v>39813</v>
      </c>
      <c r="B38" s="55">
        <v>315.62</v>
      </c>
      <c r="C38" s="56">
        <v>83</v>
      </c>
      <c r="D38" s="57"/>
      <c r="E38" s="58"/>
      <c r="F38" s="54"/>
      <c r="G38" s="59">
        <f t="shared" si="0"/>
        <v>2.7959585689776301E-3</v>
      </c>
      <c r="H38" s="59">
        <f t="shared" si="1"/>
        <v>8.4967320261437912E-2</v>
      </c>
    </row>
    <row r="39" spans="1:8">
      <c r="A39" s="61">
        <v>39836</v>
      </c>
      <c r="B39" s="55">
        <v>303.20999999999998</v>
      </c>
      <c r="C39" s="56">
        <v>82</v>
      </c>
      <c r="D39" s="57"/>
      <c r="E39" s="58"/>
      <c r="F39" s="54"/>
      <c r="G39" s="59">
        <f t="shared" si="0"/>
        <v>-3.9319434763323113E-2</v>
      </c>
      <c r="H39" s="59">
        <f t="shared" si="1"/>
        <v>-1.2048192771084338E-2</v>
      </c>
    </row>
    <row r="40" spans="1:8">
      <c r="A40" s="61">
        <v>39871</v>
      </c>
      <c r="B40" s="55">
        <v>245.74</v>
      </c>
      <c r="C40" s="56">
        <v>74.5</v>
      </c>
      <c r="D40" s="57"/>
      <c r="E40" s="58"/>
      <c r="F40" s="54"/>
      <c r="G40" s="59">
        <f t="shared" si="0"/>
        <v>-0.1895386036080603</v>
      </c>
      <c r="H40" s="59">
        <f t="shared" si="1"/>
        <v>-9.1463414634146339E-2</v>
      </c>
    </row>
    <row r="41" spans="1:8">
      <c r="A41" s="60">
        <v>39903</v>
      </c>
      <c r="B41" s="54">
        <v>280.67</v>
      </c>
      <c r="C41" s="56">
        <v>78.5</v>
      </c>
      <c r="D41" s="57"/>
      <c r="E41" s="58"/>
      <c r="F41" s="54"/>
      <c r="G41" s="59">
        <f t="shared" si="0"/>
        <v>0.14214210140799222</v>
      </c>
      <c r="H41" s="59">
        <f t="shared" si="1"/>
        <v>5.3691275167785234E-2</v>
      </c>
    </row>
    <row r="42" spans="1:8">
      <c r="A42" s="60">
        <v>39932</v>
      </c>
      <c r="B42" s="54">
        <v>321.63</v>
      </c>
      <c r="C42" s="56">
        <v>85</v>
      </c>
      <c r="D42" s="57"/>
      <c r="E42" s="58"/>
      <c r="F42" s="54"/>
      <c r="G42" s="59">
        <f t="shared" si="0"/>
        <v>0.14593650906758815</v>
      </c>
      <c r="H42" s="59">
        <f t="shared" si="1"/>
        <v>8.2802547770700632E-2</v>
      </c>
    </row>
    <row r="43" spans="1:8">
      <c r="A43" s="60">
        <v>39962</v>
      </c>
      <c r="B43" s="54">
        <v>411.64</v>
      </c>
      <c r="C43" s="56">
        <v>88</v>
      </c>
      <c r="D43" s="57"/>
      <c r="E43" s="58"/>
      <c r="F43" s="54"/>
      <c r="G43" s="59">
        <f t="shared" si="0"/>
        <v>0.27985573485060478</v>
      </c>
      <c r="H43" s="59">
        <f t="shared" si="1"/>
        <v>3.5294117647058823E-2</v>
      </c>
    </row>
    <row r="44" spans="1:8">
      <c r="A44" s="60">
        <v>39994</v>
      </c>
      <c r="B44" s="54">
        <v>448.29</v>
      </c>
      <c r="C44" s="56">
        <v>92</v>
      </c>
      <c r="D44" s="57"/>
      <c r="E44" s="58"/>
      <c r="F44" s="54"/>
      <c r="G44" s="59">
        <f t="shared" si="0"/>
        <v>8.9034107472548918E-2</v>
      </c>
      <c r="H44" s="59">
        <f t="shared" si="1"/>
        <v>4.5454545454545456E-2</v>
      </c>
    </row>
    <row r="45" spans="1:8">
      <c r="A45" s="60">
        <v>40025</v>
      </c>
      <c r="B45" s="54">
        <v>466.76</v>
      </c>
      <c r="C45" s="56">
        <v>126</v>
      </c>
      <c r="D45" s="57">
        <v>2</v>
      </c>
      <c r="E45" s="58"/>
      <c r="F45" s="54"/>
      <c r="G45" s="59">
        <f t="shared" si="0"/>
        <v>4.1201008275892681E-2</v>
      </c>
      <c r="H45" s="59">
        <f t="shared" si="1"/>
        <v>0.39130434782608697</v>
      </c>
    </row>
    <row r="46" spans="1:8">
      <c r="A46" s="60">
        <v>40056</v>
      </c>
      <c r="B46" s="54">
        <v>546.78</v>
      </c>
      <c r="C46" s="56">
        <v>158</v>
      </c>
      <c r="D46" s="57"/>
      <c r="E46" s="58"/>
      <c r="F46" s="54"/>
      <c r="G46" s="59">
        <f t="shared" si="0"/>
        <v>0.17143714114319986</v>
      </c>
      <c r="H46" s="59">
        <f t="shared" si="1"/>
        <v>0.25396825396825395</v>
      </c>
    </row>
    <row r="47" spans="1:8">
      <c r="A47" s="60">
        <v>40086</v>
      </c>
      <c r="B47" s="54">
        <v>580.9</v>
      </c>
      <c r="C47" s="56">
        <v>90</v>
      </c>
      <c r="D47" s="57"/>
      <c r="E47" s="58">
        <v>1</v>
      </c>
      <c r="F47" s="54">
        <v>0</v>
      </c>
      <c r="G47" s="59">
        <f t="shared" si="0"/>
        <v>6.2401697209115259E-2</v>
      </c>
      <c r="H47" s="59">
        <f t="shared" si="1"/>
        <v>0.13924050632911392</v>
      </c>
    </row>
    <row r="48" spans="1:8">
      <c r="A48" s="60">
        <v>40116</v>
      </c>
      <c r="B48" s="54">
        <v>587.12</v>
      </c>
      <c r="C48" s="56">
        <v>87.5</v>
      </c>
      <c r="D48" s="57"/>
      <c r="E48" s="58"/>
      <c r="F48" s="54"/>
      <c r="G48" s="59">
        <f t="shared" si="0"/>
        <v>1.0707522809433767E-2</v>
      </c>
      <c r="H48" s="59">
        <f t="shared" si="1"/>
        <v>-2.7777777777777776E-2</v>
      </c>
    </row>
    <row r="49" spans="1:8">
      <c r="A49" s="60">
        <v>40147</v>
      </c>
      <c r="B49" s="54">
        <v>504.12</v>
      </c>
      <c r="C49" s="56">
        <v>78.5</v>
      </c>
      <c r="D49" s="57"/>
      <c r="E49" s="58"/>
      <c r="F49" s="54"/>
      <c r="G49" s="59">
        <f t="shared" si="0"/>
        <v>-0.14136803379206975</v>
      </c>
      <c r="H49" s="59">
        <f t="shared" si="1"/>
        <v>-0.10285714285714286</v>
      </c>
    </row>
    <row r="50" spans="1:8">
      <c r="A50" s="60">
        <v>40178</v>
      </c>
      <c r="B50" s="54">
        <v>494.77</v>
      </c>
      <c r="C50" s="56">
        <v>75</v>
      </c>
      <c r="D50" s="57"/>
      <c r="E50" s="58"/>
      <c r="F50" s="54"/>
      <c r="G50" s="59">
        <f t="shared" si="0"/>
        <v>-1.8547171308418653E-2</v>
      </c>
      <c r="H50" s="59">
        <f t="shared" si="1"/>
        <v>-4.4585987261146494E-2</v>
      </c>
    </row>
    <row r="51" spans="1:8">
      <c r="A51" s="60">
        <v>40207</v>
      </c>
      <c r="B51" s="54">
        <v>481.96</v>
      </c>
      <c r="C51" s="56">
        <v>77.5</v>
      </c>
      <c r="D51" s="57"/>
      <c r="E51" s="58"/>
      <c r="F51" s="54"/>
      <c r="G51" s="59">
        <f t="shared" si="0"/>
        <v>-2.5890817955817824E-2</v>
      </c>
      <c r="H51" s="59">
        <f t="shared" si="1"/>
        <v>3.3333333333333333E-2</v>
      </c>
    </row>
    <row r="52" spans="1:8">
      <c r="A52" s="60">
        <v>40235</v>
      </c>
      <c r="B52" s="54">
        <v>496.91</v>
      </c>
      <c r="C52" s="57">
        <v>85</v>
      </c>
      <c r="D52" s="57">
        <v>1</v>
      </c>
      <c r="E52" s="58"/>
      <c r="F52" s="54"/>
      <c r="G52" s="59">
        <f t="shared" si="0"/>
        <v>3.1019171715495064E-2</v>
      </c>
      <c r="H52" s="59">
        <f t="shared" si="1"/>
        <v>0.10967741935483871</v>
      </c>
    </row>
    <row r="53" spans="1:8">
      <c r="A53" s="61">
        <v>40268</v>
      </c>
      <c r="B53" s="54">
        <v>499.24</v>
      </c>
      <c r="C53" s="57">
        <v>85</v>
      </c>
      <c r="D53" s="57"/>
      <c r="E53" s="58"/>
      <c r="F53" s="54"/>
      <c r="G53" s="59">
        <f t="shared" si="0"/>
        <v>4.6889778833187901E-3</v>
      </c>
      <c r="H53" s="59">
        <f t="shared" si="1"/>
        <v>0</v>
      </c>
    </row>
    <row r="54" spans="1:8">
      <c r="A54" s="61">
        <v>40297</v>
      </c>
      <c r="B54" s="54">
        <v>542.37</v>
      </c>
      <c r="C54" s="57">
        <v>94</v>
      </c>
      <c r="D54" s="57">
        <v>1</v>
      </c>
      <c r="E54" s="58"/>
      <c r="F54" s="54"/>
      <c r="G54" s="59">
        <f t="shared" si="0"/>
        <v>8.6391314798493601E-2</v>
      </c>
      <c r="H54" s="59">
        <f t="shared" si="1"/>
        <v>0.11764705882352941</v>
      </c>
    </row>
    <row r="55" spans="1:8">
      <c r="A55" s="61">
        <v>40329</v>
      </c>
      <c r="B55" s="54">
        <v>507.44</v>
      </c>
      <c r="C55" s="57">
        <v>88.5</v>
      </c>
      <c r="D55" s="57"/>
      <c r="E55" s="58"/>
      <c r="F55" s="54"/>
      <c r="G55" s="59">
        <f t="shared" si="0"/>
        <v>-6.4402529638438732E-2</v>
      </c>
      <c r="H55" s="59">
        <f t="shared" si="1"/>
        <v>-5.8510638297872342E-2</v>
      </c>
    </row>
    <row r="56" spans="1:8">
      <c r="A56" s="61">
        <v>40359</v>
      </c>
      <c r="B56" s="54">
        <v>507.14</v>
      </c>
      <c r="C56" s="57">
        <v>90</v>
      </c>
      <c r="D56" s="57"/>
      <c r="E56" s="58"/>
      <c r="F56" s="54"/>
      <c r="G56" s="59">
        <f t="shared" si="0"/>
        <v>-5.9120290083558569E-4</v>
      </c>
      <c r="H56" s="59">
        <f t="shared" si="1"/>
        <v>1.6949152542372881E-2</v>
      </c>
    </row>
    <row r="57" spans="1:8">
      <c r="A57" s="61">
        <v>40389</v>
      </c>
      <c r="B57" s="54">
        <v>493.91</v>
      </c>
      <c r="C57" s="57">
        <v>91.5</v>
      </c>
      <c r="D57" s="57"/>
      <c r="E57" s="58"/>
      <c r="F57" s="54"/>
      <c r="G57" s="59">
        <f t="shared" si="0"/>
        <v>-2.6087470915329036E-2</v>
      </c>
      <c r="H57" s="59">
        <f t="shared" si="1"/>
        <v>1.6666666666666666E-2</v>
      </c>
    </row>
    <row r="58" spans="1:8">
      <c r="A58" s="61">
        <v>40421</v>
      </c>
      <c r="B58" s="54">
        <v>455.08</v>
      </c>
      <c r="C58" s="57">
        <v>89</v>
      </c>
      <c r="D58" s="57">
        <v>3</v>
      </c>
      <c r="E58" s="58"/>
      <c r="F58" s="54"/>
      <c r="G58" s="59">
        <f t="shared" si="0"/>
        <v>-7.8617561903990718E-2</v>
      </c>
      <c r="H58" s="59">
        <f t="shared" si="1"/>
        <v>5.4644808743169399E-3</v>
      </c>
    </row>
    <row r="59" spans="1:8">
      <c r="A59" s="61">
        <v>40451</v>
      </c>
      <c r="B59" s="54">
        <v>454.52</v>
      </c>
      <c r="C59" s="57">
        <v>88.5</v>
      </c>
      <c r="D59" s="57"/>
      <c r="E59" s="58"/>
      <c r="F59" s="54"/>
      <c r="G59" s="59">
        <f t="shared" si="0"/>
        <v>-1.2305528698250967E-3</v>
      </c>
      <c r="H59" s="59">
        <f t="shared" si="1"/>
        <v>-5.6179775280898875E-3</v>
      </c>
    </row>
    <row r="60" spans="1:8">
      <c r="A60" s="61">
        <v>40480</v>
      </c>
      <c r="B60" s="54">
        <v>452.63</v>
      </c>
      <c r="C60" s="57">
        <v>87</v>
      </c>
      <c r="D60" s="57"/>
      <c r="E60" s="58"/>
      <c r="F60" s="54"/>
      <c r="G60" s="59">
        <f t="shared" si="0"/>
        <v>-4.158232861040223E-3</v>
      </c>
      <c r="H60" s="59">
        <f t="shared" si="1"/>
        <v>-1.6949152542372881E-2</v>
      </c>
    </row>
    <row r="61" spans="1:8">
      <c r="A61" s="61">
        <v>40512</v>
      </c>
      <c r="B61" s="54">
        <v>451.59</v>
      </c>
      <c r="C61" s="57">
        <v>84.5</v>
      </c>
      <c r="D61" s="57"/>
      <c r="E61" s="58"/>
      <c r="F61" s="54"/>
      <c r="G61" s="59">
        <f t="shared" si="0"/>
        <v>-2.2976824337759272E-3</v>
      </c>
      <c r="H61" s="59">
        <f t="shared" si="1"/>
        <v>-2.8735632183908046E-2</v>
      </c>
    </row>
    <row r="62" spans="1:8">
      <c r="A62" s="61">
        <v>40543</v>
      </c>
      <c r="B62" s="54">
        <v>484.66</v>
      </c>
      <c r="C62" s="57">
        <v>86</v>
      </c>
      <c r="D62" s="57"/>
      <c r="E62" s="58"/>
      <c r="F62" s="54"/>
      <c r="G62" s="59">
        <f t="shared" si="0"/>
        <v>7.3230142385792618E-2</v>
      </c>
      <c r="H62" s="59">
        <f t="shared" si="1"/>
        <v>1.7751479289940829E-2</v>
      </c>
    </row>
    <row r="63" spans="1:8">
      <c r="A63" s="61">
        <v>40571</v>
      </c>
      <c r="B63" s="62">
        <v>510.6</v>
      </c>
      <c r="C63" s="57">
        <v>93.5</v>
      </c>
      <c r="D63" s="57"/>
      <c r="E63" s="58"/>
      <c r="F63" s="54"/>
      <c r="G63" s="59">
        <f t="shared" si="0"/>
        <v>5.352205669954202E-2</v>
      </c>
      <c r="H63" s="59">
        <f t="shared" si="1"/>
        <v>8.7209302325581398E-2</v>
      </c>
    </row>
    <row r="64" spans="1:8">
      <c r="A64" s="61"/>
      <c r="B64" s="54"/>
      <c r="C64" s="57"/>
      <c r="D64" s="57"/>
      <c r="E64" s="58"/>
      <c r="F64" s="54"/>
      <c r="G64" s="59"/>
      <c r="H64" s="65"/>
    </row>
    <row r="65" spans="1:8">
      <c r="A65" s="61"/>
      <c r="B65" s="54"/>
      <c r="C65" s="57"/>
      <c r="D65" s="57"/>
      <c r="E65" s="58"/>
      <c r="F65" s="54"/>
      <c r="G65" s="59"/>
      <c r="H65" s="59"/>
    </row>
    <row r="66" spans="1:8">
      <c r="A66" s="61"/>
      <c r="B66" s="54"/>
      <c r="C66" s="57"/>
      <c r="D66" s="57"/>
      <c r="E66" s="58"/>
      <c r="F66" s="54"/>
      <c r="G66" s="59"/>
      <c r="H66" s="59"/>
    </row>
    <row r="67" spans="1:8">
      <c r="A67" s="61"/>
      <c r="B67" s="54"/>
      <c r="C67" s="57"/>
      <c r="D67" s="57"/>
      <c r="E67" s="58"/>
      <c r="F67" s="54"/>
      <c r="G67" s="59"/>
      <c r="H67" s="59"/>
    </row>
    <row r="68" spans="1:8">
      <c r="A68" s="61"/>
      <c r="B68" s="54"/>
      <c r="C68" s="57"/>
      <c r="D68" s="57"/>
      <c r="E68" s="58"/>
      <c r="F68" s="54"/>
      <c r="G68" s="59"/>
      <c r="H68" s="59"/>
    </row>
    <row r="69" spans="1:8">
      <c r="A69" s="61"/>
      <c r="B69" s="54"/>
      <c r="C69" s="57"/>
      <c r="D69" s="57"/>
      <c r="E69" s="58"/>
      <c r="F69" s="54"/>
      <c r="G69" s="59"/>
      <c r="H69" s="59"/>
    </row>
    <row r="70" spans="1:8">
      <c r="A70" s="61"/>
      <c r="B70" s="63"/>
      <c r="C70" s="64"/>
      <c r="D70" s="64"/>
      <c r="E70" s="58"/>
      <c r="F70" s="54"/>
      <c r="G70" s="59"/>
      <c r="H70" s="59"/>
    </row>
    <row r="71" spans="1:8">
      <c r="A71" s="61"/>
      <c r="B71" s="63"/>
      <c r="C71" s="64"/>
      <c r="D71" s="64"/>
      <c r="E71" s="58"/>
      <c r="F71" s="54"/>
      <c r="G71" s="59"/>
      <c r="H71" s="59"/>
    </row>
    <row r="72" spans="1:8">
      <c r="A72" s="61"/>
      <c r="B72" s="63"/>
      <c r="C72" s="64"/>
      <c r="D72" s="64"/>
      <c r="E72" s="58"/>
      <c r="F72" s="54"/>
      <c r="G72" s="59"/>
      <c r="H72" s="59"/>
    </row>
    <row r="73" spans="1:8">
      <c r="A73" s="61"/>
      <c r="B73" s="63"/>
      <c r="C73" s="64"/>
      <c r="D73" s="64"/>
      <c r="E73" s="58"/>
      <c r="F73" s="54"/>
      <c r="G73" s="59"/>
      <c r="H73" s="59"/>
    </row>
    <row r="74" spans="1:8">
      <c r="A74" s="61"/>
      <c r="B74" s="63"/>
      <c r="C74" s="64"/>
      <c r="D74" s="64"/>
      <c r="E74" s="58"/>
      <c r="F74" s="54"/>
      <c r="G74" s="59"/>
      <c r="H74" s="59"/>
    </row>
    <row r="75" spans="1:8">
      <c r="A75" s="61"/>
      <c r="B75" s="63"/>
      <c r="C75" s="64"/>
      <c r="D75" s="64"/>
      <c r="E75" s="58"/>
      <c r="F75" s="54"/>
      <c r="G75" s="59"/>
      <c r="H75" s="59"/>
    </row>
    <row r="76" spans="1:8">
      <c r="G76" s="59"/>
    </row>
  </sheetData>
  <mergeCells count="1">
    <mergeCell ref="C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Inputs</vt:lpstr>
      <vt:lpstr>Valuation</vt:lpstr>
      <vt:lpstr>Normalizer</vt:lpstr>
      <vt:lpstr>Beta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tuandta</dc:creator>
  <cp:lastModifiedBy>tuandta</cp:lastModifiedBy>
  <dcterms:created xsi:type="dcterms:W3CDTF">2012-04-19T01:32:26Z</dcterms:created>
  <dcterms:modified xsi:type="dcterms:W3CDTF">2012-04-24T01:50:50Z</dcterms:modified>
</cp:coreProperties>
</file>