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10740" activeTab="3"/>
  </bookViews>
  <sheets>
    <sheet name="Data" sheetId="1" r:id="rId1"/>
    <sheet name="Cash Flow Valuation" sheetId="2" r:id="rId2"/>
    <sheet name="Cash Flow Valuation (2)" sheetId="3" r:id="rId3"/>
    <sheet name="Cash Flow Valuation (3)" sheetId="4" r:id="rId4"/>
    <sheet name="DDM" sheetId="5" r:id="rId5"/>
  </sheets>
  <definedNames/>
  <calcPr fullCalcOnLoad="1"/>
</workbook>
</file>

<file path=xl/sharedStrings.xml><?xml version="1.0" encoding="utf-8"?>
<sst xmlns="http://schemas.openxmlformats.org/spreadsheetml/2006/main" count="228" uniqueCount="118">
  <si>
    <t>Bảng cân đối kế toán</t>
  </si>
  <si>
    <t>Khoản phải thu</t>
  </si>
  <si>
    <t>Hàng tồn kho</t>
  </si>
  <si>
    <t>Tài sản cố định, nguyên giá</t>
  </si>
  <si>
    <t xml:space="preserve">Khấu hao tích lũy </t>
  </si>
  <si>
    <t>Tài sản cố định, ròng</t>
  </si>
  <si>
    <t>Tổng tài sản</t>
  </si>
  <si>
    <t xml:space="preserve">Khoản phải trả </t>
  </si>
  <si>
    <t>Vay ngắn hạn</t>
  </si>
  <si>
    <t>Chi phí phải trả</t>
  </si>
  <si>
    <t>Nợ dài hạn (trái phiếu)</t>
  </si>
  <si>
    <t>Lợi nhuận giữ lại</t>
  </si>
  <si>
    <t>Tổng nợ phải trả và vốn chủ sở hữu</t>
  </si>
  <si>
    <t>Doanh thu</t>
  </si>
  <si>
    <t>Giá vốn hàng bán</t>
  </si>
  <si>
    <t>Lãi gộp</t>
  </si>
  <si>
    <t>Chi phí kinh doanh</t>
  </si>
  <si>
    <t>Chi phí khấu hao</t>
  </si>
  <si>
    <t>Lợi nhuận từ kinh doanh</t>
  </si>
  <si>
    <t>Lợi nhuận từ kinh doanh khác</t>
  </si>
  <si>
    <t>EBIT</t>
  </si>
  <si>
    <t>Chi phí lãi vay</t>
  </si>
  <si>
    <t>Lợi nhuận trước thuế</t>
  </si>
  <si>
    <t>Thuế thu nhập doanh nghiệp</t>
  </si>
  <si>
    <t>Lợi nhuận ròng</t>
  </si>
  <si>
    <t>Chi trả cổ tức</t>
  </si>
  <si>
    <t>Thay đổi nguyên giá tài sản cố định</t>
  </si>
  <si>
    <t>Thay đổi trong khấu hao (tích lũy)</t>
  </si>
  <si>
    <t>Khấu hao tích lũy của tài sản thanh lý</t>
  </si>
  <si>
    <t>Mua tài sản cố định</t>
  </si>
  <si>
    <t>Nguyên giá của tài sản thanh lý</t>
  </si>
  <si>
    <t>Bán thanh lý tài sản cố định</t>
  </si>
  <si>
    <t>NGÂN LƯU</t>
  </si>
  <si>
    <t>Hoạt động kinh doanh</t>
  </si>
  <si>
    <t>Khấu hao</t>
  </si>
  <si>
    <t>Ngân lưu ròng từ hoạt động k. doanh</t>
  </si>
  <si>
    <t>Hoạt động đầu tư</t>
  </si>
  <si>
    <t>Hoạt động tài chính</t>
  </si>
  <si>
    <t>Vay nợ ngắn hạn</t>
  </si>
  <si>
    <t>Vay nợ dài hạn</t>
  </si>
  <si>
    <t>Tổng ngân lưu ròng</t>
  </si>
  <si>
    <t>EPS</t>
  </si>
  <si>
    <t>ROE</t>
  </si>
  <si>
    <t>P</t>
  </si>
  <si>
    <t>Chi phí vốn</t>
  </si>
  <si>
    <t>E/(D+E)</t>
  </si>
  <si>
    <t>D/(D+E)</t>
  </si>
  <si>
    <t>Tồn kho</t>
  </si>
  <si>
    <t>Khoản phải trả</t>
  </si>
  <si>
    <t>Vốn lưu động</t>
  </si>
  <si>
    <t>FCFF</t>
  </si>
  <si>
    <t>PV(Giá trị kết thúc)</t>
  </si>
  <si>
    <t>Giá trị doanh nghiệp</t>
  </si>
  <si>
    <t>Giá trị vốn chủ sở hữu</t>
  </si>
  <si>
    <t>Cơ cấu vốn</t>
  </si>
  <si>
    <t>Lợi nhuận</t>
  </si>
  <si>
    <t>Suất sinh lợi trên vốn</t>
  </si>
  <si>
    <t>Tiền mặt</t>
  </si>
  <si>
    <t>Báo cáo kết quả hoạt động kinh doanh</t>
  </si>
  <si>
    <r>
      <t xml:space="preserve">Lợi nhuận trước lãi vay và thuế, </t>
    </r>
    <r>
      <rPr>
        <i/>
        <sz val="10"/>
        <rFont val="Arial"/>
        <family val="2"/>
      </rPr>
      <t>EBIT</t>
    </r>
  </si>
  <si>
    <r>
      <t xml:space="preserve">Thuế suất thuế TNDN theo luật định,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C</t>
    </r>
  </si>
  <si>
    <r>
      <rPr>
        <i/>
        <sz val="10"/>
        <rFont val="Arial"/>
        <family val="2"/>
      </rPr>
      <t>EBIT</t>
    </r>
    <r>
      <rPr>
        <sz val="10"/>
        <rFont val="Arial"/>
        <family val="0"/>
      </rPr>
      <t xml:space="preserve">(1 -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C</t>
    </r>
    <r>
      <rPr>
        <sz val="10"/>
        <rFont val="Arial"/>
        <family val="0"/>
      </rPr>
      <t>)</t>
    </r>
  </si>
  <si>
    <r>
      <t xml:space="preserve">Vốn chủ sở hữu, </t>
    </r>
    <r>
      <rPr>
        <i/>
        <sz val="10"/>
        <rFont val="Arial"/>
        <family val="2"/>
      </rPr>
      <t>E</t>
    </r>
  </si>
  <si>
    <r>
      <t xml:space="preserve">Nợ vay, </t>
    </r>
    <r>
      <rPr>
        <i/>
        <sz val="10"/>
        <rFont val="Arial"/>
        <family val="2"/>
      </rPr>
      <t>D</t>
    </r>
  </si>
  <si>
    <r>
      <t xml:space="preserve">Chi phí nợ vay,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D</t>
    </r>
  </si>
  <si>
    <r>
      <t xml:space="preserve">Chi phí vốn chủ sở hữu,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E</t>
    </r>
  </si>
  <si>
    <r>
      <t xml:space="preserve">Chi phí vốn bình quân trọng số, </t>
    </r>
    <r>
      <rPr>
        <i/>
        <sz val="10"/>
        <rFont val="Arial"/>
        <family val="2"/>
      </rPr>
      <t>WACC</t>
    </r>
  </si>
  <si>
    <r>
      <t xml:space="preserve">Suất sinh lợi trên vốn giai đoạn tăng nhanh, </t>
    </r>
    <r>
      <rPr>
        <i/>
        <sz val="10"/>
        <rFont val="Arial"/>
        <family val="2"/>
      </rPr>
      <t>ROC</t>
    </r>
    <r>
      <rPr>
        <i/>
        <vertAlign val="subscript"/>
        <sz val="10"/>
        <rFont val="Arial"/>
        <family val="2"/>
      </rPr>
      <t>h</t>
    </r>
  </si>
  <si>
    <r>
      <t xml:space="preserve">Suất sinh lợi trên vốn giai đoạn ổn định, </t>
    </r>
    <r>
      <rPr>
        <i/>
        <sz val="10"/>
        <rFont val="Arial"/>
        <family val="2"/>
      </rPr>
      <t>ROC</t>
    </r>
    <r>
      <rPr>
        <i/>
        <vertAlign val="subscript"/>
        <sz val="10"/>
        <rFont val="Arial"/>
        <family val="2"/>
      </rPr>
      <t>s</t>
    </r>
  </si>
  <si>
    <t>Đầu tư</t>
  </si>
  <si>
    <r>
      <t xml:space="preserve">Tốc độ tăng trưởng giai đoạn tăng nhanh, </t>
    </r>
    <r>
      <rPr>
        <i/>
        <sz val="10"/>
        <rFont val="Arial"/>
        <family val="2"/>
      </rPr>
      <t>g</t>
    </r>
    <r>
      <rPr>
        <i/>
        <vertAlign val="subscript"/>
        <sz val="10"/>
        <rFont val="Arial"/>
        <family val="2"/>
      </rPr>
      <t>h</t>
    </r>
  </si>
  <si>
    <r>
      <t xml:space="preserve">Tốc độ tăng trưởng giai đoạn ổn định, </t>
    </r>
    <r>
      <rPr>
        <i/>
        <sz val="10"/>
        <rFont val="Arial"/>
        <family val="2"/>
      </rPr>
      <t>g</t>
    </r>
    <r>
      <rPr>
        <i/>
        <vertAlign val="subscript"/>
        <sz val="10"/>
        <rFont val="Arial"/>
        <family val="2"/>
      </rPr>
      <t>s</t>
    </r>
  </si>
  <si>
    <r>
      <t>PV(</t>
    </r>
    <r>
      <rPr>
        <i/>
        <sz val="10"/>
        <rFont val="Arial"/>
        <family val="2"/>
      </rPr>
      <t>FCFF</t>
    </r>
    <r>
      <rPr>
        <sz val="10"/>
        <rFont val="Arial"/>
        <family val="0"/>
      </rPr>
      <t>)</t>
    </r>
  </si>
  <si>
    <r>
      <t xml:space="preserve">Giá trị kết thúc, </t>
    </r>
    <r>
      <rPr>
        <i/>
        <sz val="10"/>
        <rFont val="Arial"/>
        <family val="2"/>
      </rPr>
      <t>TV</t>
    </r>
  </si>
  <si>
    <r>
      <t xml:space="preserve">Giá trị/1 cổ phần, </t>
    </r>
    <r>
      <rPr>
        <b/>
        <i/>
        <sz val="10"/>
        <rFont val="Arial"/>
        <family val="2"/>
      </rPr>
      <t>P</t>
    </r>
  </si>
  <si>
    <t>Tổng tài sản ngắn hạn</t>
  </si>
  <si>
    <t>Tổng nợ ngắn hạn</t>
  </si>
  <si>
    <t xml:space="preserve">   Tổng nợ phải trả</t>
  </si>
  <si>
    <t>Vốn cổ phần</t>
  </si>
  <si>
    <t xml:space="preserve">   Tổng vốn chủ sở hữu</t>
  </si>
  <si>
    <t>Ngân lưu ròng từ HĐKD</t>
  </si>
  <si>
    <t>Ngân lưu ròng từ HĐĐT</t>
  </si>
  <si>
    <t>Ngân lưu ròng từ HĐTC</t>
  </si>
  <si>
    <t>Tiền mặt đầu kỳ</t>
  </si>
  <si>
    <t>Tiền mặt cuối kỳ</t>
  </si>
  <si>
    <t>Đơn vị: Tỷ đồng</t>
  </si>
  <si>
    <t>Thuế TNDN</t>
  </si>
  <si>
    <t>Thay đổi khoản phải trả</t>
  </si>
  <si>
    <t>Thay đổi chi phí phải trả</t>
  </si>
  <si>
    <t>Thay đổi khoản phải thu</t>
  </si>
  <si>
    <t>Thay đổi hàng tồn kho</t>
  </si>
  <si>
    <r>
      <t xml:space="preserve">Cổ tức, </t>
    </r>
    <r>
      <rPr>
        <i/>
        <sz val="10"/>
        <rFont val="Arial"/>
        <family val="2"/>
      </rPr>
      <t>D</t>
    </r>
    <r>
      <rPr>
        <vertAlign val="subscript"/>
        <sz val="10"/>
        <rFont val="Arial"/>
        <family val="2"/>
      </rPr>
      <t>0</t>
    </r>
  </si>
  <si>
    <t>Chi phí vốn chủ sở hữu</t>
  </si>
  <si>
    <t>Mức khấu hao trong kỳ</t>
  </si>
  <si>
    <t>Ngân lưu theo phương pháp trực tiếp</t>
  </si>
  <si>
    <t>Báo cáo lưu chuyển tiền tệ</t>
  </si>
  <si>
    <t>MÔ HÌNH CHIẾT KHẤU CỔ TỨC</t>
  </si>
  <si>
    <t>Tốc độ tăng trưởng lợi nhuận</t>
  </si>
  <si>
    <t>Lợi nhuận khác</t>
  </si>
  <si>
    <t>Lợi nhuận trước lãi vay và thuế</t>
  </si>
  <si>
    <t>Trả cổ tức</t>
  </si>
  <si>
    <t>Thặng dư vốn cổ phần</t>
  </si>
  <si>
    <r>
      <t>Lãi suất phi rủi ro (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</si>
  <si>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r>
      <t>Hệ số beta vốn chủ sở hữu (</t>
    </r>
    <r>
      <rPr>
        <sz val="10"/>
        <rFont val="Symbol"/>
        <family val="1"/>
      </rPr>
      <t>b</t>
    </r>
    <r>
      <rPr>
        <sz val="10"/>
        <rFont val="Arial"/>
        <family val="2"/>
      </rPr>
      <t>)</t>
    </r>
  </si>
  <si>
    <t>Mức bù rủi ro thị trường</t>
  </si>
  <si>
    <r>
      <t xml:space="preserve">Tỷ lệ tái đầu tư giai đoạn ổn định, </t>
    </r>
    <r>
      <rPr>
        <i/>
        <sz val="10"/>
        <rFont val="Symbol"/>
        <family val="1"/>
      </rPr>
      <t>f</t>
    </r>
    <r>
      <rPr>
        <i/>
        <vertAlign val="subscript"/>
        <sz val="10"/>
        <rFont val="Arial"/>
        <family val="2"/>
      </rPr>
      <t>s</t>
    </r>
  </si>
  <si>
    <r>
      <t xml:space="preserve">Tốc độ tăng trưởng, </t>
    </r>
    <r>
      <rPr>
        <i/>
        <sz val="10"/>
        <rFont val="Arial"/>
        <family val="2"/>
      </rPr>
      <t>g</t>
    </r>
  </si>
  <si>
    <r>
      <t xml:space="preserve">Tỷ lệ tái đầu tư, </t>
    </r>
    <r>
      <rPr>
        <i/>
        <sz val="10"/>
        <rFont val="Symbol"/>
        <family val="1"/>
      </rPr>
      <t>f</t>
    </r>
  </si>
  <si>
    <r>
      <t xml:space="preserve">Tỷ lệ lợi nhuận giữ lại, </t>
    </r>
    <r>
      <rPr>
        <i/>
        <sz val="10"/>
        <rFont val="Symbol"/>
        <family val="1"/>
      </rPr>
      <t>q</t>
    </r>
  </si>
  <si>
    <t>Số cổ phần lưu hành</t>
  </si>
  <si>
    <r>
      <t xml:space="preserve">Suất sinh lợi trên vốn hiện tại, </t>
    </r>
    <r>
      <rPr>
        <i/>
        <sz val="10"/>
        <rFont val="Arial"/>
        <family val="2"/>
      </rPr>
      <t>ROC</t>
    </r>
    <r>
      <rPr>
        <vertAlign val="subscript"/>
        <sz val="10"/>
        <rFont val="Arial"/>
        <family val="2"/>
      </rPr>
      <t>0</t>
    </r>
  </si>
  <si>
    <r>
      <t xml:space="preserve">Chi đầu tư, </t>
    </r>
    <r>
      <rPr>
        <i/>
        <sz val="10"/>
        <rFont val="Arial"/>
        <family val="2"/>
      </rPr>
      <t>CAPEX</t>
    </r>
  </si>
  <si>
    <r>
      <t xml:space="preserve">Khấu hao, </t>
    </r>
    <r>
      <rPr>
        <i/>
        <sz val="10"/>
        <rFont val="Arial"/>
        <family val="2"/>
      </rPr>
      <t>DEPR</t>
    </r>
  </si>
  <si>
    <r>
      <t xml:space="preserve">Thay đổi vốn lưu động, </t>
    </r>
    <r>
      <rPr>
        <sz val="10"/>
        <rFont val="Symbol"/>
        <family val="1"/>
      </rPr>
      <t>D</t>
    </r>
    <r>
      <rPr>
        <i/>
        <sz val="10"/>
        <rFont val="Arial"/>
        <family val="2"/>
      </rPr>
      <t>WC</t>
    </r>
  </si>
  <si>
    <r>
      <t xml:space="preserve">Tái đầu tư. </t>
    </r>
    <r>
      <rPr>
        <i/>
        <sz val="10"/>
        <rFont val="Arial"/>
        <family val="2"/>
      </rPr>
      <t>REINV</t>
    </r>
  </si>
  <si>
    <r>
      <t xml:space="preserve">Vốn lưu động, </t>
    </r>
    <r>
      <rPr>
        <i/>
        <sz val="10"/>
        <rFont val="Arial"/>
        <family val="2"/>
      </rPr>
      <t>WC</t>
    </r>
  </si>
  <si>
    <r>
      <t xml:space="preserve">Tỷ lệ tái đầu tư hiện tại, </t>
    </r>
    <r>
      <rPr>
        <i/>
        <sz val="10"/>
        <rFont val="Symbol"/>
        <family val="1"/>
      </rPr>
      <t>f</t>
    </r>
    <r>
      <rPr>
        <vertAlign val="subscript"/>
        <sz val="10"/>
        <rFont val="Symbol"/>
        <family val="1"/>
      </rPr>
      <t>0</t>
    </r>
  </si>
  <si>
    <r>
      <t xml:space="preserve">Tỷ lệ tái đầu tư giai đoạn tăng nhanh, </t>
    </r>
    <r>
      <rPr>
        <i/>
        <sz val="10"/>
        <rFont val="Symbol"/>
        <family val="1"/>
      </rPr>
      <t>f</t>
    </r>
    <r>
      <rPr>
        <i/>
        <vertAlign val="subscript"/>
        <sz val="10"/>
        <rFont val="Arial"/>
        <family val="2"/>
      </rPr>
      <t>h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</si>
</sst>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$&quot;#,##0.0_);[Red]\(&quot;$&quot;#,##0.0\)"/>
    <numFmt numFmtId="184" formatCode="dd/mm/yy"/>
    <numFmt numFmtId="185" formatCode="0.000%"/>
    <numFmt numFmtId="186" formatCode="0.00000000"/>
    <numFmt numFmtId="187" formatCode="[$-409]dddd\,\ mmmm\ dd\,\ yyyy"/>
    <numFmt numFmtId="188" formatCode="mmm\-yyyy"/>
    <numFmt numFmtId="189" formatCode="0.0000000000000000%"/>
    <numFmt numFmtId="190" formatCode="0.000000000000000%"/>
    <numFmt numFmtId="191" formatCode="#,##0.0"/>
    <numFmt numFmtId="192" formatCode="#,##0.000"/>
    <numFmt numFmtId="193" formatCode="0.0000%"/>
    <numFmt numFmtId="194" formatCode="0.00000%"/>
    <numFmt numFmtId="195" formatCode="0.00000000000000%"/>
    <numFmt numFmtId="196" formatCode="0.0000000000000%"/>
    <numFmt numFmtId="197" formatCode="0.000000000000%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(* #,##0_);_(* \(#,##0\);_(* &quot;-&quot;??_);_(@_)"/>
    <numFmt numFmtId="209" formatCode="0.0000000000"/>
    <numFmt numFmtId="210" formatCode="0.00000000000"/>
    <numFmt numFmtId="211" formatCode="0.000000000"/>
    <numFmt numFmtId="212" formatCode="0.00_);[Red]\(0.00\)"/>
    <numFmt numFmtId="213" formatCode="0.00000000000000000%"/>
    <numFmt numFmtId="214" formatCode="0.00000000000000"/>
    <numFmt numFmtId="215" formatCode="0.0000000000000"/>
    <numFmt numFmtId="216" formatCode="0.000000000000"/>
    <numFmt numFmtId="217" formatCode="0.000000000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i/>
      <sz val="10"/>
      <name val="Symbol"/>
      <family val="1"/>
    </font>
    <font>
      <vertAlign val="subscript"/>
      <sz val="10"/>
      <name val="Symbol"/>
      <family val="1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Symbo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1" fillId="0" borderId="0" xfId="0" applyFont="1" applyAlignment="1">
      <alignment/>
    </xf>
    <xf numFmtId="177" fontId="0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177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21" fillId="0" borderId="0" xfId="0" applyNumberFormat="1" applyFont="1" applyAlignment="1">
      <alignment/>
    </xf>
    <xf numFmtId="0" fontId="0" fillId="0" borderId="10" xfId="0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191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3" fillId="0" borderId="0" xfId="0" applyFont="1" applyAlignment="1">
      <alignment horizontal="left"/>
    </xf>
    <xf numFmtId="0" fontId="28" fillId="0" borderId="11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28" fillId="0" borderId="0" xfId="0" applyFont="1" applyAlignment="1">
      <alignment vertical="top" wrapText="1"/>
    </xf>
    <xf numFmtId="0" fontId="28" fillId="0" borderId="0" xfId="0" applyFont="1" applyFill="1" applyAlignment="1">
      <alignment horizontal="right" vertical="top" wrapText="1"/>
    </xf>
    <xf numFmtId="0" fontId="0" fillId="0" borderId="0" xfId="0" applyFont="1" applyAlignment="1">
      <alignment horizontal="right"/>
    </xf>
    <xf numFmtId="0" fontId="28" fillId="0" borderId="0" xfId="0" applyFont="1" applyAlignment="1">
      <alignment horizontal="right" vertical="top" wrapText="1"/>
    </xf>
    <xf numFmtId="0" fontId="28" fillId="0" borderId="12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Fill="1" applyAlignment="1">
      <alignment horizontal="right" vertical="top" wrapText="1"/>
    </xf>
    <xf numFmtId="0" fontId="30" fillId="0" borderId="0" xfId="0" applyFont="1" applyAlignment="1">
      <alignment horizontal="right"/>
    </xf>
    <xf numFmtId="0" fontId="30" fillId="0" borderId="0" xfId="0" applyFont="1" applyFill="1" applyAlignment="1">
      <alignment horizontal="right" vertical="top" wrapText="1"/>
    </xf>
    <xf numFmtId="0" fontId="28" fillId="0" borderId="0" xfId="0" applyFont="1" applyFill="1" applyAlignment="1">
      <alignment horizontal="right" vertical="top"/>
    </xf>
    <xf numFmtId="0" fontId="30" fillId="0" borderId="0" xfId="0" applyFont="1" applyFill="1" applyAlignment="1">
      <alignment/>
    </xf>
    <xf numFmtId="0" fontId="29" fillId="0" borderId="0" xfId="0" applyFont="1" applyAlignment="1">
      <alignment vertical="top" wrapText="1"/>
    </xf>
    <xf numFmtId="0" fontId="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0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Fill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22" borderId="0" xfId="0" applyFont="1" applyFill="1" applyAlignment="1">
      <alignment vertical="top" wrapText="1"/>
    </xf>
    <xf numFmtId="0" fontId="21" fillId="22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7" fillId="0" borderId="0" xfId="0" applyFon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7" fontId="0" fillId="0" borderId="0" xfId="5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C70" sqref="C70"/>
    </sheetView>
  </sheetViews>
  <sheetFormatPr defaultColWidth="9.140625" defaultRowHeight="12.75"/>
  <cols>
    <col min="1" max="1" width="2.8515625" style="9" customWidth="1"/>
    <col min="2" max="2" width="38.8515625" style="9" customWidth="1"/>
    <col min="3" max="4" width="13.57421875" style="13" customWidth="1"/>
    <col min="5" max="5" width="3.8515625" style="46" customWidth="1"/>
    <col min="6" max="6" width="32.7109375" style="9" bestFit="1" customWidth="1"/>
    <col min="7" max="16384" width="9.140625" style="9" customWidth="1"/>
  </cols>
  <sheetData>
    <row r="1" ht="12.75">
      <c r="B1" s="1" t="s">
        <v>0</v>
      </c>
    </row>
    <row r="2" spans="2:5" ht="13.5" thickBot="1">
      <c r="B2" s="1"/>
      <c r="D2" s="15" t="s">
        <v>85</v>
      </c>
      <c r="E2" s="47"/>
    </row>
    <row r="3" spans="3:5" ht="13.5" thickBot="1">
      <c r="C3" s="16">
        <f>D3+1</f>
        <v>2009</v>
      </c>
      <c r="D3" s="16">
        <v>2008</v>
      </c>
      <c r="E3" s="17"/>
    </row>
    <row r="4" spans="2:5" ht="13.5" thickTop="1">
      <c r="B4" s="18" t="s">
        <v>57</v>
      </c>
      <c r="C4" s="19">
        <f>C70</f>
        <v>30</v>
      </c>
      <c r="D4" s="19">
        <v>72</v>
      </c>
      <c r="E4" s="17"/>
    </row>
    <row r="5" spans="2:5" ht="12.75">
      <c r="B5" s="18" t="s">
        <v>1</v>
      </c>
      <c r="C5" s="19">
        <v>462</v>
      </c>
      <c r="D5" s="19">
        <v>420</v>
      </c>
      <c r="E5" s="17"/>
    </row>
    <row r="6" spans="2:5" ht="12.75">
      <c r="B6" s="18" t="s">
        <v>2</v>
      </c>
      <c r="C6" s="19">
        <v>420</v>
      </c>
      <c r="D6" s="19">
        <v>390</v>
      </c>
      <c r="E6" s="17"/>
    </row>
    <row r="7" spans="2:5" ht="12.75">
      <c r="B7" s="21" t="s">
        <v>75</v>
      </c>
      <c r="C7" s="19">
        <f>C6+C5+C4</f>
        <v>912</v>
      </c>
      <c r="D7" s="19">
        <f>D6+D5+D4</f>
        <v>882</v>
      </c>
      <c r="E7" s="17"/>
    </row>
    <row r="8" spans="2:5" ht="12.75">
      <c r="B8" s="18" t="s">
        <v>3</v>
      </c>
      <c r="C8" s="19">
        <v>1440</v>
      </c>
      <c r="D8" s="19">
        <v>1260</v>
      </c>
      <c r="E8" s="17"/>
    </row>
    <row r="9" spans="2:5" ht="12.75">
      <c r="B9" s="18" t="s">
        <v>4</v>
      </c>
      <c r="C9" s="19">
        <f>D9-C31</f>
        <v>-768</v>
      </c>
      <c r="D9" s="19">
        <v>-696</v>
      </c>
      <c r="E9" s="17"/>
    </row>
    <row r="10" spans="1:5" ht="13.5" thickBot="1">
      <c r="A10" s="20"/>
      <c r="B10" s="21" t="s">
        <v>5</v>
      </c>
      <c r="C10" s="22">
        <f>C8+C9</f>
        <v>672</v>
      </c>
      <c r="D10" s="22">
        <f>D8+D9</f>
        <v>564</v>
      </c>
      <c r="E10" s="17"/>
    </row>
    <row r="11" spans="2:5" ht="12.75">
      <c r="B11" s="23" t="s">
        <v>6</v>
      </c>
      <c r="C11" s="24">
        <f>C10+C7</f>
        <v>1584</v>
      </c>
      <c r="D11" s="24">
        <f>D10+D7</f>
        <v>1446</v>
      </c>
      <c r="E11" s="17"/>
    </row>
    <row r="12" spans="2:5" ht="12.75">
      <c r="B12" s="25"/>
      <c r="C12" s="26"/>
      <c r="D12" s="26"/>
      <c r="E12" s="17"/>
    </row>
    <row r="13" spans="2:5" ht="12.75">
      <c r="B13" s="18" t="s">
        <v>8</v>
      </c>
      <c r="C13" s="19">
        <v>102</v>
      </c>
      <c r="D13" s="27">
        <v>96</v>
      </c>
      <c r="E13" s="17"/>
    </row>
    <row r="14" spans="2:5" ht="12.75">
      <c r="B14" s="18" t="s">
        <v>7</v>
      </c>
      <c r="C14" s="19">
        <v>54</v>
      </c>
      <c r="D14" s="19">
        <v>45</v>
      </c>
      <c r="E14" s="17"/>
    </row>
    <row r="15" spans="2:5" ht="12.75">
      <c r="B15" s="18" t="s">
        <v>9</v>
      </c>
      <c r="C15" s="19">
        <v>195</v>
      </c>
      <c r="D15" s="19">
        <v>180</v>
      </c>
      <c r="E15" s="17"/>
    </row>
    <row r="16" spans="2:5" ht="12.75">
      <c r="B16" s="21" t="s">
        <v>76</v>
      </c>
      <c r="C16" s="19">
        <f>SUM(C13:C15)</f>
        <v>351</v>
      </c>
      <c r="D16" s="19">
        <f>SUM(D13:D15)</f>
        <v>321</v>
      </c>
      <c r="E16" s="17"/>
    </row>
    <row r="17" spans="2:5" ht="12.75">
      <c r="B17" s="18" t="s">
        <v>10</v>
      </c>
      <c r="C17" s="19">
        <v>255</v>
      </c>
      <c r="D17" s="19">
        <v>225</v>
      </c>
      <c r="E17" s="17"/>
    </row>
    <row r="18" spans="2:5" ht="12.75">
      <c r="B18" s="21" t="s">
        <v>77</v>
      </c>
      <c r="C18" s="19">
        <f>SUM(C16:C17)</f>
        <v>606</v>
      </c>
      <c r="D18" s="19">
        <f>SUM(D16:D17)</f>
        <v>546</v>
      </c>
      <c r="E18" s="17"/>
    </row>
    <row r="19" spans="2:5" ht="12.75">
      <c r="B19" s="18" t="s">
        <v>78</v>
      </c>
      <c r="C19" s="19">
        <v>150</v>
      </c>
      <c r="D19" s="19">
        <v>150</v>
      </c>
      <c r="E19" s="17"/>
    </row>
    <row r="20" spans="2:5" ht="12.75">
      <c r="B20" s="18" t="s">
        <v>101</v>
      </c>
      <c r="C20" s="19">
        <v>30</v>
      </c>
      <c r="D20" s="19">
        <v>30</v>
      </c>
      <c r="E20" s="17"/>
    </row>
    <row r="21" spans="2:5" ht="12.75">
      <c r="B21" s="18" t="s">
        <v>11</v>
      </c>
      <c r="C21" s="19">
        <f>D21+C40</f>
        <v>798</v>
      </c>
      <c r="D21" s="19">
        <v>720</v>
      </c>
      <c r="E21" s="17"/>
    </row>
    <row r="22" spans="2:5" ht="13.5" thickBot="1">
      <c r="B22" s="21" t="s">
        <v>79</v>
      </c>
      <c r="C22" s="22">
        <f>SUM(C19:C21)</f>
        <v>978</v>
      </c>
      <c r="D22" s="22">
        <f>SUM(D19:D21)</f>
        <v>900</v>
      </c>
      <c r="E22" s="17"/>
    </row>
    <row r="23" spans="2:5" ht="12.75">
      <c r="B23" s="23" t="s">
        <v>12</v>
      </c>
      <c r="C23" s="24">
        <f>C22+C18</f>
        <v>1584</v>
      </c>
      <c r="D23" s="24">
        <f>D22+D18</f>
        <v>1446</v>
      </c>
      <c r="E23" s="17"/>
    </row>
    <row r="24" spans="2:5" ht="12.75">
      <c r="B24" s="25"/>
      <c r="C24" s="28"/>
      <c r="D24" s="28"/>
      <c r="E24" s="17"/>
    </row>
    <row r="25" spans="2:5" ht="13.5" thickBot="1">
      <c r="B25" s="29" t="s">
        <v>58</v>
      </c>
      <c r="E25" s="17"/>
    </row>
    <row r="26" spans="2:5" ht="13.5" thickBot="1">
      <c r="B26" s="18"/>
      <c r="C26" s="16">
        <f>C3</f>
        <v>2009</v>
      </c>
      <c r="D26" s="16">
        <f>D3</f>
        <v>2008</v>
      </c>
      <c r="E26" s="17"/>
    </row>
    <row r="27" spans="2:5" ht="13.5" thickTop="1">
      <c r="B27" s="18" t="s">
        <v>13</v>
      </c>
      <c r="C27" s="19">
        <v>1560</v>
      </c>
      <c r="D27" s="19">
        <v>1440</v>
      </c>
      <c r="E27" s="17"/>
    </row>
    <row r="28" spans="2:5" ht="12.75">
      <c r="B28" s="18" t="s">
        <v>14</v>
      </c>
      <c r="C28" s="19">
        <v>780</v>
      </c>
      <c r="D28" s="19">
        <v>750</v>
      </c>
      <c r="E28" s="17"/>
    </row>
    <row r="29" spans="2:5" ht="12.75">
      <c r="B29" s="18" t="s">
        <v>15</v>
      </c>
      <c r="C29" s="30">
        <f>C27-C28</f>
        <v>780</v>
      </c>
      <c r="D29" s="30">
        <f>D27-D28</f>
        <v>690</v>
      </c>
      <c r="E29" s="17"/>
    </row>
    <row r="30" spans="2:5" ht="12.75">
      <c r="B30" s="18" t="s">
        <v>16</v>
      </c>
      <c r="C30" s="19">
        <v>570</v>
      </c>
      <c r="D30" s="19">
        <v>540</v>
      </c>
      <c r="E30" s="17"/>
    </row>
    <row r="31" spans="2:5" ht="12.75">
      <c r="B31" s="18" t="s">
        <v>17</v>
      </c>
      <c r="C31" s="19">
        <v>72</v>
      </c>
      <c r="D31" s="19">
        <v>60</v>
      </c>
      <c r="E31" s="17"/>
    </row>
    <row r="32" spans="2:5" ht="12.75">
      <c r="B32" s="18" t="s">
        <v>18</v>
      </c>
      <c r="C32" s="30">
        <f>C29-C30-C31</f>
        <v>138</v>
      </c>
      <c r="D32" s="30">
        <f>D29-D30-D31</f>
        <v>90</v>
      </c>
      <c r="E32" s="17"/>
    </row>
    <row r="33" spans="2:5" ht="12.75">
      <c r="B33" s="18" t="s">
        <v>98</v>
      </c>
      <c r="C33" s="19">
        <v>12</v>
      </c>
      <c r="D33" s="19">
        <v>15</v>
      </c>
      <c r="E33" s="17"/>
    </row>
    <row r="34" spans="2:5" ht="12.75">
      <c r="B34" s="18" t="s">
        <v>99</v>
      </c>
      <c r="C34" s="30">
        <f>C33+C32</f>
        <v>150</v>
      </c>
      <c r="D34" s="30">
        <f>D33+D32</f>
        <v>105</v>
      </c>
      <c r="E34" s="17"/>
    </row>
    <row r="35" spans="2:5" ht="12.75">
      <c r="B35" s="18" t="s">
        <v>21</v>
      </c>
      <c r="C35" s="19">
        <v>24</v>
      </c>
      <c r="D35" s="19">
        <v>30</v>
      </c>
      <c r="E35" s="17"/>
    </row>
    <row r="36" spans="2:5" ht="12.75">
      <c r="B36" s="18" t="s">
        <v>22</v>
      </c>
      <c r="C36" s="30">
        <f>C34-C35</f>
        <v>126</v>
      </c>
      <c r="D36" s="30">
        <f>D34-D35</f>
        <v>75</v>
      </c>
      <c r="E36" s="17"/>
    </row>
    <row r="37" spans="1:7" ht="12.75">
      <c r="A37" s="20"/>
      <c r="B37" s="18" t="s">
        <v>23</v>
      </c>
      <c r="C37" s="19">
        <v>36</v>
      </c>
      <c r="D37" s="19">
        <v>18</v>
      </c>
      <c r="E37" s="17"/>
      <c r="F37" s="52"/>
      <c r="G37" s="52"/>
    </row>
    <row r="38" spans="2:5" ht="12.75">
      <c r="B38" s="18" t="s">
        <v>24</v>
      </c>
      <c r="C38" s="31">
        <f>C36-C37</f>
        <v>90</v>
      </c>
      <c r="D38" s="31">
        <f>D36-D37</f>
        <v>57</v>
      </c>
      <c r="E38" s="17"/>
    </row>
    <row r="39" spans="2:5" ht="12.75">
      <c r="B39" s="18" t="s">
        <v>100</v>
      </c>
      <c r="C39" s="19">
        <v>12</v>
      </c>
      <c r="D39" s="19">
        <v>15</v>
      </c>
      <c r="E39" s="17"/>
    </row>
    <row r="40" spans="2:5" ht="12.75">
      <c r="B40" s="18" t="s">
        <v>11</v>
      </c>
      <c r="C40" s="30">
        <f>C38-C39</f>
        <v>78</v>
      </c>
      <c r="D40" s="30">
        <f>D38-D39</f>
        <v>42</v>
      </c>
      <c r="E40" s="17"/>
    </row>
    <row r="42" spans="2:3" ht="12.75">
      <c r="B42" s="32" t="s">
        <v>26</v>
      </c>
      <c r="C42" s="20">
        <f>C8-D8</f>
        <v>180</v>
      </c>
    </row>
    <row r="43" spans="2:3" ht="12.75">
      <c r="B43" s="32" t="s">
        <v>27</v>
      </c>
      <c r="C43" s="33">
        <f>C45-C44</f>
        <v>-72</v>
      </c>
    </row>
    <row r="44" spans="2:3" ht="12.75">
      <c r="B44" s="32" t="s">
        <v>93</v>
      </c>
      <c r="C44" s="33">
        <f>C31</f>
        <v>72</v>
      </c>
    </row>
    <row r="45" spans="2:3" ht="12.75">
      <c r="B45" s="32" t="s">
        <v>28</v>
      </c>
      <c r="C45" s="33">
        <f>C47-C48</f>
        <v>0</v>
      </c>
    </row>
    <row r="46" spans="2:3" ht="12.75">
      <c r="B46" s="32" t="s">
        <v>29</v>
      </c>
      <c r="C46" s="34">
        <f>C42+C45</f>
        <v>180</v>
      </c>
    </row>
    <row r="47" spans="2:3" ht="12.75">
      <c r="B47" s="32" t="s">
        <v>30</v>
      </c>
      <c r="C47" s="33">
        <v>0</v>
      </c>
    </row>
    <row r="48" spans="2:3" ht="12.75">
      <c r="B48" s="35" t="s">
        <v>31</v>
      </c>
      <c r="C48" s="33">
        <v>0</v>
      </c>
    </row>
    <row r="50" spans="1:6" ht="12.75">
      <c r="A50" s="1"/>
      <c r="B50" s="1" t="s">
        <v>95</v>
      </c>
      <c r="F50" s="1" t="s">
        <v>94</v>
      </c>
    </row>
    <row r="51" spans="2:6" ht="12.75">
      <c r="B51" s="36" t="s">
        <v>33</v>
      </c>
      <c r="C51" s="9"/>
      <c r="D51" s="9"/>
      <c r="E51" s="17"/>
      <c r="F51" s="1" t="s">
        <v>33</v>
      </c>
    </row>
    <row r="52" spans="2:7" ht="12.75">
      <c r="B52" s="35" t="s">
        <v>24</v>
      </c>
      <c r="C52" s="20">
        <f>C38</f>
        <v>90</v>
      </c>
      <c r="D52" s="9"/>
      <c r="E52" s="17"/>
      <c r="F52" s="9" t="s">
        <v>15</v>
      </c>
      <c r="G52" s="9">
        <f>C28</f>
        <v>780</v>
      </c>
    </row>
    <row r="53" spans="2:7" ht="12.75">
      <c r="B53" s="37" t="s">
        <v>34</v>
      </c>
      <c r="C53" s="20">
        <f>C31</f>
        <v>72</v>
      </c>
      <c r="D53" s="9"/>
      <c r="E53" s="17"/>
      <c r="F53" s="9" t="s">
        <v>19</v>
      </c>
      <c r="G53" s="9">
        <f>C33</f>
        <v>12</v>
      </c>
    </row>
    <row r="54" spans="2:7" ht="12.75">
      <c r="B54" s="38" t="s">
        <v>87</v>
      </c>
      <c r="C54" s="20">
        <f>C14-D14</f>
        <v>9</v>
      </c>
      <c r="D54" s="9"/>
      <c r="E54" s="17"/>
      <c r="F54" s="38" t="s">
        <v>89</v>
      </c>
      <c r="G54" s="9">
        <f>D5-C5</f>
        <v>-42</v>
      </c>
    </row>
    <row r="55" spans="2:7" ht="12.75">
      <c r="B55" s="38" t="s">
        <v>88</v>
      </c>
      <c r="C55" s="20">
        <f>C15-D15</f>
        <v>15</v>
      </c>
      <c r="D55" s="9"/>
      <c r="E55" s="17"/>
      <c r="F55" s="9" t="s">
        <v>16</v>
      </c>
      <c r="G55" s="9">
        <f>-C30</f>
        <v>-570</v>
      </c>
    </row>
    <row r="56" spans="2:7" ht="12.75">
      <c r="B56" s="38" t="s">
        <v>89</v>
      </c>
      <c r="C56" s="20">
        <f>D5-C5</f>
        <v>-42</v>
      </c>
      <c r="D56" s="9"/>
      <c r="E56" s="17"/>
      <c r="F56" s="38" t="s">
        <v>87</v>
      </c>
      <c r="G56" s="9">
        <f>C14-D14</f>
        <v>9</v>
      </c>
    </row>
    <row r="57" spans="2:7" ht="12.75">
      <c r="B57" s="38" t="s">
        <v>90</v>
      </c>
      <c r="C57" s="20">
        <f>D6-C6</f>
        <v>-30</v>
      </c>
      <c r="D57" s="9"/>
      <c r="E57" s="17"/>
      <c r="F57" s="38" t="s">
        <v>88</v>
      </c>
      <c r="G57" s="9">
        <f>C15-D15</f>
        <v>15</v>
      </c>
    </row>
    <row r="58" spans="2:7" ht="12.75">
      <c r="B58" s="39" t="s">
        <v>80</v>
      </c>
      <c r="C58" s="40">
        <f>SUM(C52:C57)</f>
        <v>114</v>
      </c>
      <c r="D58" s="9"/>
      <c r="F58" s="38" t="s">
        <v>90</v>
      </c>
      <c r="G58" s="9">
        <f>D6-C6</f>
        <v>-30</v>
      </c>
    </row>
    <row r="59" spans="2:7" ht="12.75">
      <c r="B59" s="41" t="s">
        <v>36</v>
      </c>
      <c r="C59" s="42"/>
      <c r="D59" s="42"/>
      <c r="E59" s="17"/>
      <c r="F59" s="9" t="s">
        <v>21</v>
      </c>
      <c r="G59" s="9">
        <f>-C35</f>
        <v>-24</v>
      </c>
    </row>
    <row r="60" spans="2:7" ht="12.75">
      <c r="B60" s="35" t="s">
        <v>31</v>
      </c>
      <c r="C60" s="20">
        <f>C48</f>
        <v>0</v>
      </c>
      <c r="D60" s="9"/>
      <c r="E60" s="17"/>
      <c r="F60" s="9" t="s">
        <v>86</v>
      </c>
      <c r="G60" s="9">
        <f>-C37</f>
        <v>-36</v>
      </c>
    </row>
    <row r="61" spans="2:7" ht="12.75">
      <c r="B61" s="32" t="s">
        <v>29</v>
      </c>
      <c r="C61" s="20">
        <f>-C46</f>
        <v>-180</v>
      </c>
      <c r="D61" s="9"/>
      <c r="E61" s="17"/>
      <c r="F61" s="10" t="s">
        <v>35</v>
      </c>
      <c r="G61" s="1">
        <f>SUM(G52:G60)</f>
        <v>114</v>
      </c>
    </row>
    <row r="62" spans="2:6" ht="12.75">
      <c r="B62" s="43" t="s">
        <v>81</v>
      </c>
      <c r="C62" s="40">
        <f>C61+C60</f>
        <v>-180</v>
      </c>
      <c r="D62" s="9"/>
      <c r="E62" s="17"/>
      <c r="F62" s="1"/>
    </row>
    <row r="63" spans="2:5" ht="12.75">
      <c r="B63" s="36" t="s">
        <v>37</v>
      </c>
      <c r="C63" s="42"/>
      <c r="D63" s="42"/>
      <c r="E63" s="17"/>
    </row>
    <row r="64" spans="2:5" ht="12.75">
      <c r="B64" s="35" t="s">
        <v>38</v>
      </c>
      <c r="C64" s="20">
        <f>C13-D13</f>
        <v>6</v>
      </c>
      <c r="D64" s="9"/>
      <c r="E64" s="17"/>
    </row>
    <row r="65" spans="2:7" ht="12.75">
      <c r="B65" s="35" t="s">
        <v>25</v>
      </c>
      <c r="C65" s="20">
        <f>-C39</f>
        <v>-12</v>
      </c>
      <c r="D65" s="9"/>
      <c r="E65" s="17"/>
      <c r="G65" s="1"/>
    </row>
    <row r="66" spans="2:5" ht="12.75">
      <c r="B66" s="35" t="s">
        <v>39</v>
      </c>
      <c r="C66" s="20">
        <f>C17-D17</f>
        <v>30</v>
      </c>
      <c r="D66" s="9"/>
      <c r="E66" s="17"/>
    </row>
    <row r="67" spans="2:5" ht="12.75">
      <c r="B67" s="43" t="s">
        <v>82</v>
      </c>
      <c r="C67" s="40">
        <f>SUM(C64:C66)</f>
        <v>24</v>
      </c>
      <c r="D67" s="9"/>
      <c r="E67" s="17"/>
    </row>
    <row r="68" spans="2:5" ht="12.75">
      <c r="B68" s="44" t="s">
        <v>40</v>
      </c>
      <c r="C68" s="45">
        <f>C58+C62+C67</f>
        <v>-42</v>
      </c>
      <c r="D68" s="9"/>
      <c r="E68" s="17"/>
    </row>
    <row r="69" spans="2:5" ht="12.75">
      <c r="B69" s="35" t="s">
        <v>83</v>
      </c>
      <c r="C69" s="20">
        <f>D4</f>
        <v>72</v>
      </c>
      <c r="D69" s="9"/>
      <c r="E69" s="17"/>
    </row>
    <row r="70" spans="2:5" ht="12.75">
      <c r="B70" s="35" t="s">
        <v>84</v>
      </c>
      <c r="C70" s="20">
        <f>C68+C69</f>
        <v>30</v>
      </c>
      <c r="D70" s="9"/>
      <c r="E70" s="17"/>
    </row>
    <row r="71" spans="3:5" ht="12.75">
      <c r="C71" s="20"/>
      <c r="D71" s="9"/>
      <c r="E71" s="17"/>
    </row>
    <row r="72" ht="12.75">
      <c r="B72" s="1"/>
    </row>
    <row r="73" spans="2:4" ht="12.75">
      <c r="B73" s="9" t="s">
        <v>109</v>
      </c>
      <c r="C73" s="14">
        <v>15000000</v>
      </c>
      <c r="D73" s="14">
        <v>15000000</v>
      </c>
    </row>
    <row r="74" spans="2:3" ht="15.75">
      <c r="B74" s="9" t="s">
        <v>102</v>
      </c>
      <c r="C74" s="51">
        <v>0.065</v>
      </c>
    </row>
    <row r="75" spans="2:3" ht="12.75">
      <c r="B75" s="9" t="s">
        <v>103</v>
      </c>
      <c r="C75" s="50">
        <v>0.6</v>
      </c>
    </row>
    <row r="76" spans="2:3" ht="12.75">
      <c r="B76" s="9" t="s">
        <v>104</v>
      </c>
      <c r="C76" s="51">
        <v>0.05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xSplit="1" ySplit="1" topLeftCell="B4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7" sqref="B57"/>
    </sheetView>
  </sheetViews>
  <sheetFormatPr defaultColWidth="9.140625" defaultRowHeight="12.75"/>
  <cols>
    <col min="1" max="1" width="44.57421875" style="0" bestFit="1" customWidth="1"/>
    <col min="2" max="7" width="9.28125" style="0" bestFit="1" customWidth="1"/>
    <col min="8" max="8" width="9.421875" style="0" bestFit="1" customWidth="1"/>
    <col min="9" max="13" width="9.28125" style="0" bestFit="1" customWidth="1"/>
  </cols>
  <sheetData>
    <row r="1" spans="2:3" ht="13.5" thickBot="1">
      <c r="B1" s="7">
        <f>Data!C26</f>
        <v>2009</v>
      </c>
      <c r="C1" s="7">
        <f>Data!D26</f>
        <v>2008</v>
      </c>
    </row>
    <row r="2" ht="13.5" thickTop="1">
      <c r="A2" s="1" t="s">
        <v>55</v>
      </c>
    </row>
    <row r="3" spans="1:3" ht="12.75">
      <c r="A3" s="9" t="s">
        <v>59</v>
      </c>
      <c r="B3">
        <f>Data!C34</f>
        <v>150</v>
      </c>
      <c r="C3">
        <f>Data!D34</f>
        <v>105</v>
      </c>
    </row>
    <row r="4" spans="1:2" ht="15.75">
      <c r="A4" s="9" t="s">
        <v>60</v>
      </c>
      <c r="B4" s="2">
        <v>0.25</v>
      </c>
    </row>
    <row r="5" spans="1:3" ht="15.75">
      <c r="A5" s="9" t="s">
        <v>61</v>
      </c>
      <c r="B5">
        <f>B3*(1-B4)</f>
        <v>112.5</v>
      </c>
      <c r="C5" s="2"/>
    </row>
    <row r="6" spans="1:3" ht="12.75">
      <c r="A6" s="9" t="s">
        <v>21</v>
      </c>
      <c r="B6">
        <f>Data!C35</f>
        <v>24</v>
      </c>
      <c r="C6">
        <f>Data!D35</f>
        <v>30</v>
      </c>
    </row>
    <row r="8" ht="12.75">
      <c r="A8" s="1" t="s">
        <v>54</v>
      </c>
    </row>
    <row r="9" spans="1:3" ht="12.75">
      <c r="A9" s="9" t="s">
        <v>62</v>
      </c>
      <c r="B9">
        <f>Data!C19+Data!C20+Data!C21</f>
        <v>978</v>
      </c>
      <c r="C9">
        <f>Data!D19+Data!D20+Data!D21</f>
        <v>900</v>
      </c>
    </row>
    <row r="10" spans="1:3" ht="12.75">
      <c r="A10" s="9" t="s">
        <v>63</v>
      </c>
      <c r="B10">
        <f>Data!C13+Data!C17</f>
        <v>357</v>
      </c>
      <c r="C10">
        <f>Data!D13+Data!D17</f>
        <v>321</v>
      </c>
    </row>
    <row r="11" spans="1:3" ht="12.75">
      <c r="A11" t="s">
        <v>45</v>
      </c>
      <c r="B11" s="2">
        <f>B9/(B$9+B$10)</f>
        <v>0.7325842696629213</v>
      </c>
      <c r="C11" s="2">
        <f>C9/(C$9+C$10)</f>
        <v>0.7371007371007371</v>
      </c>
    </row>
    <row r="12" spans="1:3" ht="12.75">
      <c r="A12" t="s">
        <v>46</v>
      </c>
      <c r="B12" s="2">
        <f>B10/(B$9+B$10)</f>
        <v>0.26741573033707866</v>
      </c>
      <c r="C12" s="2">
        <f>C10/(C$9+C$10)</f>
        <v>0.2628992628992629</v>
      </c>
    </row>
    <row r="13" ht="12.75">
      <c r="C13" s="2"/>
    </row>
    <row r="14" spans="1:3" ht="12.75">
      <c r="A14" s="1" t="s">
        <v>44</v>
      </c>
      <c r="B14" s="2"/>
      <c r="C14" s="2"/>
    </row>
    <row r="15" spans="1:3" ht="15.75">
      <c r="A15" s="9" t="s">
        <v>64</v>
      </c>
      <c r="B15" s="3">
        <f>B6/AVERAGE(B10:C10)</f>
        <v>0.07079646017699115</v>
      </c>
      <c r="C15" s="2"/>
    </row>
    <row r="16" spans="1:2" ht="15.75">
      <c r="A16" s="9" t="s">
        <v>65</v>
      </c>
      <c r="B16" s="3">
        <f>Data!C74+Data!C75*Data!C76</f>
        <v>0.095</v>
      </c>
    </row>
    <row r="17" spans="1:2" ht="12.75">
      <c r="A17" s="9" t="s">
        <v>66</v>
      </c>
      <c r="B17" s="3">
        <f>B11*B16+B12*B15*(1-B4)</f>
        <v>0.08379457094561002</v>
      </c>
    </row>
    <row r="19" ht="12.75">
      <c r="A19" s="1" t="s">
        <v>56</v>
      </c>
    </row>
    <row r="20" spans="1:2" ht="15.75">
      <c r="A20" s="9" t="s">
        <v>110</v>
      </c>
      <c r="B20" s="3">
        <f>B5/(B9+C9+B10+C10)*2</f>
        <v>0.0880281690140845</v>
      </c>
    </row>
    <row r="21" spans="1:2" ht="15.75">
      <c r="A21" s="9" t="s">
        <v>67</v>
      </c>
      <c r="B21" s="3">
        <f>B20</f>
        <v>0.0880281690140845</v>
      </c>
    </row>
    <row r="22" spans="1:2" ht="15.75">
      <c r="A22" s="9" t="s">
        <v>68</v>
      </c>
      <c r="B22" s="8">
        <v>0.05</v>
      </c>
    </row>
    <row r="24" ht="12.75">
      <c r="A24" s="1" t="s">
        <v>49</v>
      </c>
    </row>
    <row r="25" spans="1:3" ht="12.75">
      <c r="A25" s="54" t="s">
        <v>57</v>
      </c>
      <c r="B25">
        <f>Data!C4</f>
        <v>30</v>
      </c>
      <c r="C25">
        <f>Data!D4</f>
        <v>72</v>
      </c>
    </row>
    <row r="26" spans="1:3" ht="12.75">
      <c r="A26" t="s">
        <v>1</v>
      </c>
      <c r="B26">
        <f>Data!C5</f>
        <v>462</v>
      </c>
      <c r="C26">
        <f>Data!D5</f>
        <v>420</v>
      </c>
    </row>
    <row r="27" spans="1:3" ht="12.75">
      <c r="A27" t="s">
        <v>47</v>
      </c>
      <c r="B27">
        <f>Data!C6</f>
        <v>420</v>
      </c>
      <c r="C27">
        <f>Data!D6</f>
        <v>390</v>
      </c>
    </row>
    <row r="28" spans="1:3" ht="12.75">
      <c r="A28" t="s">
        <v>48</v>
      </c>
      <c r="B28">
        <f>Data!C14</f>
        <v>54</v>
      </c>
      <c r="C28">
        <f>Data!D14</f>
        <v>45</v>
      </c>
    </row>
    <row r="29" spans="1:3" ht="12.75">
      <c r="A29" t="s">
        <v>9</v>
      </c>
      <c r="B29">
        <f>Data!C15</f>
        <v>195</v>
      </c>
      <c r="C29">
        <f>Data!D15</f>
        <v>180</v>
      </c>
    </row>
    <row r="30" spans="1:3" ht="12.75">
      <c r="A30" s="9" t="s">
        <v>115</v>
      </c>
      <c r="B30">
        <f>B25+B26+B27-B28-B29</f>
        <v>663</v>
      </c>
      <c r="C30">
        <f>C25+C26+C27-C28-C29</f>
        <v>657</v>
      </c>
    </row>
    <row r="32" ht="12.75">
      <c r="A32" s="1" t="s">
        <v>69</v>
      </c>
    </row>
    <row r="33" spans="1:2" ht="12.75">
      <c r="A33" s="9" t="s">
        <v>111</v>
      </c>
      <c r="B33">
        <f>Data!C46</f>
        <v>180</v>
      </c>
    </row>
    <row r="34" spans="1:2" ht="12.75">
      <c r="A34" s="9" t="s">
        <v>112</v>
      </c>
      <c r="B34">
        <f>Data!C44</f>
        <v>72</v>
      </c>
    </row>
    <row r="35" spans="1:2" ht="12.75">
      <c r="A35" s="9" t="s">
        <v>113</v>
      </c>
      <c r="B35">
        <f>B30-C30</f>
        <v>6</v>
      </c>
    </row>
    <row r="36" spans="1:2" ht="12.75">
      <c r="A36" s="9" t="s">
        <v>114</v>
      </c>
      <c r="B36">
        <f>B33-B34+B35</f>
        <v>114</v>
      </c>
    </row>
    <row r="38" spans="1:2" ht="14.25">
      <c r="A38" s="9" t="s">
        <v>116</v>
      </c>
      <c r="B38" s="3">
        <f>B36/B5</f>
        <v>1.0133333333333334</v>
      </c>
    </row>
    <row r="39" spans="1:2" ht="15.75">
      <c r="A39" s="9" t="s">
        <v>117</v>
      </c>
      <c r="B39" s="3">
        <f>B38</f>
        <v>1.0133333333333334</v>
      </c>
    </row>
    <row r="40" spans="1:2" ht="15.75">
      <c r="A40" s="9" t="s">
        <v>105</v>
      </c>
      <c r="B40" s="8">
        <f>B42/B22</f>
        <v>0.6</v>
      </c>
    </row>
    <row r="41" spans="1:2" ht="15.75">
      <c r="A41" s="9" t="s">
        <v>70</v>
      </c>
      <c r="B41" s="3">
        <f>B39*B21</f>
        <v>0.0892018779342723</v>
      </c>
    </row>
    <row r="42" spans="1:13" ht="15.75">
      <c r="A42" s="9" t="s">
        <v>71</v>
      </c>
      <c r="B42" s="8">
        <v>0.03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4" spans="1:13" ht="12.75">
      <c r="A44" s="1" t="s">
        <v>32</v>
      </c>
      <c r="B44" s="53">
        <f>B1</f>
        <v>2009</v>
      </c>
      <c r="C44" s="53">
        <f>B44+1</f>
        <v>2010</v>
      </c>
      <c r="D44" s="53">
        <f aca="true" t="shared" si="0" ref="D44:M44">C44+1</f>
        <v>2011</v>
      </c>
      <c r="E44" s="53">
        <f t="shared" si="0"/>
        <v>2012</v>
      </c>
      <c r="F44" s="53">
        <f t="shared" si="0"/>
        <v>2013</v>
      </c>
      <c r="G44" s="53">
        <f t="shared" si="0"/>
        <v>2014</v>
      </c>
      <c r="H44" s="53">
        <f t="shared" si="0"/>
        <v>2015</v>
      </c>
      <c r="I44" s="53">
        <f t="shared" si="0"/>
        <v>2016</v>
      </c>
      <c r="J44" s="53">
        <f t="shared" si="0"/>
        <v>2017</v>
      </c>
      <c r="K44" s="53">
        <f t="shared" si="0"/>
        <v>2018</v>
      </c>
      <c r="L44" s="53">
        <f t="shared" si="0"/>
        <v>2019</v>
      </c>
      <c r="M44" s="53">
        <f t="shared" si="0"/>
        <v>2020</v>
      </c>
    </row>
    <row r="45" spans="1:13" ht="13.5" thickBot="1">
      <c r="A45" s="1"/>
      <c r="B45" s="7">
        <v>0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</row>
    <row r="46" spans="1:13" ht="13.5" thickTop="1">
      <c r="A46" s="9" t="s">
        <v>106</v>
      </c>
      <c r="C46" s="8">
        <f>$B$41</f>
        <v>0.0892018779342723</v>
      </c>
      <c r="D46" s="8">
        <f>$B$41</f>
        <v>0.0892018779342723</v>
      </c>
      <c r="E46" s="8">
        <f>$B$41</f>
        <v>0.0892018779342723</v>
      </c>
      <c r="F46" s="8">
        <f>$B$41</f>
        <v>0.0892018779342723</v>
      </c>
      <c r="G46" s="8">
        <f>$B$41</f>
        <v>0.0892018779342723</v>
      </c>
      <c r="H46" s="8">
        <f>G46-($B$41-$B$42)/6</f>
        <v>0.07933489827856025</v>
      </c>
      <c r="I46" s="8">
        <f>H46-($B$41-$B$42)/6</f>
        <v>0.0694679186228482</v>
      </c>
      <c r="J46" s="8">
        <f>I46-($B$41-$B$42)/6</f>
        <v>0.05960093896713614</v>
      </c>
      <c r="K46" s="8">
        <f>J46-($B$41-$B$42)/6</f>
        <v>0.04973395931142409</v>
      </c>
      <c r="L46" s="8">
        <f>K46-($B$41-$B$42)/6</f>
        <v>0.03986697965571204</v>
      </c>
      <c r="M46" s="8">
        <f>$B$42</f>
        <v>0.03</v>
      </c>
    </row>
    <row r="47" spans="1:13" ht="12.75">
      <c r="A47" s="9" t="s">
        <v>107</v>
      </c>
      <c r="C47" s="3">
        <f>$B$39</f>
        <v>1.0133333333333334</v>
      </c>
      <c r="D47" s="3">
        <f>$B$39</f>
        <v>1.0133333333333334</v>
      </c>
      <c r="E47" s="3">
        <f>$B$39</f>
        <v>1.0133333333333334</v>
      </c>
      <c r="F47" s="3">
        <f>$B$39</f>
        <v>1.0133333333333334</v>
      </c>
      <c r="G47" s="3">
        <f>$B$39</f>
        <v>1.0133333333333334</v>
      </c>
      <c r="H47" s="8">
        <f>G47-($B$39-$B$40)/6</f>
        <v>0.9444444444444445</v>
      </c>
      <c r="I47" s="8">
        <f>H47-($B$39-$B$40)/6</f>
        <v>0.8755555555555556</v>
      </c>
      <c r="J47" s="8">
        <f>I47-($B$39-$B$40)/6</f>
        <v>0.8066666666666668</v>
      </c>
      <c r="K47" s="8">
        <f>J47-($B$39-$B$40)/6</f>
        <v>0.7377777777777779</v>
      </c>
      <c r="L47" s="8">
        <f>K47-($B$39-$B$40)/6</f>
        <v>0.668888888888889</v>
      </c>
      <c r="M47" s="8">
        <f>$B$40</f>
        <v>0.6</v>
      </c>
    </row>
    <row r="49" spans="1:13" ht="12.75">
      <c r="A49" s="10" t="s">
        <v>20</v>
      </c>
      <c r="B49" s="5">
        <f>B3</f>
        <v>150</v>
      </c>
      <c r="C49" s="5">
        <f>B49*(1+C46)</f>
        <v>163.38028169014083</v>
      </c>
      <c r="D49" s="5">
        <f aca="true" t="shared" si="1" ref="D49:M49">C49*(1+D46)</f>
        <v>177.9541096343318</v>
      </c>
      <c r="E49" s="5">
        <f t="shared" si="1"/>
        <v>193.82795039983554</v>
      </c>
      <c r="F49" s="5">
        <f t="shared" si="1"/>
        <v>211.11776757165185</v>
      </c>
      <c r="G49" s="5">
        <f t="shared" si="1"/>
        <v>229.9498689043344</v>
      </c>
      <c r="H49" s="5">
        <f t="shared" si="1"/>
        <v>248.19291836302804</v>
      </c>
      <c r="I49" s="5">
        <f t="shared" si="1"/>
        <v>265.4343638186381</v>
      </c>
      <c r="J49" s="5">
        <f t="shared" si="1"/>
        <v>281.25450113637334</v>
      </c>
      <c r="K49" s="5">
        <f t="shared" si="1"/>
        <v>295.2424010520446</v>
      </c>
      <c r="L49" s="5">
        <f t="shared" si="1"/>
        <v>307.01282384829005</v>
      </c>
      <c r="M49" s="5">
        <f t="shared" si="1"/>
        <v>316.22320856373875</v>
      </c>
    </row>
    <row r="50" spans="1:13" ht="15.75">
      <c r="A50" s="9" t="s">
        <v>61</v>
      </c>
      <c r="B50" s="5"/>
      <c r="C50" s="5">
        <f aca="true" t="shared" si="2" ref="C50:M50">C49*(1-$B$4)</f>
        <v>122.53521126760563</v>
      </c>
      <c r="D50" s="5">
        <f t="shared" si="2"/>
        <v>133.46558222574885</v>
      </c>
      <c r="E50" s="5">
        <f t="shared" si="2"/>
        <v>145.37096279987665</v>
      </c>
      <c r="F50" s="5">
        <f t="shared" si="2"/>
        <v>158.3383256787389</v>
      </c>
      <c r="G50" s="5">
        <f t="shared" si="2"/>
        <v>172.4624016782508</v>
      </c>
      <c r="H50" s="5">
        <f t="shared" si="2"/>
        <v>186.14468877227102</v>
      </c>
      <c r="I50" s="5">
        <f t="shared" si="2"/>
        <v>199.07577286397856</v>
      </c>
      <c r="J50" s="5">
        <f t="shared" si="2"/>
        <v>210.94087585228</v>
      </c>
      <c r="K50" s="5">
        <f t="shared" si="2"/>
        <v>221.43180078903345</v>
      </c>
      <c r="L50" s="5">
        <f t="shared" si="2"/>
        <v>230.25961788621754</v>
      </c>
      <c r="M50" s="5">
        <f t="shared" si="2"/>
        <v>237.16740642280405</v>
      </c>
    </row>
    <row r="51" spans="1:13" ht="12.75">
      <c r="A51" s="10" t="s">
        <v>50</v>
      </c>
      <c r="B51" s="5"/>
      <c r="C51" s="5">
        <f>C50*(1-C47)</f>
        <v>-1.633802816901419</v>
      </c>
      <c r="D51" s="5">
        <f aca="true" t="shared" si="3" ref="D51:M51">D50*(1-D47)</f>
        <v>-1.7795410963433294</v>
      </c>
      <c r="E51" s="5">
        <f t="shared" si="3"/>
        <v>-1.9382795039983678</v>
      </c>
      <c r="F51" s="5">
        <f t="shared" si="3"/>
        <v>-2.111177675716532</v>
      </c>
      <c r="G51" s="5">
        <f t="shared" si="3"/>
        <v>-2.299498689043359</v>
      </c>
      <c r="H51" s="5">
        <f t="shared" si="3"/>
        <v>10.341371598459485</v>
      </c>
      <c r="I51" s="5">
        <f t="shared" si="3"/>
        <v>24.773873956406202</v>
      </c>
      <c r="J51" s="5">
        <f t="shared" si="3"/>
        <v>40.781902664774115</v>
      </c>
      <c r="K51" s="5">
        <f t="shared" si="3"/>
        <v>58.06433887356875</v>
      </c>
      <c r="L51" s="5">
        <f t="shared" si="3"/>
        <v>76.24151792232534</v>
      </c>
      <c r="M51" s="5">
        <f t="shared" si="3"/>
        <v>94.86696256912163</v>
      </c>
    </row>
    <row r="52" spans="2:13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>
      <c r="A53" s="9" t="s">
        <v>72</v>
      </c>
      <c r="B53" s="5"/>
      <c r="C53" s="5">
        <f aca="true" t="shared" si="4" ref="C53:L53">C51/(1+$B$17)^C45</f>
        <v>-1.5074838541366073</v>
      </c>
      <c r="D53" s="5">
        <f t="shared" si="4"/>
        <v>-1.5150050469883634</v>
      </c>
      <c r="E53" s="5">
        <f t="shared" si="4"/>
        <v>-1.5225637648469432</v>
      </c>
      <c r="F53" s="5">
        <f t="shared" si="4"/>
        <v>-1.5301601949334653</v>
      </c>
      <c r="G53" s="5">
        <f t="shared" si="4"/>
        <v>-1.5377945254031387</v>
      </c>
      <c r="H53" s="5">
        <f t="shared" si="4"/>
        <v>6.381111260016199</v>
      </c>
      <c r="I53" s="5">
        <f t="shared" si="4"/>
        <v>14.104741315342816</v>
      </c>
      <c r="J53" s="5">
        <f t="shared" si="4"/>
        <v>21.423563662645606</v>
      </c>
      <c r="K53" s="5">
        <f t="shared" si="4"/>
        <v>28.144059803899378</v>
      </c>
      <c r="L53" s="5">
        <f t="shared" si="4"/>
        <v>34.09744382490947</v>
      </c>
      <c r="M53" s="5"/>
    </row>
    <row r="54" spans="1:13" ht="12.75">
      <c r="A54" s="9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>
        <f>M51/(B17-B42)</f>
        <v>1763.504400193815</v>
      </c>
      <c r="M54" s="5"/>
    </row>
    <row r="55" spans="1:13" ht="12.75">
      <c r="A55" s="9" t="s">
        <v>51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>
        <f>L54/(1+$B$17)^L45</f>
        <v>788.6909109266498</v>
      </c>
      <c r="M55" s="5"/>
    </row>
    <row r="57" spans="1:10" ht="12.75">
      <c r="A57" s="9" t="s">
        <v>52</v>
      </c>
      <c r="B57" s="11">
        <f>SUM(C53:L53)+L55</f>
        <v>885.2288234071548</v>
      </c>
      <c r="H57" s="4"/>
      <c r="I57" s="4"/>
      <c r="J57" s="4"/>
    </row>
    <row r="58" spans="1:2" ht="12.75">
      <c r="A58" s="9" t="s">
        <v>53</v>
      </c>
      <c r="B58" s="12">
        <f>B57-B10</f>
        <v>528.2288234071548</v>
      </c>
    </row>
    <row r="59" spans="1:2" ht="12.75">
      <c r="A59" s="1" t="s">
        <v>74</v>
      </c>
      <c r="B59" s="6">
        <f>B58*10^9/Data!C73</f>
        <v>35215.25489381032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xSplit="1" ySplit="1" topLeftCell="B4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1" sqref="B21"/>
    </sheetView>
  </sheetViews>
  <sheetFormatPr defaultColWidth="9.140625" defaultRowHeight="12.75"/>
  <cols>
    <col min="1" max="1" width="44.57421875" style="0" bestFit="1" customWidth="1"/>
    <col min="2" max="7" width="9.28125" style="0" bestFit="1" customWidth="1"/>
    <col min="8" max="8" width="9.421875" style="0" bestFit="1" customWidth="1"/>
    <col min="9" max="13" width="9.28125" style="0" bestFit="1" customWidth="1"/>
  </cols>
  <sheetData>
    <row r="1" spans="2:3" ht="13.5" thickBot="1">
      <c r="B1" s="7">
        <f>Data!C26</f>
        <v>2009</v>
      </c>
      <c r="C1" s="7">
        <f>Data!D26</f>
        <v>2008</v>
      </c>
    </row>
    <row r="2" ht="13.5" thickTop="1">
      <c r="A2" s="1" t="s">
        <v>55</v>
      </c>
    </row>
    <row r="3" spans="1:3" ht="12.75">
      <c r="A3" s="9" t="s">
        <v>59</v>
      </c>
      <c r="B3">
        <f>Data!C34</f>
        <v>150</v>
      </c>
      <c r="C3">
        <f>Data!D34</f>
        <v>105</v>
      </c>
    </row>
    <row r="4" spans="1:2" ht="15.75">
      <c r="A4" s="9" t="s">
        <v>60</v>
      </c>
      <c r="B4" s="2">
        <v>0.25</v>
      </c>
    </row>
    <row r="5" spans="1:3" ht="15.75">
      <c r="A5" s="9" t="s">
        <v>61</v>
      </c>
      <c r="B5">
        <f>B3*(1-B4)</f>
        <v>112.5</v>
      </c>
      <c r="C5" s="2"/>
    </row>
    <row r="6" spans="1:3" ht="12.75">
      <c r="A6" s="9" t="s">
        <v>21</v>
      </c>
      <c r="B6">
        <f>Data!C35</f>
        <v>24</v>
      </c>
      <c r="C6">
        <f>Data!D35</f>
        <v>30</v>
      </c>
    </row>
    <row r="8" ht="12.75">
      <c r="A8" s="1" t="s">
        <v>54</v>
      </c>
    </row>
    <row r="9" spans="1:3" ht="12.75">
      <c r="A9" s="9" t="s">
        <v>62</v>
      </c>
      <c r="B9">
        <f>Data!C19+Data!C20+Data!C21</f>
        <v>978</v>
      </c>
      <c r="C9">
        <f>Data!D19+Data!D20+Data!D21</f>
        <v>900</v>
      </c>
    </row>
    <row r="10" spans="1:3" ht="12.75">
      <c r="A10" s="9" t="s">
        <v>63</v>
      </c>
      <c r="B10">
        <f>Data!C13+Data!C17</f>
        <v>357</v>
      </c>
      <c r="C10">
        <f>Data!D13+Data!D17</f>
        <v>321</v>
      </c>
    </row>
    <row r="11" spans="1:3" ht="12.75">
      <c r="A11" t="s">
        <v>45</v>
      </c>
      <c r="B11" s="2">
        <f>B9/(B$9+B$10)</f>
        <v>0.7325842696629213</v>
      </c>
      <c r="C11" s="2">
        <f>C9/(C$9+C$10)</f>
        <v>0.7371007371007371</v>
      </c>
    </row>
    <row r="12" spans="1:3" ht="12.75">
      <c r="A12" t="s">
        <v>46</v>
      </c>
      <c r="B12" s="2">
        <f>B10/(B$9+B$10)</f>
        <v>0.26741573033707866</v>
      </c>
      <c r="C12" s="2">
        <f>C10/(C$9+C$10)</f>
        <v>0.2628992628992629</v>
      </c>
    </row>
    <row r="13" ht="12.75">
      <c r="C13" s="2"/>
    </row>
    <row r="14" spans="1:3" ht="12.75">
      <c r="A14" s="1" t="s">
        <v>44</v>
      </c>
      <c r="B14" s="2"/>
      <c r="C14" s="2"/>
    </row>
    <row r="15" spans="1:3" ht="15.75">
      <c r="A15" s="9" t="s">
        <v>64</v>
      </c>
      <c r="B15" s="3">
        <f>B6/AVERAGE(B10:C10)</f>
        <v>0.07079646017699115</v>
      </c>
      <c r="C15" s="2"/>
    </row>
    <row r="16" spans="1:2" ht="15.75">
      <c r="A16" s="9" t="s">
        <v>65</v>
      </c>
      <c r="B16" s="3">
        <f>Data!C74+Data!C75*Data!C76</f>
        <v>0.095</v>
      </c>
    </row>
    <row r="17" spans="1:2" ht="12.75">
      <c r="A17" s="9" t="s">
        <v>66</v>
      </c>
      <c r="B17" s="3">
        <f>B11*B16+B12*B15*(1-B4)</f>
        <v>0.08379457094561002</v>
      </c>
    </row>
    <row r="19" ht="12.75">
      <c r="A19" s="1" t="s">
        <v>56</v>
      </c>
    </row>
    <row r="20" spans="1:2" ht="15.75">
      <c r="A20" s="9" t="s">
        <v>110</v>
      </c>
      <c r="B20" s="3">
        <f>B5/(B9+C9+B10+C10)*2</f>
        <v>0.0880281690140845</v>
      </c>
    </row>
    <row r="21" spans="1:2" ht="15.75">
      <c r="A21" s="9" t="s">
        <v>67</v>
      </c>
      <c r="B21" s="3">
        <f>B20</f>
        <v>0.0880281690140845</v>
      </c>
    </row>
    <row r="22" spans="1:2" ht="15.75">
      <c r="A22" s="9" t="s">
        <v>68</v>
      </c>
      <c r="B22" s="8">
        <v>0.05</v>
      </c>
    </row>
    <row r="24" ht="12.75">
      <c r="A24" s="1" t="s">
        <v>49</v>
      </c>
    </row>
    <row r="25" spans="1:3" ht="12.75">
      <c r="A25" s="54" t="s">
        <v>57</v>
      </c>
      <c r="B25">
        <f>Data!C4</f>
        <v>30</v>
      </c>
      <c r="C25">
        <f>Data!D4</f>
        <v>72</v>
      </c>
    </row>
    <row r="26" spans="1:3" ht="12.75">
      <c r="A26" t="s">
        <v>1</v>
      </c>
      <c r="B26">
        <f>Data!C5</f>
        <v>462</v>
      </c>
      <c r="C26">
        <f>Data!D5</f>
        <v>420</v>
      </c>
    </row>
    <row r="27" spans="1:3" ht="12.75">
      <c r="A27" t="s">
        <v>47</v>
      </c>
      <c r="B27">
        <f>Data!C6</f>
        <v>420</v>
      </c>
      <c r="C27">
        <f>Data!D6</f>
        <v>390</v>
      </c>
    </row>
    <row r="28" spans="1:3" ht="12.75">
      <c r="A28" t="s">
        <v>48</v>
      </c>
      <c r="B28">
        <f>Data!C14</f>
        <v>54</v>
      </c>
      <c r="C28">
        <f>Data!D14</f>
        <v>45</v>
      </c>
    </row>
    <row r="29" spans="1:3" ht="12.75">
      <c r="A29" t="s">
        <v>9</v>
      </c>
      <c r="B29">
        <f>Data!C15</f>
        <v>195</v>
      </c>
      <c r="C29">
        <f>Data!D15</f>
        <v>180</v>
      </c>
    </row>
    <row r="30" spans="1:3" ht="12.75">
      <c r="A30" s="9" t="s">
        <v>115</v>
      </c>
      <c r="B30">
        <f>B25+B26+B27-B28-B29</f>
        <v>663</v>
      </c>
      <c r="C30">
        <f>C25+C26+C27-C28-C29</f>
        <v>657</v>
      </c>
    </row>
    <row r="32" ht="12.75">
      <c r="A32" s="1" t="s">
        <v>69</v>
      </c>
    </row>
    <row r="33" spans="1:2" ht="12.75">
      <c r="A33" s="9" t="s">
        <v>111</v>
      </c>
      <c r="B33">
        <f>Data!C46</f>
        <v>180</v>
      </c>
    </row>
    <row r="34" spans="1:2" ht="12.75">
      <c r="A34" s="9" t="s">
        <v>112</v>
      </c>
      <c r="B34">
        <f>Data!C44</f>
        <v>72</v>
      </c>
    </row>
    <row r="35" spans="1:2" ht="12.75">
      <c r="A35" s="9" t="s">
        <v>113</v>
      </c>
      <c r="B35">
        <f>B30-C30</f>
        <v>6</v>
      </c>
    </row>
    <row r="36" spans="1:2" ht="12.75">
      <c r="A36" s="9" t="s">
        <v>114</v>
      </c>
      <c r="B36">
        <f>B33-B34+B35</f>
        <v>114</v>
      </c>
    </row>
    <row r="38" spans="1:2" ht="14.25">
      <c r="A38" s="9" t="s">
        <v>116</v>
      </c>
      <c r="B38" s="3">
        <f>B36/B5</f>
        <v>1.0133333333333334</v>
      </c>
    </row>
    <row r="39" spans="1:2" ht="15.75">
      <c r="A39" s="9" t="s">
        <v>117</v>
      </c>
      <c r="B39" s="3">
        <f>B38</f>
        <v>1.0133333333333334</v>
      </c>
    </row>
    <row r="40" spans="1:2" ht="15.75">
      <c r="A40" s="9" t="s">
        <v>105</v>
      </c>
      <c r="B40" s="8">
        <f>B42/B22</f>
        <v>0.6</v>
      </c>
    </row>
    <row r="41" spans="1:2" ht="15.75">
      <c r="A41" s="9" t="s">
        <v>70</v>
      </c>
      <c r="B41" s="3">
        <f>B39*B21</f>
        <v>0.0892018779342723</v>
      </c>
    </row>
    <row r="42" spans="1:13" ht="15.75">
      <c r="A42" s="9" t="s">
        <v>71</v>
      </c>
      <c r="B42" s="8">
        <v>0.03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4" spans="1:13" ht="12.75">
      <c r="A44" s="1" t="s">
        <v>32</v>
      </c>
      <c r="B44" s="53">
        <f>B1</f>
        <v>2009</v>
      </c>
      <c r="C44" s="53">
        <f>B44+1</f>
        <v>2010</v>
      </c>
      <c r="D44" s="53">
        <f aca="true" t="shared" si="0" ref="D44:M44">C44+1</f>
        <v>2011</v>
      </c>
      <c r="E44" s="53">
        <f t="shared" si="0"/>
        <v>2012</v>
      </c>
      <c r="F44" s="53">
        <f t="shared" si="0"/>
        <v>2013</v>
      </c>
      <c r="G44" s="53">
        <f t="shared" si="0"/>
        <v>2014</v>
      </c>
      <c r="H44" s="53">
        <f t="shared" si="0"/>
        <v>2015</v>
      </c>
      <c r="I44" s="53">
        <f t="shared" si="0"/>
        <v>2016</v>
      </c>
      <c r="J44" s="53">
        <f t="shared" si="0"/>
        <v>2017</v>
      </c>
      <c r="K44" s="53">
        <f t="shared" si="0"/>
        <v>2018</v>
      </c>
      <c r="L44" s="53">
        <f t="shared" si="0"/>
        <v>2019</v>
      </c>
      <c r="M44" s="53">
        <f t="shared" si="0"/>
        <v>2020</v>
      </c>
    </row>
    <row r="45" spans="1:13" ht="13.5" thickBot="1">
      <c r="A45" s="1"/>
      <c r="B45" s="7">
        <v>0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</row>
    <row r="46" spans="1:13" ht="13.5" thickTop="1">
      <c r="A46" s="9" t="s">
        <v>106</v>
      </c>
      <c r="C46" s="8">
        <f>$B$41</f>
        <v>0.0892018779342723</v>
      </c>
      <c r="D46" s="8">
        <f>$B$41</f>
        <v>0.0892018779342723</v>
      </c>
      <c r="E46" s="8">
        <f>$B$41</f>
        <v>0.0892018779342723</v>
      </c>
      <c r="F46" s="8">
        <f>$B$41</f>
        <v>0.0892018779342723</v>
      </c>
      <c r="G46" s="8">
        <f>$B$41</f>
        <v>0.0892018779342723</v>
      </c>
      <c r="H46" s="8">
        <f>G46-($B$41-$B$42)/6</f>
        <v>0.07933489827856025</v>
      </c>
      <c r="I46" s="8">
        <f>H46-($B$41-$B$42)/6</f>
        <v>0.0694679186228482</v>
      </c>
      <c r="J46" s="8">
        <f>I46-($B$41-$B$42)/6</f>
        <v>0.05960093896713614</v>
      </c>
      <c r="K46" s="8">
        <f>J46-($B$41-$B$42)/6</f>
        <v>0.04973395931142409</v>
      </c>
      <c r="L46" s="8">
        <f>K46-($B$41-$B$42)/6</f>
        <v>0.03986697965571204</v>
      </c>
      <c r="M46" s="8">
        <f>$B$42</f>
        <v>0.03</v>
      </c>
    </row>
    <row r="47" spans="1:13" ht="12.75">
      <c r="A47" s="9" t="s">
        <v>107</v>
      </c>
      <c r="C47" s="3">
        <f>$B$39</f>
        <v>1.0133333333333334</v>
      </c>
      <c r="D47" s="3">
        <f>$B$39</f>
        <v>1.0133333333333334</v>
      </c>
      <c r="E47" s="3">
        <f>$B$39</f>
        <v>1.0133333333333334</v>
      </c>
      <c r="F47" s="3">
        <f>$B$39</f>
        <v>1.0133333333333334</v>
      </c>
      <c r="G47" s="3">
        <f>$B$39</f>
        <v>1.0133333333333334</v>
      </c>
      <c r="H47" s="8">
        <f>G47-($B$39-$B$40)/6</f>
        <v>0.9444444444444445</v>
      </c>
      <c r="I47" s="8">
        <f>H47-($B$39-$B$40)/6</f>
        <v>0.8755555555555556</v>
      </c>
      <c r="J47" s="8">
        <f>I47-($B$39-$B$40)/6</f>
        <v>0.8066666666666668</v>
      </c>
      <c r="K47" s="8">
        <f>J47-($B$39-$B$40)/6</f>
        <v>0.7377777777777779</v>
      </c>
      <c r="L47" s="8">
        <f>K47-($B$39-$B$40)/6</f>
        <v>0.668888888888889</v>
      </c>
      <c r="M47" s="8">
        <f>$B$40</f>
        <v>0.6</v>
      </c>
    </row>
    <row r="49" spans="1:13" ht="12.75">
      <c r="A49" s="10" t="s">
        <v>20</v>
      </c>
      <c r="B49" s="5">
        <f>B3</f>
        <v>150</v>
      </c>
      <c r="C49" s="5">
        <f>B49*(1+C46)</f>
        <v>163.38028169014083</v>
      </c>
      <c r="D49" s="5">
        <f aca="true" t="shared" si="1" ref="D49:M49">C49*(1+D46)</f>
        <v>177.9541096343318</v>
      </c>
      <c r="E49" s="5">
        <f t="shared" si="1"/>
        <v>193.82795039983554</v>
      </c>
      <c r="F49" s="5">
        <f t="shared" si="1"/>
        <v>211.11776757165185</v>
      </c>
      <c r="G49" s="5">
        <f t="shared" si="1"/>
        <v>229.9498689043344</v>
      </c>
      <c r="H49" s="5">
        <f t="shared" si="1"/>
        <v>248.19291836302804</v>
      </c>
      <c r="I49" s="5">
        <f t="shared" si="1"/>
        <v>265.4343638186381</v>
      </c>
      <c r="J49" s="5">
        <f t="shared" si="1"/>
        <v>281.25450113637334</v>
      </c>
      <c r="K49" s="5">
        <f t="shared" si="1"/>
        <v>295.2424010520446</v>
      </c>
      <c r="L49" s="5">
        <f t="shared" si="1"/>
        <v>307.01282384829005</v>
      </c>
      <c r="M49" s="5">
        <f t="shared" si="1"/>
        <v>316.22320856373875</v>
      </c>
    </row>
    <row r="50" spans="1:13" ht="15.75">
      <c r="A50" s="9" t="s">
        <v>61</v>
      </c>
      <c r="B50" s="5"/>
      <c r="C50" s="5">
        <f aca="true" t="shared" si="2" ref="C50:M50">C49*(1-$B$4)</f>
        <v>122.53521126760563</v>
      </c>
      <c r="D50" s="5">
        <f t="shared" si="2"/>
        <v>133.46558222574885</v>
      </c>
      <c r="E50" s="5">
        <f t="shared" si="2"/>
        <v>145.37096279987665</v>
      </c>
      <c r="F50" s="5">
        <f t="shared" si="2"/>
        <v>158.3383256787389</v>
      </c>
      <c r="G50" s="5">
        <f t="shared" si="2"/>
        <v>172.4624016782508</v>
      </c>
      <c r="H50" s="5">
        <f t="shared" si="2"/>
        <v>186.14468877227102</v>
      </c>
      <c r="I50" s="5">
        <f t="shared" si="2"/>
        <v>199.07577286397856</v>
      </c>
      <c r="J50" s="5">
        <f t="shared" si="2"/>
        <v>210.94087585228</v>
      </c>
      <c r="K50" s="5">
        <f t="shared" si="2"/>
        <v>221.43180078903345</v>
      </c>
      <c r="L50" s="5">
        <f t="shared" si="2"/>
        <v>230.25961788621754</v>
      </c>
      <c r="M50" s="5">
        <f t="shared" si="2"/>
        <v>237.16740642280405</v>
      </c>
    </row>
    <row r="51" spans="1:13" ht="12.75">
      <c r="A51" s="10" t="s">
        <v>50</v>
      </c>
      <c r="B51" s="5"/>
      <c r="C51" s="5">
        <f>C50*(1-C47)</f>
        <v>-1.633802816901419</v>
      </c>
      <c r="D51" s="5">
        <f aca="true" t="shared" si="3" ref="D51:M51">D50*(1-D47)</f>
        <v>-1.7795410963433294</v>
      </c>
      <c r="E51" s="5">
        <f t="shared" si="3"/>
        <v>-1.9382795039983678</v>
      </c>
      <c r="F51" s="5">
        <f t="shared" si="3"/>
        <v>-2.111177675716532</v>
      </c>
      <c r="G51" s="5">
        <f t="shared" si="3"/>
        <v>-2.299498689043359</v>
      </c>
      <c r="H51" s="5">
        <f t="shared" si="3"/>
        <v>10.341371598459485</v>
      </c>
      <c r="I51" s="5">
        <f t="shared" si="3"/>
        <v>24.773873956406202</v>
      </c>
      <c r="J51" s="5">
        <f t="shared" si="3"/>
        <v>40.781902664774115</v>
      </c>
      <c r="K51" s="5">
        <f t="shared" si="3"/>
        <v>58.06433887356875</v>
      </c>
      <c r="L51" s="5">
        <f t="shared" si="3"/>
        <v>76.24151792232534</v>
      </c>
      <c r="M51" s="5">
        <f t="shared" si="3"/>
        <v>94.86696256912163</v>
      </c>
    </row>
    <row r="52" spans="2:13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>
      <c r="A53" s="9" t="s">
        <v>72</v>
      </c>
      <c r="B53" s="5"/>
      <c r="C53" s="5">
        <f aca="true" t="shared" si="4" ref="C53:M53">C51/(1+$B$17)^C45</f>
        <v>-1.5074838541366073</v>
      </c>
      <c r="D53" s="5">
        <f t="shared" si="4"/>
        <v>-1.5150050469883634</v>
      </c>
      <c r="E53" s="5">
        <f t="shared" si="4"/>
        <v>-1.5225637648469432</v>
      </c>
      <c r="F53" s="5">
        <f t="shared" si="4"/>
        <v>-1.5301601949334653</v>
      </c>
      <c r="G53" s="5">
        <f t="shared" si="4"/>
        <v>-1.5377945254031387</v>
      </c>
      <c r="H53" s="5">
        <f t="shared" si="4"/>
        <v>6.381111260016199</v>
      </c>
      <c r="I53" s="5">
        <f t="shared" si="4"/>
        <v>14.104741315342816</v>
      </c>
      <c r="J53" s="5">
        <f t="shared" si="4"/>
        <v>21.423563662645606</v>
      </c>
      <c r="K53" s="5">
        <f t="shared" si="4"/>
        <v>28.144059803899378</v>
      </c>
      <c r="L53" s="5">
        <f t="shared" si="4"/>
        <v>34.09744382490947</v>
      </c>
      <c r="M53" s="5">
        <f t="shared" si="4"/>
        <v>39.1469844003589</v>
      </c>
    </row>
    <row r="54" spans="1:13" ht="12.75">
      <c r="A54" s="9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M54" s="5">
        <f>M51*(1+M46)/(B17-B42)</f>
        <v>1816.4095321996297</v>
      </c>
    </row>
    <row r="55" spans="1:13" ht="12.75">
      <c r="A55" s="9" t="s">
        <v>51</v>
      </c>
      <c r="B55" s="5"/>
      <c r="C55" s="5"/>
      <c r="D55" s="5"/>
      <c r="E55" s="5"/>
      <c r="F55" s="5"/>
      <c r="G55" s="5"/>
      <c r="H55" s="5"/>
      <c r="I55" s="5"/>
      <c r="J55" s="5"/>
      <c r="K55" s="5"/>
      <c r="M55" s="5">
        <f>M54/(1+$B$17)^M45</f>
        <v>749.5439265262911</v>
      </c>
    </row>
    <row r="57" spans="1:10" ht="12.75">
      <c r="A57" s="9" t="s">
        <v>52</v>
      </c>
      <c r="B57" s="11">
        <f>SUM(C53:M53)+M55</f>
        <v>885.228823407155</v>
      </c>
      <c r="H57" s="4"/>
      <c r="I57" s="4"/>
      <c r="J57" s="4"/>
    </row>
    <row r="58" spans="1:2" ht="12.75">
      <c r="A58" s="9" t="s">
        <v>53</v>
      </c>
      <c r="B58" s="12">
        <f>B57-B10</f>
        <v>528.228823407155</v>
      </c>
    </row>
    <row r="59" spans="1:2" ht="12.75">
      <c r="A59" s="1" t="s">
        <v>74</v>
      </c>
      <c r="B59" s="6">
        <f>B58*10^9/Data!C73</f>
        <v>35215.254893810335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50" sqref="M50"/>
    </sheetView>
  </sheetViews>
  <sheetFormatPr defaultColWidth="9.140625" defaultRowHeight="12.75"/>
  <cols>
    <col min="1" max="1" width="44.57421875" style="0" customWidth="1"/>
    <col min="2" max="7" width="9.28125" style="0" bestFit="1" customWidth="1"/>
    <col min="8" max="8" width="9.421875" style="0" bestFit="1" customWidth="1"/>
    <col min="9" max="13" width="9.28125" style="0" bestFit="1" customWidth="1"/>
  </cols>
  <sheetData>
    <row r="1" spans="2:3" ht="13.5" thickBot="1">
      <c r="B1" s="7">
        <f>Data!C26</f>
        <v>2009</v>
      </c>
      <c r="C1" s="7">
        <f>Data!D26</f>
        <v>2008</v>
      </c>
    </row>
    <row r="2" ht="13.5" thickTop="1">
      <c r="A2" s="1" t="s">
        <v>55</v>
      </c>
    </row>
    <row r="3" spans="1:3" ht="12.75">
      <c r="A3" s="9" t="s">
        <v>59</v>
      </c>
      <c r="B3">
        <f>Data!C34</f>
        <v>150</v>
      </c>
      <c r="C3">
        <f>Data!D34</f>
        <v>105</v>
      </c>
    </row>
    <row r="4" spans="1:2" ht="15.75">
      <c r="A4" s="9" t="s">
        <v>60</v>
      </c>
      <c r="B4" s="2">
        <v>0.25</v>
      </c>
    </row>
    <row r="5" spans="1:3" ht="15.75">
      <c r="A5" s="9" t="s">
        <v>61</v>
      </c>
      <c r="B5">
        <f>B3*(1-B4)</f>
        <v>112.5</v>
      </c>
      <c r="C5" s="2"/>
    </row>
    <row r="6" spans="1:3" ht="12.75">
      <c r="A6" s="9" t="s">
        <v>21</v>
      </c>
      <c r="B6">
        <f>Data!C35</f>
        <v>24</v>
      </c>
      <c r="C6">
        <f>Data!D35</f>
        <v>30</v>
      </c>
    </row>
    <row r="8" ht="12.75">
      <c r="A8" s="1" t="s">
        <v>54</v>
      </c>
    </row>
    <row r="9" spans="1:3" ht="12.75">
      <c r="A9" s="9" t="s">
        <v>62</v>
      </c>
      <c r="B9">
        <f>Data!C19+Data!C20+Data!C21</f>
        <v>978</v>
      </c>
      <c r="C9">
        <f>Data!D19+Data!D20+Data!D21</f>
        <v>900</v>
      </c>
    </row>
    <row r="10" spans="1:3" ht="12.75">
      <c r="A10" s="9" t="s">
        <v>63</v>
      </c>
      <c r="B10">
        <f>Data!C13+Data!C17</f>
        <v>357</v>
      </c>
      <c r="C10">
        <f>Data!D13+Data!D17</f>
        <v>321</v>
      </c>
    </row>
    <row r="11" spans="1:3" ht="12.75">
      <c r="A11" t="s">
        <v>45</v>
      </c>
      <c r="B11" s="2">
        <f>B9/(B$9+B$10)</f>
        <v>0.7325842696629213</v>
      </c>
      <c r="C11" s="2">
        <f>C9/(C$9+C$10)</f>
        <v>0.7371007371007371</v>
      </c>
    </row>
    <row r="12" spans="1:3" ht="12.75">
      <c r="A12" t="s">
        <v>46</v>
      </c>
      <c r="B12" s="2">
        <f>B10/(B$9+B$10)</f>
        <v>0.26741573033707866</v>
      </c>
      <c r="C12" s="2">
        <f>C10/(C$9+C$10)</f>
        <v>0.2628992628992629</v>
      </c>
    </row>
    <row r="13" ht="12.75">
      <c r="C13" s="2"/>
    </row>
    <row r="14" spans="1:3" ht="12.75">
      <c r="A14" s="1" t="s">
        <v>44</v>
      </c>
      <c r="B14" s="2"/>
      <c r="C14" s="2"/>
    </row>
    <row r="15" spans="1:3" ht="15.75">
      <c r="A15" s="9" t="s">
        <v>64</v>
      </c>
      <c r="B15" s="3">
        <f>B6/AVERAGE(B10:C10)</f>
        <v>0.07079646017699115</v>
      </c>
      <c r="C15" s="2"/>
    </row>
    <row r="16" spans="1:2" ht="15.75">
      <c r="A16" s="9" t="s">
        <v>65</v>
      </c>
      <c r="B16" s="3">
        <f>Data!C74+Data!C75*Data!C76</f>
        <v>0.095</v>
      </c>
    </row>
    <row r="17" spans="1:2" ht="12.75">
      <c r="A17" s="9" t="s">
        <v>66</v>
      </c>
      <c r="B17" s="3">
        <f>B11*B16+B12*B15*(1-B4)</f>
        <v>0.08379457094561002</v>
      </c>
    </row>
    <row r="19" ht="12.75">
      <c r="A19" s="1" t="s">
        <v>56</v>
      </c>
    </row>
    <row r="20" spans="1:2" ht="15.75">
      <c r="A20" s="9" t="s">
        <v>110</v>
      </c>
      <c r="B20" s="3">
        <f>B5/(B9+C9+B10+C10-Data!C4-Data!D4)*2</f>
        <v>0.09168704156479218</v>
      </c>
    </row>
    <row r="21" spans="1:2" ht="15.75">
      <c r="A21" s="9" t="s">
        <v>67</v>
      </c>
      <c r="B21" s="3">
        <f>B20</f>
        <v>0.09168704156479218</v>
      </c>
    </row>
    <row r="22" spans="1:2" ht="15.75">
      <c r="A22" s="9" t="s">
        <v>68</v>
      </c>
      <c r="B22" s="8">
        <v>0.05</v>
      </c>
    </row>
    <row r="24" ht="12.75">
      <c r="A24" s="1" t="s">
        <v>49</v>
      </c>
    </row>
    <row r="25" ht="12.75">
      <c r="A25" s="54"/>
    </row>
    <row r="26" spans="1:3" ht="12.75">
      <c r="A26" t="s">
        <v>1</v>
      </c>
      <c r="B26">
        <f>Data!C5</f>
        <v>462</v>
      </c>
      <c r="C26">
        <f>Data!D5</f>
        <v>420</v>
      </c>
    </row>
    <row r="27" spans="1:3" ht="12.75">
      <c r="A27" t="s">
        <v>47</v>
      </c>
      <c r="B27">
        <f>Data!C6</f>
        <v>420</v>
      </c>
      <c r="C27">
        <f>Data!D6</f>
        <v>390</v>
      </c>
    </row>
    <row r="28" spans="1:3" ht="12.75">
      <c r="A28" t="s">
        <v>48</v>
      </c>
      <c r="B28">
        <f>Data!C14</f>
        <v>54</v>
      </c>
      <c r="C28">
        <f>Data!D14</f>
        <v>45</v>
      </c>
    </row>
    <row r="29" spans="1:3" ht="12.75">
      <c r="A29" t="s">
        <v>9</v>
      </c>
      <c r="B29">
        <f>Data!C15</f>
        <v>195</v>
      </c>
      <c r="C29">
        <f>Data!D15</f>
        <v>180</v>
      </c>
    </row>
    <row r="30" spans="1:3" ht="12.75">
      <c r="A30" s="9" t="s">
        <v>115</v>
      </c>
      <c r="B30">
        <f>B25+B26+B27-B28-B29</f>
        <v>633</v>
      </c>
      <c r="C30">
        <f>C25+C26+C27-C28-C29</f>
        <v>585</v>
      </c>
    </row>
    <row r="32" ht="12.75">
      <c r="A32" s="1" t="s">
        <v>69</v>
      </c>
    </row>
    <row r="33" spans="1:2" ht="12.75">
      <c r="A33" s="9" t="s">
        <v>111</v>
      </c>
      <c r="B33">
        <f>Data!C46</f>
        <v>180</v>
      </c>
    </row>
    <row r="34" spans="1:2" ht="12.75">
      <c r="A34" s="9" t="s">
        <v>112</v>
      </c>
      <c r="B34">
        <f>Data!C44</f>
        <v>72</v>
      </c>
    </row>
    <row r="35" spans="1:2" ht="12.75">
      <c r="A35" s="9" t="s">
        <v>113</v>
      </c>
      <c r="B35">
        <f>B30-C30</f>
        <v>48</v>
      </c>
    </row>
    <row r="36" spans="1:2" ht="12.75">
      <c r="A36" s="9" t="s">
        <v>114</v>
      </c>
      <c r="B36">
        <f>B33-B34+B35</f>
        <v>156</v>
      </c>
    </row>
    <row r="37" spans="15:18" ht="12.75">
      <c r="O37" s="55"/>
      <c r="P37" s="55"/>
      <c r="Q37" s="55"/>
      <c r="R37" s="55"/>
    </row>
    <row r="38" spans="1:18" ht="14.25">
      <c r="A38" s="9" t="s">
        <v>116</v>
      </c>
      <c r="B38" s="3">
        <f>B36/B5</f>
        <v>1.3866666666666667</v>
      </c>
      <c r="O38" s="55"/>
      <c r="P38" s="55"/>
      <c r="Q38" s="55"/>
      <c r="R38" s="55"/>
    </row>
    <row r="39" spans="1:18" ht="15.75">
      <c r="A39" s="9" t="s">
        <v>117</v>
      </c>
      <c r="B39" s="3">
        <f>B38</f>
        <v>1.3866666666666667</v>
      </c>
      <c r="O39" s="55"/>
      <c r="P39" s="55"/>
      <c r="Q39" s="55"/>
      <c r="R39" s="55"/>
    </row>
    <row r="40" spans="1:18" ht="15.75">
      <c r="A40" s="9" t="s">
        <v>105</v>
      </c>
      <c r="B40" s="8">
        <f>B42/B22</f>
        <v>0.6</v>
      </c>
      <c r="O40" s="55"/>
      <c r="P40" s="55"/>
      <c r="Q40" s="55"/>
      <c r="R40" s="55"/>
    </row>
    <row r="41" spans="1:18" ht="15.75">
      <c r="A41" s="9" t="s">
        <v>70</v>
      </c>
      <c r="B41" s="3">
        <f>B39*B21</f>
        <v>0.1271393643031785</v>
      </c>
      <c r="O41" s="55"/>
      <c r="P41" s="55"/>
      <c r="Q41" s="55"/>
      <c r="R41" s="55"/>
    </row>
    <row r="42" spans="1:18" ht="15.75">
      <c r="A42" s="9" t="s">
        <v>71</v>
      </c>
      <c r="B42" s="8">
        <v>0.03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55"/>
      <c r="P42" s="55"/>
      <c r="Q42" s="55"/>
      <c r="R42" s="55"/>
    </row>
    <row r="43" spans="15:18" ht="12.75">
      <c r="O43" s="55"/>
      <c r="P43" s="55"/>
      <c r="Q43" s="55"/>
      <c r="R43" s="55"/>
    </row>
    <row r="44" spans="1:18" ht="12.75">
      <c r="A44" s="1" t="s">
        <v>32</v>
      </c>
      <c r="B44" s="53">
        <f>B1</f>
        <v>2009</v>
      </c>
      <c r="C44" s="53">
        <f>B44+1</f>
        <v>2010</v>
      </c>
      <c r="D44" s="53">
        <f aca="true" t="shared" si="0" ref="D44:M44">C44+1</f>
        <v>2011</v>
      </c>
      <c r="E44" s="53">
        <f t="shared" si="0"/>
        <v>2012</v>
      </c>
      <c r="F44" s="53">
        <f t="shared" si="0"/>
        <v>2013</v>
      </c>
      <c r="G44" s="53">
        <f t="shared" si="0"/>
        <v>2014</v>
      </c>
      <c r="H44" s="53">
        <f t="shared" si="0"/>
        <v>2015</v>
      </c>
      <c r="I44" s="53">
        <f t="shared" si="0"/>
        <v>2016</v>
      </c>
      <c r="J44" s="53">
        <f t="shared" si="0"/>
        <v>2017</v>
      </c>
      <c r="K44" s="53">
        <f t="shared" si="0"/>
        <v>2018</v>
      </c>
      <c r="L44" s="53">
        <f t="shared" si="0"/>
        <v>2019</v>
      </c>
      <c r="M44" s="53">
        <f t="shared" si="0"/>
        <v>2020</v>
      </c>
      <c r="O44" s="55"/>
      <c r="P44" s="55"/>
      <c r="Q44" s="55"/>
      <c r="R44" s="55"/>
    </row>
    <row r="45" spans="1:18" ht="13.5" thickBot="1">
      <c r="A45" s="1"/>
      <c r="B45" s="7">
        <v>0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  <c r="O45" s="55"/>
      <c r="P45" s="55"/>
      <c r="Q45" s="55"/>
      <c r="R45" s="55"/>
    </row>
    <row r="46" spans="1:18" ht="13.5" thickTop="1">
      <c r="A46" s="9" t="s">
        <v>106</v>
      </c>
      <c r="C46" s="8">
        <f>$B$41</f>
        <v>0.1271393643031785</v>
      </c>
      <c r="D46" s="8">
        <f>$B$41</f>
        <v>0.1271393643031785</v>
      </c>
      <c r="E46" s="8">
        <f>$B$41</f>
        <v>0.1271393643031785</v>
      </c>
      <c r="F46" s="8">
        <f>$B$41</f>
        <v>0.1271393643031785</v>
      </c>
      <c r="G46" s="8">
        <f>$B$41</f>
        <v>0.1271393643031785</v>
      </c>
      <c r="H46" s="8">
        <f>G46-($B$41-$B$42)/6</f>
        <v>0.11094947025264874</v>
      </c>
      <c r="I46" s="8">
        <f>H46-($B$41-$B$42)/6</f>
        <v>0.094759576202119</v>
      </c>
      <c r="J46" s="8">
        <f>I46-($B$41-$B$42)/6</f>
        <v>0.07856968215158926</v>
      </c>
      <c r="K46" s="8">
        <f>J46-($B$41-$B$42)/6</f>
        <v>0.06237978810105951</v>
      </c>
      <c r="L46" s="8">
        <f>K46-($B$41-$B$42)/6</f>
        <v>0.04618989405052977</v>
      </c>
      <c r="M46" s="8">
        <f>$B$42</f>
        <v>0.03</v>
      </c>
      <c r="O46" s="55"/>
      <c r="P46" s="55"/>
      <c r="Q46" s="55"/>
      <c r="R46" s="55"/>
    </row>
    <row r="47" spans="1:13" ht="12.75">
      <c r="A47" s="9" t="s">
        <v>107</v>
      </c>
      <c r="C47" s="3">
        <f>$B$39</f>
        <v>1.3866666666666667</v>
      </c>
      <c r="D47" s="3">
        <f>$B$39</f>
        <v>1.3866666666666667</v>
      </c>
      <c r="E47" s="3">
        <f>$B$39</f>
        <v>1.3866666666666667</v>
      </c>
      <c r="F47" s="3">
        <f>$B$39</f>
        <v>1.3866666666666667</v>
      </c>
      <c r="G47" s="3">
        <f>$B$39</f>
        <v>1.3866666666666667</v>
      </c>
      <c r="H47" s="8">
        <f>G47-($B$39-$B$40)/6</f>
        <v>1.2555555555555555</v>
      </c>
      <c r="I47" s="8">
        <f>H47-($B$39-$B$40)/6</f>
        <v>1.1244444444444444</v>
      </c>
      <c r="J47" s="8">
        <f>I47-($B$39-$B$40)/6</f>
        <v>0.9933333333333332</v>
      </c>
      <c r="K47" s="8">
        <f>J47-($B$39-$B$40)/6</f>
        <v>0.862222222222222</v>
      </c>
      <c r="L47" s="8">
        <f>K47-($B$39-$B$40)/6</f>
        <v>0.7311111111111108</v>
      </c>
      <c r="M47" s="8">
        <f>$B$40</f>
        <v>0.6</v>
      </c>
    </row>
    <row r="49" spans="1:13" ht="12.75">
      <c r="A49" s="10" t="s">
        <v>20</v>
      </c>
      <c r="B49" s="5">
        <f>B3</f>
        <v>150</v>
      </c>
      <c r="C49" s="5">
        <f>B49*(1+C46)</f>
        <v>169.07090464547676</v>
      </c>
      <c r="D49" s="5">
        <f aca="true" t="shared" si="1" ref="D49:M49">C49*(1+D46)</f>
        <v>190.56647198426597</v>
      </c>
      <c r="E49" s="5">
        <f t="shared" si="1"/>
        <v>214.794972089845</v>
      </c>
      <c r="F49" s="5">
        <f t="shared" si="1"/>
        <v>242.10386829686684</v>
      </c>
      <c r="G49" s="5">
        <f t="shared" si="1"/>
        <v>272.8848002074709</v>
      </c>
      <c r="H49" s="5">
        <f t="shared" si="1"/>
        <v>303.1612242304897</v>
      </c>
      <c r="I49" s="5">
        <f t="shared" si="1"/>
        <v>331.88865335948645</v>
      </c>
      <c r="J49" s="5">
        <f t="shared" si="1"/>
        <v>357.9650393636603</v>
      </c>
      <c r="K49" s="5">
        <f t="shared" si="1"/>
        <v>380.29482266675285</v>
      </c>
      <c r="L49" s="5">
        <f t="shared" si="1"/>
        <v>397.8606002336952</v>
      </c>
      <c r="M49" s="5">
        <f t="shared" si="1"/>
        <v>409.7964182407061</v>
      </c>
    </row>
    <row r="50" spans="1:13" ht="15.75">
      <c r="A50" s="9" t="s">
        <v>61</v>
      </c>
      <c r="B50" s="5"/>
      <c r="C50" s="5">
        <f aca="true" t="shared" si="2" ref="C50:M50">C49*(1-$B$4)</f>
        <v>126.80317848410758</v>
      </c>
      <c r="D50" s="5">
        <f t="shared" si="2"/>
        <v>142.9248539881995</v>
      </c>
      <c r="E50" s="5">
        <f t="shared" si="2"/>
        <v>161.09622906738375</v>
      </c>
      <c r="F50" s="5">
        <f t="shared" si="2"/>
        <v>181.57790122265013</v>
      </c>
      <c r="G50" s="5">
        <f t="shared" si="2"/>
        <v>204.66360015560318</v>
      </c>
      <c r="H50" s="5">
        <f t="shared" si="2"/>
        <v>227.37091817286728</v>
      </c>
      <c r="I50" s="5">
        <f t="shared" si="2"/>
        <v>248.91649001961486</v>
      </c>
      <c r="J50" s="5">
        <f t="shared" si="2"/>
        <v>268.47377952274525</v>
      </c>
      <c r="K50" s="5">
        <f t="shared" si="2"/>
        <v>285.2211170000646</v>
      </c>
      <c r="L50" s="5">
        <f t="shared" si="2"/>
        <v>298.39545017527144</v>
      </c>
      <c r="M50" s="5">
        <f t="shared" si="2"/>
        <v>307.34731368052957</v>
      </c>
    </row>
    <row r="51" spans="1:13" ht="12.75">
      <c r="A51" s="10" t="s">
        <v>50</v>
      </c>
      <c r="B51" s="5"/>
      <c r="C51" s="5">
        <f>C50*(1-C47)</f>
        <v>-49.030562347188265</v>
      </c>
      <c r="D51" s="5">
        <f aca="true" t="shared" si="3" ref="D51:M51">D50*(1-D47)</f>
        <v>-55.26427687543714</v>
      </c>
      <c r="E51" s="5">
        <f t="shared" si="3"/>
        <v>-62.290541906055054</v>
      </c>
      <c r="F51" s="5">
        <f t="shared" si="3"/>
        <v>-70.2101218060914</v>
      </c>
      <c r="G51" s="5">
        <f t="shared" si="3"/>
        <v>-79.13659206016658</v>
      </c>
      <c r="H51" s="5">
        <f t="shared" si="3"/>
        <v>-58.105901310843855</v>
      </c>
      <c r="I51" s="5">
        <f t="shared" si="3"/>
        <v>-30.97627431355205</v>
      </c>
      <c r="J51" s="5">
        <f t="shared" si="3"/>
        <v>1.789825196818343</v>
      </c>
      <c r="K51" s="5">
        <f t="shared" si="3"/>
        <v>39.29713167556452</v>
      </c>
      <c r="L51" s="5">
        <f t="shared" si="3"/>
        <v>80.23522104712863</v>
      </c>
      <c r="M51" s="5">
        <f t="shared" si="3"/>
        <v>122.93892547221184</v>
      </c>
    </row>
    <row r="52" spans="2:13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>
      <c r="A53" s="9" t="s">
        <v>72</v>
      </c>
      <c r="B53" s="5"/>
      <c r="C53" s="5">
        <f aca="true" t="shared" si="4" ref="C53:L53">C51/(1+$B$17)^C45</f>
        <v>-45.2397194649251</v>
      </c>
      <c r="D53" s="5">
        <f t="shared" si="4"/>
        <v>-47.049016488853404</v>
      </c>
      <c r="E53" s="5">
        <f t="shared" si="4"/>
        <v>-48.930673725433635</v>
      </c>
      <c r="F53" s="5">
        <f t="shared" si="4"/>
        <v>-50.88758511651492</v>
      </c>
      <c r="G53" s="5">
        <f t="shared" si="4"/>
        <v>-52.92276034295707</v>
      </c>
      <c r="H53" s="5">
        <f t="shared" si="4"/>
        <v>-35.85406612632018</v>
      </c>
      <c r="I53" s="5">
        <f t="shared" si="4"/>
        <v>-17.636011908132364</v>
      </c>
      <c r="J53" s="5">
        <f t="shared" si="4"/>
        <v>0.9402316111691733</v>
      </c>
      <c r="K53" s="5">
        <f t="shared" si="4"/>
        <v>19.047505671372516</v>
      </c>
      <c r="L53" s="5">
        <f t="shared" si="4"/>
        <v>35.88354504196656</v>
      </c>
      <c r="M53" s="5"/>
    </row>
    <row r="54" spans="1:13" ht="12.75">
      <c r="A54" s="9" t="s">
        <v>73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>
        <f>M51/(B17-B42)</f>
        <v>2285.3407567189533</v>
      </c>
      <c r="M54" s="5"/>
    </row>
    <row r="55" spans="1:13" ht="12.75">
      <c r="A55" s="9" t="s">
        <v>51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>
        <f>L54/(1+$B$17)^L45</f>
        <v>1022.0714408177139</v>
      </c>
      <c r="M55" s="5"/>
    </row>
    <row r="57" spans="1:10" ht="12.75">
      <c r="A57" s="9" t="s">
        <v>52</v>
      </c>
      <c r="B57" s="11">
        <f>SUM(C53:L53)+L55+Data!C4</f>
        <v>809.4228899690854</v>
      </c>
      <c r="H57" s="4"/>
      <c r="I57" s="4"/>
      <c r="J57" s="4"/>
    </row>
    <row r="58" spans="1:2" ht="12.75">
      <c r="A58" s="9" t="s">
        <v>53</v>
      </c>
      <c r="B58" s="12">
        <f>B57-B10</f>
        <v>452.4228899690854</v>
      </c>
    </row>
    <row r="59" spans="1:2" ht="12.75">
      <c r="A59" s="1" t="s">
        <v>74</v>
      </c>
      <c r="B59" s="6">
        <f>B58*10^9/Data!C73</f>
        <v>30161.525997939025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8.7109375" style="0" bestFit="1" customWidth="1"/>
    <col min="2" max="3" width="11.8515625" style="0" customWidth="1"/>
  </cols>
  <sheetData>
    <row r="1" ht="12.75">
      <c r="A1" s="1" t="s">
        <v>96</v>
      </c>
    </row>
    <row r="2" spans="2:3" ht="13.5" thickBot="1">
      <c r="B2" s="7">
        <f>Data!C3</f>
        <v>2009</v>
      </c>
      <c r="C2" s="7">
        <f>Data!D3</f>
        <v>2008</v>
      </c>
    </row>
    <row r="3" spans="1:3" ht="13.5" thickTop="1">
      <c r="A3" s="39" t="s">
        <v>41</v>
      </c>
      <c r="B3" s="49">
        <f>Data!C38*10^9/Data!C73</f>
        <v>6000</v>
      </c>
      <c r="C3" s="49">
        <f>Data!D38*10^9/Data!D73</f>
        <v>3800</v>
      </c>
    </row>
    <row r="4" spans="1:2" ht="12.75">
      <c r="A4" s="39" t="s">
        <v>42</v>
      </c>
      <c r="B4" s="3">
        <f>Data!C38/AVERAGE(Data!C22:D22)</f>
        <v>0.09584664536741214</v>
      </c>
    </row>
    <row r="5" spans="1:3" ht="12.75">
      <c r="A5" s="13" t="s">
        <v>108</v>
      </c>
      <c r="B5" s="3">
        <f>1-Data!C39/Data!C38</f>
        <v>0.8666666666666667</v>
      </c>
      <c r="C5" s="3">
        <f>1-Data!D39/Data!D38</f>
        <v>0.736842105263158</v>
      </c>
    </row>
    <row r="6" spans="1:2" ht="12.75">
      <c r="A6" s="13" t="s">
        <v>97</v>
      </c>
      <c r="B6" s="3">
        <f>B4*B5</f>
        <v>0.08306709265175719</v>
      </c>
    </row>
    <row r="7" ht="12.75">
      <c r="A7" s="13"/>
    </row>
    <row r="8" spans="1:3" ht="15.75">
      <c r="A8" s="13" t="s">
        <v>91</v>
      </c>
      <c r="B8" s="49">
        <f>Data!C39*10^9/Data!C73</f>
        <v>800</v>
      </c>
      <c r="C8" s="49">
        <f>Data!D39*10^9/Data!D73</f>
        <v>1000</v>
      </c>
    </row>
    <row r="9" spans="1:2" ht="12.75">
      <c r="A9" s="13" t="s">
        <v>92</v>
      </c>
      <c r="B9" s="8">
        <f>'Cash Flow Valuation'!B16</f>
        <v>0.095</v>
      </c>
    </row>
    <row r="10" spans="1:2" ht="12.75">
      <c r="A10" s="48" t="s">
        <v>43</v>
      </c>
      <c r="B10" s="49">
        <f>B8*(1+B6)/(B9-B6)</f>
        <v>72610.44176706825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Fulbright Economics Teaching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Thanh</dc:creator>
  <cp:keywords/>
  <dc:description/>
  <cp:lastModifiedBy>xthanh</cp:lastModifiedBy>
  <dcterms:created xsi:type="dcterms:W3CDTF">2009-04-16T03:17:13Z</dcterms:created>
  <dcterms:modified xsi:type="dcterms:W3CDTF">2014-05-07T09:21:06Z</dcterms:modified>
  <cp:category/>
  <cp:version/>
  <cp:contentType/>
  <cp:contentStatus/>
</cp:coreProperties>
</file>