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330" windowWidth="11100" windowHeight="6090" activeTab="10"/>
  </bookViews>
  <sheets>
    <sheet name="Intro" sheetId="15" r:id="rId1"/>
    <sheet name="BS" sheetId="8" r:id="rId2"/>
    <sheet name="IS" sheetId="16" r:id="rId3"/>
    <sheet name="CF" sheetId="17" r:id="rId4"/>
    <sheet name="Data" sheetId="6" r:id="rId5"/>
    <sheet name="Project" sheetId="18" r:id="rId6"/>
    <sheet name="Leverage" sheetId="1" r:id="rId7"/>
    <sheet name="FCF" sheetId="11" r:id="rId8"/>
    <sheet name="CADS DN" sheetId="12" r:id="rId9"/>
    <sheet name="CB_DATA_" sheetId="14" state="veryHidden" r:id="rId10"/>
    <sheet name="Project CF" sheetId="13" r:id="rId11"/>
  </sheets>
  <definedNames>
    <definedName name="CB_Block_00000000000000000000000000000001" localSheetId="9" hidden="1">"'635035310717526546"</definedName>
    <definedName name="CBWorkbookPriority" localSheetId="9" hidden="1">-1068408643</definedName>
    <definedName name="CBx_14a9df4d88dc4a33b92bef550e51cd23" localSheetId="9" hidden="1">"'CB_DATA_'!$A$1"</definedName>
    <definedName name="CBx_4a2413f577714ad2a92a4fdcf9a9c52b" localSheetId="9" hidden="1">"'Risk'!$A$1"</definedName>
    <definedName name="CBx_6de74114296b4f888e7481e15a89c556" localSheetId="9" hidden="1">"'Risk1'!$A$1"</definedName>
    <definedName name="CBx_c4a3d1b8c4164ae6909f7e5d15678e9c" localSheetId="9" hidden="1">"'Risk'!$A$1"</definedName>
    <definedName name="CBx_Sheet_Guid" localSheetId="9" hidden="1">"'14a9df4d-88dc-4a33-b92b-ef550e51cd23"</definedName>
    <definedName name="CBx_SheetRef" localSheetId="9" hidden="1">CB_DATA_!$A$14</definedName>
    <definedName name="CBx_StorageType" localSheetId="9" hidden="1">2</definedName>
  </definedNames>
  <calcPr calcId="144525"/>
</workbook>
</file>

<file path=xl/calcChain.xml><?xml version="1.0" encoding="utf-8"?>
<calcChain xmlns="http://schemas.openxmlformats.org/spreadsheetml/2006/main">
  <c r="P2" i="14" l="1"/>
  <c r="B11" i="17" l="1"/>
  <c r="C11" i="14" l="1"/>
  <c r="B11" i="13"/>
  <c r="B4" i="13"/>
  <c r="B3" i="13"/>
  <c r="C32" i="13" s="1"/>
  <c r="B4" i="11"/>
  <c r="B51" i="1"/>
  <c r="C32" i="1"/>
  <c r="B32" i="1"/>
  <c r="C14" i="6"/>
  <c r="D14" i="6" s="1"/>
  <c r="K24" i="6"/>
  <c r="C41" i="1" s="1"/>
  <c r="K23" i="6"/>
  <c r="K22" i="6"/>
  <c r="C3" i="1"/>
  <c r="C7" i="1" s="1"/>
  <c r="C2" i="1"/>
  <c r="B15" i="18"/>
  <c r="B10" i="13" s="1"/>
  <c r="B12" i="18"/>
  <c r="B14" i="17"/>
  <c r="B7" i="11" s="1"/>
  <c r="B22" i="17"/>
  <c r="B10" i="17"/>
  <c r="B9" i="17"/>
  <c r="B8" i="17"/>
  <c r="B7" i="17"/>
  <c r="B6" i="17"/>
  <c r="B11" i="14"/>
  <c r="A11" i="14"/>
  <c r="B23" i="17"/>
  <c r="B7" i="16"/>
  <c r="B10" i="16" s="1"/>
  <c r="B12" i="16" s="1"/>
  <c r="B3" i="11" s="1"/>
  <c r="B5" i="11" s="1"/>
  <c r="C5" i="8"/>
  <c r="D14" i="13"/>
  <c r="E14" i="13" s="1"/>
  <c r="F14" i="13" s="1"/>
  <c r="G14" i="13" s="1"/>
  <c r="H14" i="13" s="1"/>
  <c r="I14" i="13" s="1"/>
  <c r="J14" i="13" s="1"/>
  <c r="K14" i="13" s="1"/>
  <c r="L14" i="13" s="1"/>
  <c r="H17" i="13"/>
  <c r="I17" i="13"/>
  <c r="J17" i="13"/>
  <c r="K17" i="13"/>
  <c r="L17" i="13"/>
  <c r="B6" i="12"/>
  <c r="B8" i="11"/>
  <c r="C4" i="8"/>
  <c r="C9" i="8"/>
  <c r="B9" i="8"/>
  <c r="B15" i="8"/>
  <c r="C15" i="8"/>
  <c r="B22" i="8"/>
  <c r="C22" i="8"/>
  <c r="C26" i="8"/>
  <c r="B7" i="1"/>
  <c r="B15" i="1"/>
  <c r="B24" i="1"/>
  <c r="B33" i="1"/>
  <c r="B34" i="1" s="1"/>
  <c r="B35" i="1" s="1"/>
  <c r="B36" i="1" s="1"/>
  <c r="B42" i="1"/>
  <c r="C9" i="6"/>
  <c r="D9" i="6" s="1"/>
  <c r="C10" i="6"/>
  <c r="D10" i="6" s="1"/>
  <c r="I10" i="6"/>
  <c r="C11" i="6"/>
  <c r="D11" i="6" s="1"/>
  <c r="I11" i="6"/>
  <c r="C12" i="6"/>
  <c r="D12" i="6" s="1"/>
  <c r="I12" i="6"/>
  <c r="C13" i="6"/>
  <c r="D13" i="6" s="1"/>
  <c r="I13" i="6"/>
  <c r="I14" i="6"/>
  <c r="I21" i="6"/>
  <c r="K21" i="6" s="1"/>
  <c r="C14" i="8"/>
  <c r="C12" i="8"/>
  <c r="C6" i="1" l="1"/>
  <c r="B6" i="1"/>
  <c r="B23" i="1"/>
  <c r="S6" i="1" s="1"/>
  <c r="V12" i="1" s="1"/>
  <c r="V13" i="1" s="1"/>
  <c r="B50" i="1"/>
  <c r="B5" i="12"/>
  <c r="C23" i="1"/>
  <c r="C50" i="1"/>
  <c r="B41" i="1"/>
  <c r="C30" i="8"/>
  <c r="B14" i="8"/>
  <c r="D17" i="13"/>
  <c r="F17" i="13"/>
  <c r="C15" i="13"/>
  <c r="C17" i="13"/>
  <c r="E17" i="13"/>
  <c r="G17" i="13"/>
  <c r="B2" i="1"/>
  <c r="B14" i="1" s="1"/>
  <c r="C33" i="13"/>
  <c r="B9" i="12"/>
  <c r="B11" i="11"/>
  <c r="B6" i="13"/>
  <c r="B7" i="13" s="1"/>
  <c r="B23" i="13" s="1"/>
  <c r="V2" i="1"/>
  <c r="C51" i="1"/>
  <c r="C52" i="1" s="1"/>
  <c r="C53" i="1" s="1"/>
  <c r="C54" i="1" s="1"/>
  <c r="C55" i="1" s="1"/>
  <c r="C33" i="1"/>
  <c r="C34" i="1" s="1"/>
  <c r="C15" i="1"/>
  <c r="C42" i="1"/>
  <c r="C24" i="1"/>
  <c r="C35" i="1"/>
  <c r="C36" i="1" s="1"/>
  <c r="C37" i="1" s="1"/>
  <c r="C14" i="1"/>
  <c r="V3" i="1" s="1"/>
  <c r="B16" i="17"/>
  <c r="B14" i="16"/>
  <c r="B13" i="16"/>
  <c r="B9" i="11"/>
  <c r="B13" i="11" s="1"/>
  <c r="B7" i="12"/>
  <c r="B43" i="1"/>
  <c r="B44" i="1" s="1"/>
  <c r="S4" i="1"/>
  <c r="V9" i="1" s="1"/>
  <c r="V10" i="1" s="1"/>
  <c r="B25" i="1"/>
  <c r="B26" i="1" s="1"/>
  <c r="S3" i="1" l="1"/>
  <c r="S9" i="1" s="1"/>
  <c r="S10" i="1" s="1"/>
  <c r="B16" i="1"/>
  <c r="B17" i="1" s="1"/>
  <c r="B37" i="1"/>
  <c r="V15" i="1"/>
  <c r="V16" i="1" s="1"/>
  <c r="B52" i="1"/>
  <c r="B53" i="1" s="1"/>
  <c r="B54" i="1" s="1"/>
  <c r="B55" i="1" s="1"/>
  <c r="W16" i="1" s="1"/>
  <c r="B15" i="16"/>
  <c r="B3" i="12"/>
  <c r="B29" i="8"/>
  <c r="B26" i="8" s="1"/>
  <c r="D33" i="13" s="1"/>
  <c r="B5" i="17"/>
  <c r="C16" i="1"/>
  <c r="C17" i="1" s="1"/>
  <c r="C16" i="13"/>
  <c r="C19" i="13" s="1"/>
  <c r="C18" i="13"/>
  <c r="D15" i="13" s="1"/>
  <c r="B33" i="13"/>
  <c r="B18" i="1"/>
  <c r="B19" i="1" s="1"/>
  <c r="T3" i="1" s="1"/>
  <c r="T10" i="1" s="1"/>
  <c r="B25" i="17"/>
  <c r="B5" i="8" s="1"/>
  <c r="B4" i="8" s="1"/>
  <c r="B12" i="8" s="1"/>
  <c r="B11" i="12"/>
  <c r="B22" i="13" s="1"/>
  <c r="B24" i="13" s="1"/>
  <c r="B27" i="1"/>
  <c r="B28" i="1" s="1"/>
  <c r="T6" i="1" s="1"/>
  <c r="V4" i="1"/>
  <c r="C43" i="1"/>
  <c r="C44" i="1" s="1"/>
  <c r="V5" i="1"/>
  <c r="C8" i="1"/>
  <c r="C9" i="1" s="1"/>
  <c r="C27" i="13"/>
  <c r="C25" i="1"/>
  <c r="C26" i="1" s="1"/>
  <c r="V6" i="1"/>
  <c r="B45" i="1"/>
  <c r="S5" i="1"/>
  <c r="S12" i="1" s="1"/>
  <c r="S13" i="1" s="1"/>
  <c r="B8" i="1"/>
  <c r="B9" i="1" s="1"/>
  <c r="B30" i="8" l="1"/>
  <c r="D34" i="13"/>
  <c r="C18" i="1"/>
  <c r="C19" i="1" s="1"/>
  <c r="W3" i="1" s="1"/>
  <c r="D16" i="13"/>
  <c r="D19" i="13" s="1"/>
  <c r="D27" i="13" s="1"/>
  <c r="D18" i="13"/>
  <c r="E15" i="13" s="1"/>
  <c r="D32" i="13"/>
  <c r="B32" i="13"/>
  <c r="B46" i="1"/>
  <c r="T4" i="1" s="1"/>
  <c r="B10" i="1"/>
  <c r="B11" i="1" s="1"/>
  <c r="T5" i="1" s="1"/>
  <c r="D28" i="13"/>
  <c r="C28" i="13"/>
  <c r="C10" i="1"/>
  <c r="C11" i="1" s="1"/>
  <c r="C27" i="1"/>
  <c r="C28" i="1" s="1"/>
  <c r="C45" i="1"/>
  <c r="C46" i="1" s="1"/>
  <c r="E16" i="13" l="1"/>
  <c r="E19" i="13" s="1"/>
  <c r="E18" i="13"/>
  <c r="F15" i="13" s="1"/>
  <c r="W5" i="1"/>
  <c r="T13" i="1" s="1"/>
  <c r="W6" i="1"/>
  <c r="W13" i="1"/>
  <c r="W4" i="1"/>
  <c r="W10" i="1"/>
  <c r="E27" i="13" l="1"/>
  <c r="E28" i="13"/>
  <c r="F18" i="13"/>
  <c r="G15" i="13" s="1"/>
  <c r="F16" i="13"/>
  <c r="F19" i="13" s="1"/>
  <c r="G18" i="13" l="1"/>
  <c r="H15" i="13" s="1"/>
  <c r="G16" i="13"/>
  <c r="G19" i="13" s="1"/>
  <c r="F27" i="13"/>
  <c r="F28" i="13"/>
  <c r="H18" i="13" l="1"/>
  <c r="I15" i="13" s="1"/>
  <c r="H16" i="13"/>
  <c r="H19" i="13" s="1"/>
  <c r="G28" i="13"/>
  <c r="G27" i="13"/>
  <c r="H28" i="13" l="1"/>
  <c r="H27" i="13"/>
  <c r="I18" i="13"/>
  <c r="J15" i="13" s="1"/>
  <c r="I16" i="13"/>
  <c r="I19" i="13" s="1"/>
  <c r="I27" i="13" l="1"/>
  <c r="I28" i="13"/>
  <c r="J18" i="13"/>
  <c r="K15" i="13" s="1"/>
  <c r="J16" i="13"/>
  <c r="J19" i="13" s="1"/>
  <c r="J28" i="13" l="1"/>
  <c r="J27" i="13"/>
  <c r="K18" i="13"/>
  <c r="L15" i="13" s="1"/>
  <c r="K16" i="13"/>
  <c r="K19" i="13" s="1"/>
  <c r="K27" i="13" l="1"/>
  <c r="K28" i="13"/>
  <c r="L18" i="13"/>
  <c r="L16" i="13"/>
  <c r="L19" i="13" s="1"/>
  <c r="L28" i="13" l="1"/>
  <c r="L27" i="13"/>
</calcChain>
</file>

<file path=xl/sharedStrings.xml><?xml version="1.0" encoding="utf-8"?>
<sst xmlns="http://schemas.openxmlformats.org/spreadsheetml/2006/main" count="257" uniqueCount="193">
  <si>
    <t>EBIT</t>
  </si>
  <si>
    <t>EPS</t>
  </si>
  <si>
    <t>Số liệu lợi nhuận, cổ tức và giá cổ phiếu, 1999-2004</t>
  </si>
  <si>
    <t>Giá cổ phiếu</t>
  </si>
  <si>
    <t>Lợi nhuận</t>
  </si>
  <si>
    <t>Cổ tức</t>
  </si>
  <si>
    <t xml:space="preserve"> trên thị trường</t>
  </si>
  <si>
    <t>sau thuế</t>
  </si>
  <si>
    <t>trên 1 CP</t>
  </si>
  <si>
    <t>OTC</t>
  </si>
  <si>
    <t>(EBIT)</t>
  </si>
  <si>
    <t>(EPS)</t>
  </si>
  <si>
    <t>Cao</t>
  </si>
  <si>
    <t>Thấp</t>
  </si>
  <si>
    <t>2004 (ước)</t>
  </si>
  <si>
    <t>Điểm bàng quan</t>
  </si>
  <si>
    <t>Số cổ phần</t>
  </si>
  <si>
    <t>Lãi suất</t>
  </si>
  <si>
    <t>EBT</t>
  </si>
  <si>
    <t>Thuế 28%</t>
  </si>
  <si>
    <t>Lợi nhuận sau thuế</t>
  </si>
  <si>
    <t>EBIT 2006</t>
  </si>
  <si>
    <t>Doanh thu</t>
  </si>
  <si>
    <t>Giá vốn hàng bán</t>
  </si>
  <si>
    <t>Lợi nhuận gộp</t>
  </si>
  <si>
    <t>Chi phí bán hàng và quản lý</t>
  </si>
  <si>
    <t>Chi phí tài chính</t>
  </si>
  <si>
    <t>Lợi nhuận từ HĐKD</t>
  </si>
  <si>
    <t>Thu nhập khác</t>
  </si>
  <si>
    <t>Lợi nhuận trước thuế</t>
  </si>
  <si>
    <t>Thuế TNDN</t>
  </si>
  <si>
    <t>Khấu hao</t>
  </si>
  <si>
    <t>TÀI SẢN NGẮN HẠN</t>
  </si>
  <si>
    <t>Tiền và tương đương tiền</t>
  </si>
  <si>
    <t>Hàng tồn kho</t>
  </si>
  <si>
    <t>Tài sản ngắn hạn khác</t>
  </si>
  <si>
    <t>Nguyên giá</t>
  </si>
  <si>
    <t>Giá trị hao mòn lũy kế</t>
  </si>
  <si>
    <t>TỔNG TÀI SẢN</t>
  </si>
  <si>
    <t>NỢ PHẢI TRẢ</t>
  </si>
  <si>
    <t>Nợ ngắn hạn</t>
  </si>
  <si>
    <t>Vay nợ ngắn hạn</t>
  </si>
  <si>
    <t>Phải trả người bán</t>
  </si>
  <si>
    <t>Người mua trả tiền trước</t>
  </si>
  <si>
    <t>Các khoản phải thu ngắn hạn</t>
  </si>
  <si>
    <t>Phải trả người lao động</t>
  </si>
  <si>
    <t>Chi phí phải trả</t>
  </si>
  <si>
    <t>Phải trả khác</t>
  </si>
  <si>
    <t>Nợ dài hạn</t>
  </si>
  <si>
    <t>Phải trả dài hạn khác</t>
  </si>
  <si>
    <t>Vay nợ dài hạn</t>
  </si>
  <si>
    <t>Dự phòng trợ cấp thôi việc</t>
  </si>
  <si>
    <t>VỐN CHỦ SỞ HỮU</t>
  </si>
  <si>
    <t>Vốn cổ phần</t>
  </si>
  <si>
    <t>Thặng dư vốn cổ phần</t>
  </si>
  <si>
    <t>Lợi nhuận chưa phân phối</t>
  </si>
  <si>
    <t>TỔNG NỢ VÀ VỐN CSH</t>
  </si>
  <si>
    <t>LƯU CHUYỂN TIỀN TỆ TỪ HĐKD</t>
  </si>
  <si>
    <t>Khấu hao tài sản cố định</t>
  </si>
  <si>
    <t>NCF từ hoạt động kinh doanh</t>
  </si>
  <si>
    <t>LƯU CHUYỂN TIỀN TỆ TỪ HĐĐT</t>
  </si>
  <si>
    <t>Mua sắm TSCĐ</t>
  </si>
  <si>
    <t>Thanh lý TSCĐ</t>
  </si>
  <si>
    <t>LƯU CHUYỂN TIỀN TỆ TỪ HĐTC</t>
  </si>
  <si>
    <t>Thu từ phát hành cổ phần</t>
  </si>
  <si>
    <t>Trả nợ gốc</t>
  </si>
  <si>
    <t>Vay nợ</t>
  </si>
  <si>
    <t>Trả cổ tức</t>
  </si>
  <si>
    <t>NCF từ hoạt động đầu tư</t>
  </si>
  <si>
    <t>NCF từ hoạt động tài chính</t>
  </si>
  <si>
    <t>TÀI SẢN CỐ ĐỊNH</t>
  </si>
  <si>
    <t>EBIT 2004</t>
  </si>
  <si>
    <t>Thuế suất</t>
  </si>
  <si>
    <t>Đầu tư ròng</t>
  </si>
  <si>
    <t>Thay đổi VLĐ</t>
  </si>
  <si>
    <t>FCFF</t>
  </si>
  <si>
    <t>NGÂN LƯU TỰ DO DOANH NGHIỆP</t>
  </si>
  <si>
    <t>NGÂN LƯU SẴN CÓ ĐỂ TRẢ NỢ</t>
  </si>
  <si>
    <t>Lợi nhuận ròng NI, 2004</t>
  </si>
  <si>
    <t>Ngân lưu sẵn có để trả nợ</t>
  </si>
  <si>
    <t>EBIT dự án</t>
  </si>
  <si>
    <t>CF dự án</t>
  </si>
  <si>
    <t>Khấu hao dự án</t>
  </si>
  <si>
    <t>Lịch trả nợ</t>
  </si>
  <si>
    <t>Dư nợ đầu kỳ</t>
  </si>
  <si>
    <t>Nợ</t>
  </si>
  <si>
    <t>Kỳ hạn</t>
  </si>
  <si>
    <t>Trả lãi</t>
  </si>
  <si>
    <t>Dư nợ cuối kỳ</t>
  </si>
  <si>
    <t>Trả nợ</t>
  </si>
  <si>
    <t>CADS doanh nghiệp</t>
  </si>
  <si>
    <t>DSCR DN</t>
  </si>
  <si>
    <t>DSCR dự án</t>
  </si>
  <si>
    <t>ROA</t>
  </si>
  <si>
    <t>ROE không vay nợ</t>
  </si>
  <si>
    <t>ROE có nợ</t>
  </si>
  <si>
    <t>-</t>
  </si>
  <si>
    <t>Dự án</t>
  </si>
  <si>
    <t>DN</t>
  </si>
  <si>
    <t>TÁC ĐỘNG CỦA DỰ ÁN ĐẦU TƯ</t>
  </si>
  <si>
    <t>BẢNG CÂN ĐỐI KẾ TOÁN</t>
  </si>
  <si>
    <t>BÁO CÁO KẾT QUẢ HOẠT ĐỘNG KINH DOANH</t>
  </si>
  <si>
    <t>Hoạt động kinh doanh hiện hữu không có tăng trưởng</t>
  </si>
  <si>
    <t>BẢNG TÍNH EXCEL</t>
  </si>
  <si>
    <t>DỆT PHƯƠNG ĐÔNG</t>
  </si>
  <si>
    <t>PHÂN TÍCH NGHIÊN CỨU TÌNH HUỐNG</t>
  </si>
  <si>
    <t>Bảng tính này đi cùng với Nghiên cứu tình huống Dệt Phương Đông.</t>
  </si>
  <si>
    <t>Tốc độ tăng</t>
  </si>
  <si>
    <t>trước lãi vay</t>
  </si>
  <si>
    <t>và thuế</t>
  </si>
  <si>
    <t>(NI)</t>
  </si>
  <si>
    <t>(DPS)</t>
  </si>
  <si>
    <t>Số lượng</t>
  </si>
  <si>
    <t>cổ phần</t>
  </si>
  <si>
    <t>(triệu cp)</t>
  </si>
  <si>
    <t>Tốc độ tăng b/q 2000-04</t>
  </si>
  <si>
    <t>(%/năm)</t>
  </si>
  <si>
    <t>(triệu VNĐ)</t>
  </si>
  <si>
    <t>(VNĐ/cp)</t>
  </si>
  <si>
    <t>lưu hành</t>
  </si>
  <si>
    <t>Tốc độ tăng cao</t>
  </si>
  <si>
    <t>Tốc độ tăng chậm</t>
  </si>
  <si>
    <t>Suy giảm</t>
  </si>
  <si>
    <t>KỊCH BẢN TĂNG TRƯỞNG</t>
  </si>
  <si>
    <t>Tỷ VNĐ</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</si>
  <si>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</si>
  <si>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</si>
  <si>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</si>
  <si>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</si>
  <si>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</si>
  <si>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</si>
  <si>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</si>
  <si>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</si>
  <si>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</si>
  <si>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</si>
  <si>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</si>
  <si>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</si>
  <si>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14a9df4d-88dc-4a33-b92b-ef550e51cd23</t>
  </si>
  <si>
    <t>CB_Block_0</t>
  </si>
  <si>
    <t>㜸〱敤㕣㕢㙣ㅣ㔷ㄹ摥ㄹ敦慣㜷搶㜶散挶㘹搳愴㈵㜵㘹㑢㉦㡥戶㜱㥡昴㐲〹愹㉦㜵㘲㥡搴㙥搶㐹愹愰㙣挷扢㘷散㐹㜶㘶㥤㤹㔹㈷㠶〰攱㔶敥慡㈸て㔰慥ㄵ㐲〸㕥㤰攰愱攲㔲ㅥ㉡㈱㠱㔰㡢㄰㐲㐸㍣㈰㤵㠲攰〱㠴㈲昱搲〷㄰㝣摦㤹㤹摤搹㕤敦搸搹戶攰㈰㑦戲㝦捥㥣晢㌹晦昵晣晦㤹愴㤴㔴㉡昵㙦㍣晣㤷㑦㥡㠹敢ぢ慢㥥㉦散晣㘴戵㔲ㄱ㈵摦慡㍡㕥㝥摣㜵㡤搵㘳㤶攷昷愰㐲愶㘸愱摣搳㡡㥥昵㕥㤱㉤慥〸搷㐳㈵㉤㤵捡㘶㜵ㄵ攵散㠴扦愱攸㐵㘷慢晥㌴㐰㘱㜲㘲㜶攱㌴㝡㉤昸㔵㔷散ㅤ㌹ㄵ戴㍤㌴㌶㤶ㅦ换敦扦攷㘰㝥摦摥㤱挹㕡挵慦戹攲㤰㈳㙡扥㙢㔴昶㡥捣搵ㄶ㉡㔶改㈱戱㍡㕦㍤㈳㥣㐳㘲㘱摦㕤ぢ挶㠱㝢挷づㅣ㍣㘸摥㜷摦扤晤ㄸ㌹㜵㝣㜲㘲捥ㄵ愶昷晡㜴愹㜱挲〷愶㐴挹攲捡㠴㜰㉤㘷㌱㍦㌹㠱扦戱搹攳敤㥥㝣㘱㐹〸㥦㈳ぢ㔷㌸㈵攱改㘸搸㘷㡦㝢㕥捤㕥收搶改昶㌴ㄶ㕡㌲㍣㕦戳㈷㐵愵愲摢㔱慦㔹㝢ㄶ㍢㔷㌱㔶晢敤㠲㜰㍣换户㔶㉣㝦㌵㘳捦愳愳昲㠰㝤搲ㄳ㈷っ㘷㔱㍣㙣搸㐲戳㡦搴慣㜲㍡㜸㔲㍤户㐶㕤挴㈷㈶㔷㥦ㅦ昷散挹㈵挳㤵㌳昲戸㉦〹㜵愷摤㔲㜳摤㥢㍡昷换愹换ㄱ搸攷㉤㥤敢愱攴㤴攱搶㙢㡥㜶慥ㄹ㉥扥㜹〶㜷㜶慥ㅦ摢愳收㌶户㜷㙥㈳户戲戹戶搲ㄷ㔲户摣㔱㉣㐶捦㄰昴ㄲ㘴〹㠸㐰㍤㐷搰㐷搰て愰愴晦〱ㅥ㠹㌷㘴㤱㕡㌴搴攲㠲㕡㉣愹挵戲㕡ㄴ㙡搱㔴㡢㡢㙡㜱㐹㉤㕡㙡昱戴㕡㍣㠳㍡搱㤳敤敤㔵挳攷㠵挱改㍦晥晡换晦㝡昸愹搹慢敥㝥攰昴搳扢晡户愱搲㈳攱愴愶㕣攳ㅣ㐸慤㐱挴晢昳晢昸㘷㝤愶〰㑦㤸〷捤㝢捣戱戱昲挱㝤挶㕤㠶挶㘵㈵㈰扦㠹㔰㠶㔰户摦㝣搴㜲捡搵㜳ㄲ㜷搷㑦ㄸ㥥㘸㙣摣㘸㔸㌶㔱慤㌹㘵敦扡戵ぢぢ扥攱㡢摤慤㘵㡤㑥摡㥡ㄵ挰㔶挲㤳攳敤㘹㙤㜶捡愸搴挴昸㜹㉢㈸㝥㔳㑢戱㍤攷㔶ㄷ㍡㤷㑥扢攲㙣扤戴㙤㐶攳㄰㘹㉢戲敦戶㔵〶㐵挱扣㐶㈶㤷慡㥥㜰攴昴㐶敤㌹慢㜴㐶戸〵㐱㠱㈸捡㜲愹㔷戳㈸攴晡搱㔹〷ぢ〵户㤶摦ㅣ捦㌵ㅦ㍣敦㠳㤹㐵ㄹ昳㕤ㄶ慥扦㍡㙦㉣㔴挴㌵㑤㔵㠲㌱㔱戰慢㈹㝢扡㕡慡㜹㤳㔵挷㜷慢㤵收㤲昱昲㡡〱㐹㔳㍥㕥㉤㡢㜴㍡㈵㠵〲挴㙤㑦㡦愲愴敥攸捣ぢㄲㄱ㌱ㄴ㤳㤱慦㙤㈶扢晣〹慣づ慢愸〸搲愴㝡昳㍡㥤㜱扥㔲挶㈴㜰㘰㙣㑤搴ㅥㅣ昴戶㜵扡慤㘳敥㡤慤慣慡挳攱敡ㅦ㕣ㄱ㡥㝦搴㜰捡ㄵ攱㈶敡㍥㠵㌳搲〷〱戴㑢㄰〸ㅤ㜷㡦㡡㑥㌹慦慣㙡攷慣戲扦㤴㔹ㄲ搶攲㤲㡦㍣攸挷㙣㤶㕢摢昶攸㔷㈱㑢摦㑥㌰っ㤰换愵㌲㍢㔸㈹㤳挳㤳搲㈸㥤ㄲ㜸戹㐹㤰戳㕤ㄳ㉦昷㥢搳㔶挵ㄷ㠱㔰ㅥ㌴㠱㤱㐰慢㐹昴つ㤰㐴㕤愳ㄴ㈸㡣ㅤ收㈴愸搴戰ㅣ㝦戵挱户㙤㕣ㄲ㄰搱㤶㉣搸㜴戲㠰愲愰㔹ㅥ㈴昰ㅡ㠸愶㐵ㅡ㈴㔷㡥ㄱㄱ搹㈰㐱戳愳攷㘶㈲㘳晤〴ㄹ㠱晡㜱㈲㘴敤㝤㥤㘵〴㠹扤㥤㐸搹愸㈳㍦㙥㐹戳戵㉣昹㐰㥡㕤㡤㡤搳慦㈱搸㐹㜰㉤挱㉥〰攵捦㤰㜰㤴㜲㐸㌷㍦晡㜵㜸搷慦㈷㜸ㄳ〰攴㤳㑥㤹ㄳ㡡㉡摡㔰ㅢ戱㈳㔹㙦〰㜶戲㌴㡡〳㔱㐴换戸㙥㘷づ搸ㄲ搱愱搵戹㌹㜴㙤㕡敡搸户㜴愶捤昸㜲㐸㤱〹㔵攳㙢㕤愷㙡㝣㈳㔸戵㑢扤㜵〳㥡敡㈳〴㌷〲〴㡡㠵挶敥挶慣㜹㥡㤳㔷㠴㐹ㄴㄸ㐲㕤㉡昷㤰㠸㘹晥㈷〸戸戶愳换㤶晤㑣㔳㜰搴扣攲敤攷扤㥤㜹㍢㐴㝡㡢捥摣搲㌹昴ㄴ㕤愶〵晤㘶戰㤷昲晢㡥晡攵㘶ㄴ敢户㄰扣〵愰㐵扦昰攴㝤戹㕥〲㘹ㄲ摢㌱捣㙤愷挷㐵㕡戸昳慢换㐲㙡㥦㝥㜳摥㜰ㄷ㠵て敦挵捣ㄴ散攰慡敢㡡ちづ戴㘵㤹挱戳换捥收㑣㙦摡慤摡捣摦戲㡦扤㉢㐲㌱愴搳㙡㑦慡挵㍥㑥戰㌳㘳晥愶ㄸ攵㔰晦摥搵㔹㐸挴ㅡ㌵㤳ㄷ摢㈵㥦㉤户㈴㐹ㄷ㤲攴㌶㙣慢㝥㍢〰愴㠴昲摢㡥ㄲ㘵㤴搵昶捡㙡捤搶㉡扤㝢〹㈷㤳ㄶ晦㘱㥢ㅣ改ぢ㥣戵ㄳ昰ㅤ㜸〳㜶挱戲敢挲愲捦㥥ㄳ㙥〹㝥〵慢㈲㜲㠱㑢㤶愲㘶㑢㔶㕣㈱戲愲愷愷敤㉣㥤攰㕢㤳㜴搲㈲㈵ㄲ戹㍤戱㌰攱ㅣ摥㈰㉡扡㈰㈹㔴ㄲ摣㐲㜵〹㐴捡㘳摤㉤ㄱ搳㠵㠸挹㘳攳昴㍢〹昶ㄱ㡣〱㘸扦㠴愴搹攸挶㌳㄰搶扢㐲㜷㜶戱㤸捡ㄲつ搲㍤昸㔲㐷㘱㜵㠰挳ㅣ㈴戸ㅢ愰挵晣愱昳㌱㠱㄰㈵捡㘳㠴㐸㙢㐹㌷㑦㔹攲ㅣ㘹㘰㥢㠹愰搲㘴捤昳慢㌶愳㑡〳收㔴昵攱慡㍦㘵㜹换㠸㐲つ㥢㘱攲搱㈵攱㠰扡㕣搸㍥㉤㜹搵攵㘵㔱搶捤㐲戵〶搱㌶㌳戵ㄹづ攵㔸ㅦ㙣㐹㜹㉥㔷ㄵ㍣摤㥤㡤搱㠵㈲㑦挴昰戵搲ㄳ扢㈱捦㌷て㝤㠳㡤ㅤ㥤户晣㡡攸㌳〳愶㘳㍡㙢㘲ㄷㄱ㌵㈸昷㥡昳㑢慥㄰㔳〳收ㄱ搷㉡㔷㉣㐷㄰ㄹ戰㌱ㄹ愸㍢㈶ㄶㄱ㈱㤸慢㌲晥㔷㜵〶捣㜹搷㜰扣㘵㠳挱挴搵敤㑤㙦㌲㈴愲㤹ㄳ㤶攳㘱ㄸ㠹㐵愶〷捤挲㔲昵ㅣ㘲戵㌵摢㌹㘲㉣㝢㥢〲㉢㈴晡攰㤱愸㔱㔴㐵㔵㤵慣㥡敤ㄶ㍦㍣㤰愷㔲晢昱㑢ㄳ㐸㕣愵㌴晡换ㄳ戴㌷敤晡㌰㍥㐳㍢㥤㜳敡㐷攴愸㥥搹㤳㈸㠵挹愹晡扤㙣㜳ㅦ挰捣㤱㤳㌳㡤愸摣㙢㠹㔶㙢㜴昰㈷㠸㜸㐹ㄵ昵ㄸ〸摤㜳摢〲㑡㘱ㅥ〹〷っ〸㠴昳慤㤵晡㜲愶慣㐳攲摢搶㐸㑥㈳㠸搴㙦ㅥ㌳ㄶ㐴〵愱㘸摢昰户〵㉦戴㘲㙤愳攲㠵㘵㤳㔵摢㌶㐸㔹愴捡㐲挹㈰〱㡦搷晣敡㜱换搱㑤〰㐹㝥㘱㤶㜱ㅥ㔹挶㜹㤹搵㙦㥥㘰㔴㔰愶搹㔷㜵搱㜰㉤㝦挹戶㑡㔹扥㌰㜲户㈹㐸ㄲ㍣㑥挱ㅢ㍤㤱挸ㄸ㘹㌱收㑦挲㘲昳昲挰㜶ㅥ㘲㤴㕢㐷散㠳㜰㔵㈵㠳㍦㑡㤷㝥㈵挸ㄷ改㈴搵敦㐷㙦㥡扣ㄶ〱㠹㈳㥦㑢搱攵㡢㑢ㅦ㐴㑥攰㤶㈳搶ㄳ㐸〴づ挱㤸㡣愷㜷㍢㘳㥥㜴㉣ㅦ搸㈳挶愶㉤㝦捡〳捡〱㤰㤴愷摢摤ㄲ慢戱㐶愳㜵愵㜰㐳㝢㔱㤳㤶搸搳㕥ㅥ㔷ㅢ㌷慦㔱ㅣ㈸㤴㤸ㅥ㔹慦㤲㔴㉣㙢捣㜱㌳㘹ㅡ㐵敡敤㐸搹㈸㐹㕥搳挶扥㔳㠸扣〶扤㈴㘹㈶愵ㅦ㤲㠴㠲ㄸ㉦愹〳㉡㡡敥晡㘴昲㠸〵㙢㘸〲攴愸愶㠲扣㠱㌰ㅡ㌸㠳ㅢ㈷㘵㤱ぢ摦挰摦摢挲攴㙣捤㙦㉡㌱捥て㠷㈵攳㤵捡慣〳㈳愱㘴戸攵㑤挲搲㔸㕢愰㘰㈴㜷㜶慢晣㠳敤㡤㌱㘲挸㠶㡣㠸㈴戸㠱挱㠶㘰慥㔸㌰㤵挶搹〰户扡㥥㥤攵摢㜱㘱㌸ㄲ〳〵扦㍣㈵㔶愴ㄵ搶㌰攴㠷㘵㠳晡㘱㔱捡㔱摤ㅣ㕦昰愰搱㝤捡昱㌰㈵ㄹ㕣㌷㑦搰㉢㠵晢ぢ㄰扢㘱㙡慥攴㈳慡㕢敦㠰〷㠳捤㠳ㅤ散㐸㄰㌵愱㜱㐶〹㥡㐹㈰摣收㐵㤰㜷扡挴㈸〴愹㈹㥦扦ㅦ㔶扥昴っ㥦敦ㅣ㑥㐵㠹㤰㠹ㄸ改㑡㌰ㅥ㠰摣㜸㔰㤲㕣㌴ㅣ挵捡〳挹㈶㠵㔶㝦㤴㐷ぢ㘳㠰ㄶ㥦敢攳〲て挳㔸㠳㘴㥢ち㉥戸昹ㄶ戴㘹㘵㜵㥢㌹攳㤴㉡戵戲㤰慡㌸㤲搵㔲㈳㙦ち㝣挹扢㝦〱㌷㈵散㑢戸㈹㌳㌸㐹㜱挹㐴㔲昷㘶户晥㜶㌴㤷㐲づ㝤〴戲㡤戱挷〴慦㥣㡣㠵戵㕤㔱愰㜹戸扤㜱㜷㐱摥㥢㠳㐸㙢换愲㉣㍢㠶慢㜸昵〰戲攴戶㔸戵㘳搵㘳㔵㥡散戱慣愳㔶㤰戵㈹㜰㠴㜵〶〲㉦㤳㠱㌱搲㈵㜷戰㤳搴愵㌰戰㝢改㠳昲㌵㜵改㜰㘸㝣㈸っ敦昲㄰㤴挲慥㠲㤱㘸㙦慢つ愳㕢㘱攰㤷㠶户晥〰㠰挲〸㌰つ㕡搴っっ㥣〹愴搷㌷㜰ㄸ㡢㑣〸㡥挶攳愸っ㔱づ挳㕦て愴㠱㥢㜸㡥㥥慦㐲〹昹㍢攴㥤戰攸㕡攲愸㡤ㄳ㔰搵扤愶㈵㜳捥昰㜱昳挵搹搵㤲㍤㕥㉥搳摣㠵㝢㙥㔳㘰ㄵ户㌶〲㜳㜴㐷换㝤㉣戹㈶摡㜷㌷戵ㄴ㠴昷〴昷㑦攵㡦ㅡ㝥㘹愹攰慦〶㜷戶扡㈵〹敤㈷㜰㐷慣㌹㍡㙤收戴挳㍢愸㉢摣晢摣ㄹ愷㝡捥㤱昳搲㍣㕥昸愳ㄵ慢昷昶㜲㤲戹搴扦昱㐷㍥㙡㑡㝢ㅥ㍤㙥㘴摡散愰攱ㅦ㘱㍦昲〹愴挱〸搲〹㜴〲摢扤㝥㘱㠰㜴戲愳㠵㑥愴㈰搸㈲ㄴ㘷昱㜵㈳ㄴ攵挷㐰㉢㠹㈵㌸㤱㘳捦扦〵搶㔷㝥㠴ㅣ㈲ㅣ敦愱ㄸ搱㙥㐴㉡〱㜵㔲㤰㠷户㍢㜸ㄷ攴晦〷㑢ㄱ㌷慦挹㑥晦〵㘶㔶㝥搸㡡愲㍤㐴搱て摡㔱挴㌸散㘵㐵扣㌹晢慤愳收ㅢ㝥慢昷㝦㜸搴㝣〷㌰捣㐷㕡㘳㠸愹㌱ㄶ㕦㌷〶搴㌶㘳攰ㄶㄴ㑢㘳攰㈱戶㘱戸㍥㌰〶㐲㙦挷㜱㘴慣㙦っ㌰㠸㤷㘰昲挵㘲慡㌱〷〶捦㕡搷搸昴㠴ㅤ挵敤㕡攱㈱㜰て昵攴㑤挲昷戴戳㍤㝢捥㜰つ㝢㤷捣㍦攲ち愸㉤㜷ㅥ搷戵㘵ㄳ戶搸扤㘶㠹㙣戴㠶㔷㈲㜲愷㙦㜹㑥㌶㜶㐹ㅤ㤸ち㥥挰㑦慦㘴㤵捣㙢昰㠹㈸㍣㈱愴摥户攳扢㐷晥昰摥㡦ㅥ收戵戴㤰㔶㌵挶㠱扢㠹捤搳㜲㐰昴㌶㜶㈳攴㙡㝥㝤㜳ㅣ㥦㈱㔹换ㄵ㌱㘱戸搲摥昱㜴㍢㑡〶㠴ㄷ㈳捣㠰昸㌶㠳㌱㠹ぢづ㠱㌱㤹㙦㜱㙣捡慦㤷愴㌳㌰ㅦ㥢戸昴摥㐵昱㐱愵愳捡敡搲慥搴扥て愵㜳㤹ㄳ㘹戶〷㜹扥攴愳㈸摦㙢搵㙡〷愹搵愴㤹愸㡣愲㐶㈴愵㄰㘸㈰㠵挴㡦㉣㡣晣㑢㈹㌵㠷㠴㤶〷㐸〸愱戵挶㜲㜹昲摦ㄲ〲愲㝥扢慦换㉦㔵戰㡢挰㘲攴㜵敦昶散㑡慢㌳㔲㑤㡣挹捡搳挷㈳㐸挸㘳ち㌳ㄸ愴㤵戹㈷㤰㠸ㅥ㙤っ愹つ㍢㥥㌸挸㠰ㅤ㐴搸〲挶搶㙣㝡搵㜲昶㠳㑥つ㔷㍣愰㘷㌲㔲㘱㌸摢㤹㡤愳愷っ挶〵㔵㜳㐱ㄶ攱㘰㤰慣㌷敡ぢ㡢愰戳㥣㕤㌸㝦㈲捡挷捦㠱㔸㍥摡攸晡敡搶ㄲ敡㌸愷ㄷぢ攴て昶搷㥥〴挶挶愸攴ㄸ㐸搸つ搵捡〶㜷挰ぢ㘸㈲敤㜹㐵㙦㈴㌹㤶愲㌰ㄸㅤ㜱㔶㑦扢晥㘷㤸㕡㜲搶㍣㙢㌳㕥摤愴晦㑦㈱㘳㕤晤慦㌰挸㈶㔱昶㘸㤸攰㡢挶㐸挹扡挱ㄹ敥〸㝣搸〸搳挸㈳戰㉥㤳㡣㙤〷愹〲扥㑦つ㡡愵〴㠷㠷㉢摤㝡〷愲摥㤶戶㙤㕦㐷〱挸㈸㤰昶㙤㠸愰㡥敤㌹改昶㜳㙣收㌱㘴敦㌸㙥㤵摣慡㔷㌵晤㤱〲愲扢㈳晣挰捣㠴捤㌳慥㝣慢㔵愸摤㠴㥤攸㝦ㄷ摡ㅣ㥦㠵挰㝥㔸昸慦㔳搰㤱㈱㠴㡤㠵㉣昸慤搱㔰㉣㡥㐴攵攰㕤㘵㍥㔲㌳㉡昸㍣㜵ㄶ㑥㑤㥦㔹㥢㐲搷〵慥攵搶㥢ㄸ摣㌹摣挵㝡〸㡥ㅦ㔱挹㈳ち㈶㤷昰慥挷戹慤慤㝢搰㕣㌷㕣㥢挷㥡摤㌹搷㜲摡㌷㠱搲㡤㡤搲㑣㌱ㅣ㤳㕦ㅤ攷昴挷〹ㄱ收愱㜳㜴攳㥥㔸昶㌶っ㌲て㍦搹愶挷㙢戴〲㍦搹〶愲摣敦㐱㔳攵〱〲晣昴㘲㤸攰㡢㐲㜷摥晤㑣㍣㡢㘵㤱晥㤱㑥㘵っ㠰捥㐴晤戵戵㠸㕡攱挹㠲㔴㤸㔳扥㡡㜲敥㔲戰摡㌲昳㜰搲㤰㈷〸愴㜵〱㄰㍤ち㑦㄰㜲晣㉦愱㐱㝤晣㐵攴㜶ㅥ晦㡢㙢㡥㑦摤㉦搷ㄷ敦㝦㈸搲ㅤ晡㘹ㄴ敢㘷〸㉡〴㌶挰㔰愴㐲〶㈹ㄵ㈹㙡㌲㐱っ攱㠷㠷㤱挶昳慢昰摦㤷て扦昴㈲㥦扦ㅤ㔶愴ㅣ㐴㔱昳㉡㈸〷攵㉡㍥ㄷ㕦挵㌲㜲㍢慦攲愹戵㔶㌱㐴ㄱ挹㤹攸㉥挰㐰㡦㐲㕡㤱慢昲㤰攰㠶昲愷㐸㠴㈲搱㌴㡢㈱㈲㔶戶慤㈱㠱戶摣㜹搹㜶〵㠹愸敤㔰戴㍤ㅡ㜷㈴攱㑢ㅥ㘹㈷昱收㈳扤㌷㤹挰晤㥡〹戴㘳搶づ晤慥㥢㐲㐸㘰㙤晣㌴戶愳㘸捦㜴ㄹ搳㔷㍥ㄹ㘱攸攸搱攸㌳㈹㌵㡣㌲㠱㐲〲换㤴ㄴ挵㡤㔴㍥ㄱ㔵晥摥㜳つ㈷㈹ち昰㠰㡣㠲捡愴㍣㔹昹攳㔱攵晤昸〴㑢搶㐹昱捥〰㥦㤷愳捡愴㔰㔹昹挹愸昲㕦昷敦慡㔷㡥〸㌲攸㔹㈳戵㈴搸扣昲ㄴ㄰晢ㅣ㥢㠷㙢捤愴ㅥ敤㌳㠳㙣㡡㔰ㄹ㉣慥㐸㑤摡㡦敢ㅦ㉥㍥㠸㍥㠶换㑣戸昴〱㘹ㅢ晣扦〸㌳戸攴㌴㘵昸〶扥㜷㕥㐱㜸搹搵攵ㅢㅢ㘷捣㔹ㄷㄹ扤收㡣㠷戳㔵㜹㔳㤱〸捣㠲㜴戰扦敢戸攱ㄳ㑣挸挶㝥㐴㘱㌱㤵户㐶扡搳㈲㌲㤴㤲㔶㍥ㅡ㘱㌶㜵戱㐱㌳晡晢㠱ㅣ挸㑢㐰㈶昴て〰〶愱㤷ㅤ捣ㄸ愲㈰㤰㕣㝥ㄱ〹晤㐳〴ㅦ〶挸㈹攴㝡搲㐱收㈳〰㠳搱晦㑡㌱戲㈲晤㈶慡㜲㈱ㅡ㉣㑥㐶晡挷搸攰㐹㠰ㅥ㌸㙣㤵㤰〸㜳晡挷㤱ㄳㅦ㤴ㄲ㐴づ晡㐹ㄶ㝣㡡攰搳〰㌹㡤㤳摤昰慥㜱㑤㕤慡戰捦愰愹挲慤㤰〲敤戳㘱㠲㉦摡㐵㠰晢㍢摢捣㍣ㄲ㐷㕦昱㈳戸搹昴戹晥㠳昸晣㝥㤵㡢敥挱㝦㍥愲㐹〳㍦慤扥戵扢扥挸〴ㅡ攷挳㥦㡢捤㝥つ晤㜰㕤つ㕢㤳㍤扥つ扦慣㥡㔱㍥㠴㝦㉦攲愷㥣挵〸ㅣ㠵㉡㌷ぢ㜷ぢ㘹㐰ㄶ㉣㠷〵搴㕤晡攷〰ㄴ攲㤸㜸搲㥦收ㅢ㔱换晥昵捦㠷〹扥㈸挴敢㐵㈶㉡㘱昳㘸㐰攲㕡ㄶ㥣㘹ㄹ㤰昸㤷〵愷攳〳㝥〱戹㡡㐴ㄶㄲ捤敡㠹㐸㑢㌳昷ㄹ㠰㠱㥥㐱捥㡤敡㑥㍤慦㤴㥥㈸㍦昱挴慢㠳改㤱摤改㜷㍥搰晦捣换扦㜸攵改摦扣晢搰㕦晥昹㤵慦晣收㑦㑦扦昸捦攷ㄷづ晤散ㅢ摦昸改㍢扥晥攲㉢摢捤㘷搵攷㕥㍤昶散㠵戱㌳ㄷ捥㥡㈷敦㌸㜲攱戱搳㡦㡣捤㕤㌵摡搳搳摢㝢敢昰捦慦扤㙤攸攲搹ㅦ㈸㉦晣㙥愷愳挸攵㜲㐰〱㄰㍤㐳㕣戶㥣挶㤷㤱挰㌴㌸攳㌷㜴ㅡ㕣敥㐵晣㤴㜲戸㔱ㄳ㜸挹挲户挱〹挸㠲㔲㜳㐱摦㝦〰㌰㝣戱㤸</t>
  </si>
  <si>
    <t>Decisioneering:7.0.0.0</t>
  </si>
  <si>
    <t>㜸〱敤㕣㕢㡣㈴㔵ㄹ敥慡改敡改敡㤹搹ㄹ㜶㤶换㜲ㅤ敥㤷搹㌴㍢ぢ㉢㈰慥换㕣搸摤㠱ㅤ㜶搸㥥㕤㈴㠸㑤㑤昷愹㤹摡敤慡ㅥ慡慡㘷㜷㄰㜵㔱〴ㄱ㡤㠲てち愲ㄲ㘲㠸扥㤸㘰っ〱挵〷ㄳㄲつ〱攳〳㌱昱挱〴㠹搱〷㡤搹挴ㄷㅥ㐸昰晢㑥㔵㜵㔷㜷㑦搷っつ攸㘰愶㜶晢摦㔳攷㝥捥㝦㍤晦㝦㙡㔳㑡㉡㤵㝡てて晦攵㤳㘶攲晣挲㡡攷ぢ㍢㍦㔹慤㔴㐴挹户慡㡥㤷ㅦ㜷㕤㘳攵愰攵昹㍤愸㤰㈹㕡㈸昷戴愲㘷㍤㈰戲挵㘵攱㝡愸愴愵㔲搹慣慥愲㥣㥤昰㌷ㄴ扤攸㙣搵㥦〶㈸㑣㑥ㅣ㥡㍦㠶㕥ぢ㝥搵ㄵ㍢㐶㡥〶㙤昷㡣㡤攵挷昲扢㙥搸㥤摦戹㘳㘴戲㔶昱㙢慥搸攳㠸㥡敦ㅡ㤵ㅤ㈳戳戵昹㡡㔵扡㕤慣捣㔵㡦ぢ㘷㡦㤸摦㜹摤扣㜱晤㡤㘳搷敦摥㙤摥㜴搳㡤晤ㄸ㌹㌵㌳㌹㌱敢ち搳晢㜰扡搴㌸攱敢愷㐴挹攲捡㠴㜰㉤㘷㈱㍦㌹㠱扦戱搹攳敤㠶㝣㘱㔱〸㥦㈳ぢ㔷㌸㈵攱改㘸搸㘷㡦㝢㕥捤㕥攲搶改昶㍥㉣戴㘴㜸扥㘶㑦㡡㑡㐵户愳㕥戳昶㈱散㕣挵㔸改户ぢ挲昱㉣摦㕡戶晣㤵㡣㍤㠷㡥捡〳昶ㄱ㑦ㅣ㌶㥣〵㜱㠷㘱ぢ捤摥㕦戳捡改攰㐹昵㕣ㄹ㜵ㄱ㥦㤸㕣㝤㝥摣戳㈷ㄷつ㔷捥挸攳扥㈴搴摤攷㤶㥡敢㕥摡戹㕦㑥㕤㡥挰㍥㉦敦㕣て㈵㐷つ户㕥㜳戴㜳捤㜰昱捤㌳戸戶㜳晤搸ㅥ㌵户戹扡㜳ㅢ戹㤵捤戵㤵扥㤰扡攵㡥㘲㌱㝡㠶愰㤷㈰㑢㐰〴敡㌹㠲㍥㠲㝥〰㈵晤㙦昰㐸扣㈱㡢搴愲愱ㄶ攷搵㘲㐹㉤㤶搵愲㔰㡢愶㕡㕣㔰㡢㡢㙡搱㔲㡢挷搴攲㜱搴㠹㥥㙣㙦慦ㅡ㍥摦㥥㥦㜹㙦㙢昶攸攴攳慦晥攲㠹换㙡㐷㕥敢摦㠲㑡㜷㠶㤳㥡㜲㡤ㄳ㈰戵〶ㄱ敦捡敦攴㥦戵㤹〲㍣㘱敥㌶㙦㌰挷挶捡扢㜷ㅡ搷ㄹㅡ㤷㤵㠰晣㈶㐲ㄹ㐲摤㝥昳㉥换㈹㔷㑦㐸摣㥤㍦㘱㜸愲戱㜱愳㘱搹㐴戵收㤴扤昳㔶㉦㉣昸㠶㉦捥㙤㉤㙢㜴搲搶慣〰戶ㄲ㥥ㅣ敦挲搶㘶㐷㡤㑡㑤㡣㥦戴㠲攲ぢ㕡㡡敤㔹户㍡摦戹㜴㥦㉢敥慦㤷戶捤㘸ㅣ㈲㙤㔹昶摤戶捡愰㈸㤸搷挸攴㘲搵ㄳ㡥㥣摥愸㍤㙢㤵㡥ぢ户㈰㈸㄰㐵㔹㉥昵㑣ㄶ㠵㕣㍦㝡挸挱㐲挱慤攵㑢攲戹收慤㈷㝤㌰戳㈸㘳扥㑢挲昵㔷收㡣昹㡡㌸慢愹㑡㌰㈶ち戶㌷㘵敦慢㤶㙡摥㘴搵昱摤㙡愵戹㘴扣扣㙣㐰搲㤴㘷慡㘵㤱㑥愷愴㔰㠰戸敤改㔱㤴搴㌵㥤㜹㐱㈲㈲㠶㘲㌲昲㌹捤㘴㤷㍦㡣搵㘱ㄵㄵ㐱㥡㔴㉦㕢愳㌳捥㔷捡㤸〴づ㡣慤㠹摡㠳㠳㕥戵㐶户㜵捣㝤戴㤵㔵㜵㌸㕣晤慤换挲昱てㄸ㑥戹㈲摣㐴摤愷㜰㐶晡㈰㠰㜶ㅡ〲愱攳敥㔱搱㈹㈷㤵ㄵ敤㠴㔵昶ㄷ㌳㡢挲㕡㔸昴㤱〷晤㤸捤㜲㙢摢ㅥ晤っ㘴改㕢〹㠶〱㜲戹㔴㘶ㅢ㉢㘵㜲㜸㔲ㅡ愵㔳〲㉦㌷〹㜲戶㙢攲攵㝥㜳㥦㔵昱㐵㈰㤴〷㑤㘰㈴搰㙡ㄲ㝤〳㈴㔱搷㈸〵ち㘳㥢㌹〹㉡㌵㉣挷㕦㘹昰㙤ㅢ㤷〴㐴戴㈹ぢ㌶㥣㉣愰㈸㘸㤶〷〹扣〶愲㘹㤱〶挹㤵㘳㐴㐴㌶㐸搰散攸戹㤹挸㔸㍦㐱㐶愰㝥㥣〸㔹㝢㘷㘷ㄹ㐱㘲㙦㈷㔲㌶敡挸㡦㥢搲㙣㌵㑢㍥㤰㘶㘷㘲攳昴戳〸捥㈶㌸㠷㘰㍢㠰昲㌷㐸㌸㑡㌹愴㥢ㅦ晤㍣扣敢攷ㄳ㕣〰〰昹愴㔳收㠴愲㡡㌶搴㝡散㐸搶ㅢ㠰㥤㉣㡤攲㐰ㄴ搱㌲慥摢㤹〳戶㐴㜴㘸㜵㙥っ㕤㥢㤶㍡昶㡡捥戴ㄹ㕦づ㈹㌲愱㙡㝣慤㙢㔴㡤㙦〴慢㜶愹户㉥㐲㔳㝤㠴攰㘲㠰㐰戱搰搸㕤㥦㌵㑦㜳昲㘳㘱ㄲ〵㠶㔰㤷捡㍤㈴㘲㥡晦〹〲慥敤攸戲㘹㍦搳ㄴㅣ㌵㍦昶昶昳㡥捥扣ㅤ㈲扤㐵㘷㙥敡ㅣ㝡㡡摥愷〵㝤〹搸㑢昹㜳㐷晤㜲ㄹ㡡昵换〹慥〰㘸搱㉦㍣㜹扦㕦㉦㠱㌴㠹敤ㄸ收戶搲攳㈲㉤摣戹㤵㈵㈱戵㑦扦㌹㘷戸ぢ挲㠷昷㘲㝡ち㜶㜰搵㜵㐵〵〷摡戲捣攰搹攵散收㑣㙦㥦㕢戵㤹扦㘹ㅦ㝢ㅦぢ挵㤰㑥慢㍤愹ㄶ晢㌸挱捥㡣昹㥢㘲㤴㐳晤㝢㕤㘷㈱ㄱ㙢搴㑣㕥㙣㤷㝣戶摣㤴㈴㕤㐸㤲慢戰慤晡搵〰㤰ㄲ捡ㅦ㍢㑡㤴㔱㔶摢㈱慢㌵㕢慢昴敥㈵㥣㑣㕡晣㠷㙤㜲愴㉦㜰搶㑥挰㜷攰つ搸〵换慥ぢ㡢㍥㝢㔶戸㈵昸ㄵ慣㡡挸〵㉥㔹㡡㥡㑤㔹昱㌱㤱ㄵ㍤㍤㙤㘷改〴摦㥡愴㤳ㄶ㈹㤱挸敤㠹㠵〹攷昰〶㔱搱〵㐹愱㤲攰ㄶ慡㑢㈰㔲ㅥ敢㙥㡡㤸㉥㐴㑣ㅥㅢ愷㕦㑢戰㤳㘰っ㐰晢㍤㈴捤㝡㌷㥥㠱戰摥㘵扡戳㡢挵㔴㤶㘸㤰敥挱㌷㍡ち慢敢㌹捣㙥㠲㑦〰戴㤸㍦㜴㍥㈶㄰愲㐴㜹㡣㄰㘹㉤改收㔱㑢㥣㈰つ㙣㌱ㄱ㔴㥡慣㜹㝥搵㘶㔴㘹挰㥣慡摥㔱昵愷㉣㙦〹㔱愸㘱㌳㑣摣戵㈸ㅣ㔰㤷ぢ摢愷㈵慦扡戴㈴捡扡㔹愸搶㈰摡愶愷㌶挲愱ㅣ敢㠳㉤㈹捦攵慡㠲愷扢戳㌱扡㔰攴㠹ㄸ扥㔶㝡㘲搷攵昹收愱㙦戰戱愳㜳㤶㕦ㄱ㝤㘶挰㜴㑣㘷㑤散㈲愲〶攵㕥㜳㙥搱ㄵ㘲㙡挰摣敦㕡攵㡡攵〸㈲〳㌶㈶〳㜵〷挵〲㈲〴戳㔵挶晦慡捥㠰㌹攷ㅡ㡥户㘴㌰㤸戸戲戵改㑤㠶㐴㌴㜳挲㜲㍣っ㈳戱挸昴愰㔹㔸慣㥥㐰慣戶㘶㍢晢㡤㈵㙦㐳㘰㠵㐴ㅦ㍣ㄲ㌵㡡慡愸慡㤲㔵戳摤攲㠷〷昲㔴㙡ㄷ㝥㘹〲㠹慢㤴㐶㝦㜹㠲昶愶㕤ㅦ挶㘷㘸愷㜳㑥晤㠸ㅣ搵㌳㝢ㄲ愵㌰㌹㔵扦㤱㙤㙥〲㤸摥㝦㘴扡ㄱ㤵晢㈰搱㙡㡤づ晥〴ㄱ㉦愹愲ㅥ〳愱㝢㙥㑢㐰㈹捣㈳攱㠰〱㠱㜰扥戵㔲㕦捥㤴㜵㐸㝣㕢ㅡ挹㝤〸㈲昵㥢〷㡤㜹㔱㐱㈸摡㌶晣㉤挱ぢ慤㔸摢愸㜸㘱搹㘴搵戶つ㔲ㄶ愹戲㔰㌲㐸挰攳㌵扦㍡㘳㌹扡〹㈰挹㉦捣㌲㑥㈲换㌸㈹戳晡捤挳㡣ち捡㌴晢慡㉥ㄸ慥攵㉦摡㔶㈹换ㄷ㐶敥㌶〴㐹㠲挷㈹㜸愳㈷ㄲㄹ㈳㉤挶晣ㄱ㔸㙣㕥ㅥ搸捥㐳㡣㜲敢㠸㝤㄰慥慡㘴昰㐷改搲慦〴昹㈲㥤愴晡捤攸㑤㤳搷㈲㈰㜱攴㜳㍡扡㝣㜱晡㑢挸〹摣㜲挴㝡〲㠹挰㈱ㄸ㤳昱昴㙥㘷捣㈳㡥攵〳㝢挴搸㍥换㥦昲㠰㜲〰㈴攵改昶㕣㠹搵㔸愳搱扡㔲戸愸扤愸㐹㑢㕣搸㕥ㅥ㔷ㅢ㤷慤㔲ㅣ㈸㤴㤸ㅥ㔹慢㤲㔴㉣慢捣㜱㈳㘹ㅡ㐵敡敤㐸搹㈸㐹㕥搳挶扥㔳㠸㝣〰扤㈴㘹㈶愵敦㤱㠴㠲ㄸ㉦愹〳㉡㡡敥晡㘴昲㠸〵㙢㘸〲攴愸愶㠲扣㠱㌰ㅡ㌸㡤ㅢ㈷㘵㤱ぢ摦挰摦㕢挲攴愱㥡摦㔴㘲㥣ㅣづ㑢挶㉢㤵㐳づ㡣㠴㤲攱㤶㌷〸㑢㘳㙤㠱㠲㤱摣搹慤昲て戶㌷挶㠸㈱ㅢ㌲㈲㤲攰〶〶ㅢ㠲戹㘲挱㔴ㅡ㘷〳摣敡㝡㜶㤶㙦㌳挲㜰㈴〶ち㝥㜹㑡㉣㑢㉢慣㘱挸て换〶昵挳愲㤴愳扡㌹㍥敦㐱愳晢㤴攳㘱㑡㌲戸㙥ㅥ愶㔷ち昷ㄷ㈰㜶挳搴㙣挹㐷㔴户摥〱て〶ㅢ〷㍢搸㤱㈰㙡㐲攳㡣ㄲ㌴㤳㐰戸捤㡢㈰敦㜴㠹㔱〸㔲㔳㍥晦摡慢㍣晤ㄴ㥦㥦敥㑤㐵㠹㤰㠹ㄸ改㑡㌰ㅥ㠰摣㜸㔰㤲㕣㌴ㅣ挵捡〳挹㈶㠵㔶㝦㤴㐷ぢ㘳㠰ㄶ㥦敢攳〲て挳㔸㠳㘴㥢ち㉥戸昹ㄶ戴㘹㘵㘵㡢㌹敤㤴㉡戵戲㤰慡㌸㤲搵㔲㈳㙦〸㝣挹扢㝦〱㌷㈵散㑢戸㈹搳㌸㐹㜱挹㐴㔲昷㘶户晥㘹㌴㤷㐲づ㝤〴戲㡤戱挷〴慦㥣㡣㠵戵㕤㔱愰㜹戸戵㜱㜷㐱摥㥢㠳㐸㙢换愲㉣㍢㠸慢㜸昵〰戲攴戶㔸戵㠳搵㠳㔵㥡散戱慣〳㔶㤰戵㈱㜰㠴㜵〶〲㉦㤳㠱㌱搲㈵㜷戰㤳搴改㌰戰㝢晡㑢昲㌵㜵㝡㙦㘸㝣㈸っ敦昲㄰㤴挲慥㠲㤱㘸㙦慢つ愳㕢㘱攰㤷㠶户㝥ぢ㠰挲〸㌰つ㕡搴っっ㥣〹愴搷㌶㜰ㄸ㡢㑣〸㡥挶攳愸っ㔱づ挳㕦て愴㠱㥢㜸㡥㥥慢㐲〹昹摢攴㥤戰攸㕡攲愸㡤ㄳ㔰搵㍤慢㈵㜳搶昰㜱昳挵搹摥㤲㍤㕥㉥搳摣㠵㝢㙥㐳㘰ㄵ户㌶〲㜳㜴㕢换㝤㉣戹㈶摡㜷㤷戶ㄴ㠴昷〴㜷㑤攵てㄸ㝥㘹戱攰慦〴㜷戶扡㈵〹敤搷㜰㐷慣㍡㍡㙤收戴挳㍢愸换摣晢摣㜱愷㝡挲㤱昳搲㍣㕥昸愳ㄵ慢昷昶㜲㤲戹搴㝢昸㈳ㅦ㌵愵扤㠲ㅥ搷㌳㙤㜶搰昰㡦戰ㅦ昹〴搲㘰〴改〴㍡㠱敤㕥扦㌰㐰㍡搹搶㐲㈷㔲㄰㙣ㄲ㡡戳昰愱ㄱ㡡昲㉢愰㤵挴ㄲ㥣挸戱攷捦㠳昵㤵㕦㈲㠷〸挷㝢㈸㐶戴㡢㤱㑡㐰㥤ㄴ攴攱敤づ摥〵昹晦挱㔲挴捤慢戲搳㝦㠱㤹㤵㤷㕢㔱㜴㈱㔱昴㔲㍢㡡ㄸ㠷㝤㕦ㄱ㙦捥㝥昳愸昹㤱摦敡晤ㅦㅥ㌵㙦〳㠶昹㐸㙢っ㌱㌵挶攲敢挶㠰摡㘶っ㕣㡥㘲㘹っ摣捥㌶っ搷〷挶㐰攸敤㤸㐱挶摡挶〰㠳㜸〹㈶㕦㉣愶ㅡ㜳㘰昰慣㜵㤶㑤㑦搸〱摣慥ㄵㅥ〲昷㔰㑦摥㈴㝣㑦㘷户㘷捦ㅡ慥㘱㙦㤷昹晢㕤〱戵攵捥攱扡戶㙣挲ㄶ攷慥㕡㈲ㅢ慤攲㤵㠸摣改㥢㥥㤳昵㕤㔲〷愶㠲㈷昰搳㉢㔹㈵昳〱㝣㈲ち㑦〸愹捦㙦晢搹晥扦㍣昰昰㕥㕥㑢ぢ㘹㔵㘳ㅣ戸㥢搸㍣㉤〷㐴㙦㘳㌷㐲捥攴搷㌷㌳昸っ挹㕡慡㠸〹挳㤵昶㡥愷摢㔱㌲㈰扣ㄸ㘱〶挴户ㄱ㡣㐹㕣㜰〸㡣挹㝣㡢㘳㔳㝥扤㈴㥤㠱昹搸挴愵昷㉥㡡て㉡ㅤ㔵㔶㤷㜶愵昶㜳㈸㥤昷㌹㤱㘶㝢㤰攷㑢㍥㡡昲㐲慢㔶摢㑤慤㈶捤㐴㘵ㄴ㌵㈲㈹㠵㐰〳㈹㈴㝥㘴㘱攴㕦㑡愹㔹㈴戴㍣㐰㐲〸慤㌵㤶换㤳晦愶㄰㄰昵摢㝤㕤㝥愹㠲㕤〴ㄶ㈳慦㝢户㘷㔷㕡㥤㤱㙡㘲㑣㔶㥥㍥敥㐴㐲ㅥ㔳㤸挱㈰慤捣㍤㡣㐴昴㘸㘳㐸慤摢昱挴㐱〶散㈰挲ㄶ㌰戶㘶搳慢㤶戳㙦㜵㙡戸攲〱㍤㤳㤱ち挳搹捡㙣ㅣ㍤㘵㌰㉥愸㥡ぢ戲〸〷㠳㘴扤㔱㕦㔸〴㥤攵㙣挷昹ㄳ㔱㍥㝥づ挴昲搱㐶搷㘷戶㤶㔰挷㌹扤㔸㈰㝦戰扦㉥㑣㘰㙣㡣㑡㡥㠱㠴㕤㔷慤㙣㜰〷扣㠰㈶搲㥥㔷昴㐶㤲㘳㈹ち㠳搱ㄱ㘷昵戴敢㝦㠶愹㈵㘷捤戱㌶攳搵㑤晡晦㈸㌲搶搴晦ち㠳㙣ㄲ㘵㜷㠵〹扥㘸㡣㤴慣ㄹ㥣攱㡥挰㠷㡤㌰㡤㍣〲敢㌲挹搸㜶㤰㉡攰晢搴愰㔸㑡㜰㜸戸搲慤㜷㈰敡㙤㘹摢昶㜵ㄴ㠰㡣〲㘹㍦㠱〸敡搸㥥㤳㙥㍦挷㘶敥㐶昶戶ㄹ慢攴㔶扤慡改㡦ㄴ㄰摤ㅤ攱〷㘶㈶㙣㥥㜱攵昹㔶愱㜶㈹㜶愲晦ㅥ戴㤹㌹〴㠱㝤㠷昰㍦愴愰㈳㐳〸敢ぢ㔹昰㕢愳愱㔸ㅣ㠹捡挱㍢挳扣戳㘶㔴昰㜹敡㈱㌸㌵㝤㘶㙤〸㕤ㄷ戸㤶㕢㙦㘲㜰攷㜰ㄷ敢㜶㌸㝥㐴㈵㡦㈸㤸㕣挲㍤昷㜲㕢㕢昷愰戹㙥戸㌶㡦㌵扢㜳慥攵戴ㅦ〳愵敢ㅢ愵㤹㘲㌸㈶扦㍡捥改昷ㄲ㈲捣㐳攷攸晡㍤戱散㙤ㄸ㘴ㅥ㝥戲㑤㡦搷㘸〵㝥戲㜵㐴戹㍦㠷愶捡㉤〴昸改挵㌰挱ㄷ㠵敥扣㥢㤹㜸ㄶ换㈲晤㈳㥤捡ㄸ〰㥤㠹晡㠷慢ㄱ戵挲㤳〵愹㌰愷晣〰攵摣愵㘰戵㘵收攱愴㈱㑦㄰㐸敢〲㈰㝡ㄴ㥥㈰攴昸㑦愳㐱㝤晣〵攴㜶ㅥ晦㝢慢㡥㑦摤㉦搷ㄷ敦㝦㈸搲ㅤ晡㌱ㄴ敢挷〹㉡〴㌶挰㔰愴㐲〶㈹ㄵ㈹㙡㌲㐱っ攱攵扤㐸攳昹㐳昸敦㕢㝢摦㜸㥤捦㍦昷㉡㔲づ愲愸㜹ㄵ㤴㠳㜲ㄵ㑦挴㔷戱㠴摣捥慢昸搶㙡慢ㄸ愲㠸攴㑣㜴ㄷ㘰愰㐷㈱慤挸㔵㜹㐸㜰㐳昹㔳㈴㐲㤱㘸㥡挵㄰ㄱ㉢摢搶㤰㐰㕢敥扣㙣扢㡣㐴搴㜶㈸摡ㅥ㡤㍢㤲昰㈵㡦戴㤳㜸昳㤱摥㥢㑣攰㝥捤〴摡㌱㙢㠷㝥搷つ㈱㈴戰㌶㝥ㅡ摢㔱戴㘷扡㡣改㉢㡦㐵ㄸ㍡㜰㈰晡㑣㑡つ愳㑣愰㤰挰㌲㈵㐵㜱㈳㤵慦㐵㤵㕦㜸戱攱㈴㐵〱ㅥ㤰㔱㔰㤹㤴㈷㉢㍦ㅡ㔵摥㠵㑦戰㘴㥤ㄴ敦っ昰㜹㉢慡㑣ち㤵㤵ㅦ㠹㉡晦㘳搷昶㝡攵㠸㈰㠳㥥㌵㔲㑢㠲捤㉢㑦〱戱捦戱㜹戸搶㑣敡搱㍥㌳挸愶〸㤵挱攲㡡搴愴晤戸晥攱攲㠳攸㠳戸捣㠴㑢ㅦ㤰戶挱晦㡢㌰㡤㑢㑥㔳㠶㙦攰㝢攷㘵㠴㤷㕤㕤扥戱㜱挶㍣攴㈲愳搷㥣昶㜰戶㉡㙦㈸ㄲ㠱㔹㤰づ昶㜷つ㌷㝣㠲〹搹搸㡦㈸㉣愶昲搶㐸㜷㕡㐴㠶㔲搲捡挳ㄱ㘶㔳愷ㅡ㌴愳㝦〱挸㠱扣〴㘴㐲晦㈲㘰㄰㝡搹挶㡣㈱ち〲挹攵愷㤰搰ㅦ㈲昸㌲㐰㑥㈱搷㤳づ㌲㕦〱ㄸ㡣晥㔷㡡㤱㘵改㌷㔱㤵〷愳挱攲㘴愴㝦㤵つㅥ〱攸㠱挳㔶〹㠹㌰愷㍦㡡㥣昸愰㤴㈰㜲搰挷㔸昰㜵㠲挷〱㜲ㅡ㈷扢敥㕤攳㥡扡㔴㘱摦㐰㔳㠵㕢㈱〵摡㌷挳〴㕦戴㔳〰㌷㜷戶㤹㜹㈴㡥扥攲㐷㜰戳改㜳晤㕢昱昹晤ちㄷ摤㠳晦㝣㐴㤳〶㝥㕡晤㘴㜷㝤㤱〹㌴捥㠷㍦ㄷ㥢晤〱晡攱扡ㅡ戶㈶㝢晣ㄴ㝥㔹㌵愳㍣㠴㝦㑦攱愷摣㡦ㄱ㌸ち㔵㙥ㄶ敥ㄶ搲㠰㉣㔸ちぢ愸扢昴㈷〰ㄴ攲㤸㜸搲㥦攴ㅢ㔱换晥昵敦㠴〹扥㈸挴敢㈹㈶㉡㘱昳㘸㐰攲㕡ㄶㅣ㙦ㄹ㤰昸㤷〵挷攲〳㝥ㄷ戹㡡㐴ㄶㄲ捤敡㠹㐸㑢㌳昷㈹㠰㠱㥥㐱捥㡤敡㑥㍤愹㤴敥㉢摦㜷摦㍢㠳改㤱㜳搳㥦戹愵晦愹户㕥㝢晢挹㌷㍦扢攷敦敦㍥昳捣㥢㝦㝤昲昵㜷㕦㤹摦昳摢攷㥥㝢昵戶ㅦ扤晥昶㔶昳㔹昵挵㜷づ㍥晢攰搸昱〷敦㌷㡦㕣戳晦挱扢㡦摤㌹㌶㝢挶㘸㑦㑦㙦敦㤵挳扦㍢攷慡愱㔳昷扦愴晣收㑦㘷㍢㡡㕣㉥〷ㄴ〰搱㌳挴㘵换㘹㝣ㅦ〹㑣㠳㌳晥㐸愷挱攵㥥挲㑦㈹㠷ㅢ㌵㠱㤷㉣㝣ㅢ㥣㠰㉣㈸㌵ㄷ昴晤〷昲㐳戱慡</t>
  </si>
  <si>
    <t>CB_Block_7.0.0.0:1</t>
  </si>
  <si>
    <t>BÁO CÁO LƯU CHUYỂN TIỀN TỆ</t>
  </si>
  <si>
    <t>Lãi cơ bản trên cp (VNĐ/cp)</t>
  </si>
  <si>
    <t>THÔNG TIN VỀ DỰ ÁN ĐẦU TƯ MỚI</t>
  </si>
  <si>
    <t>Tổng mức đầu tư (tỷ VNĐ)</t>
  </si>
  <si>
    <t>Thời gian khấu hao (năm)</t>
  </si>
  <si>
    <t>Vòng đời dự kiến (năm)</t>
  </si>
  <si>
    <t>EBIT dự kiến do dự án tạo ra từ 2006 (tỷ VNĐ)</t>
  </si>
  <si>
    <t>KẾ HOẠCH TÀI TRỢ</t>
  </si>
  <si>
    <t>1. Phát hành thêm cổ phần</t>
  </si>
  <si>
    <t>Giá bán/cp</t>
  </si>
  <si>
    <t>Giá trị ròng thu về</t>
  </si>
  <si>
    <t>Tổng số cổ phần phát hành thêm (triệu cp)</t>
  </si>
  <si>
    <t>2. Vay ngân hàng</t>
  </si>
  <si>
    <t>Giá trị vay nợ (tỷ VNĐ)</t>
  </si>
  <si>
    <t>Lãi suất (%/năm)</t>
  </si>
  <si>
    <t>Kỳ hạn (năm)</t>
  </si>
  <si>
    <t>Kịch bản cơ sở</t>
  </si>
  <si>
    <t>Trả lãi vay</t>
  </si>
  <si>
    <t>(tỷ VNĐ)</t>
  </si>
  <si>
    <t>thuế</t>
  </si>
  <si>
    <t>TNDN</t>
  </si>
  <si>
    <t>Kịch bản tăng trưởng tốt</t>
  </si>
  <si>
    <t>Kịch bản không tăng trưởng</t>
  </si>
  <si>
    <t>Kịch bản suy giảm</t>
  </si>
  <si>
    <t>Kịch bản đầu tư dự án không hiệu quả</t>
  </si>
  <si>
    <t>Chi đầu tư</t>
  </si>
  <si>
    <t>Chưa tính tác đông của dự án</t>
  </si>
  <si>
    <t>Thuế TNDN dự án</t>
  </si>
  <si>
    <t>Ngân lưu sẵn có để trả nợ, CADS</t>
  </si>
  <si>
    <t>CADS chưa có dự án</t>
  </si>
  <si>
    <t>CADS dự án</t>
  </si>
  <si>
    <t>Hệ số an toàn trả nợ</t>
  </si>
  <si>
    <t>Năm</t>
  </si>
  <si>
    <t>P/h cổ phần</t>
  </si>
  <si>
    <t>Tỷ số lợi nhuận</t>
  </si>
  <si>
    <t>Chưa có dự án</t>
  </si>
  <si>
    <t>Tổng ngân lưu ròng, NCF</t>
  </si>
  <si>
    <t>4a2413f5-7771-4ad2-a92a-4fdcf9a9c52b</t>
  </si>
  <si>
    <t>㜸〱敤㕣㕢㙣ㅣ搵ㄹ摥ㄹ敦慣㜷搶㜶㙣攲㜰〹㔷㜳扦㌸㕡攲㐰ち㤴愶挱ㄷ㤲ㄸㄲ㘲戲㑥㈸愲㜴ㄹ敦㥥戱㈷搹㤹㌵㌳戳㑥㑣㘹ㅢ㕡捡慤慤㄰昴愱㠵搲ㄶ愱ち戵㔲㔵㠹㍥㈰㈸㈰戵㔲愵㔶ㄵ愰㍥愰㑡㝤愸㐴㔱搵㍥戴慡㈲昱挲〳ㄲ晤扥㌳㌳扢戳扢摥戱㔹愰㌵㤵㈷搹㍦㘷捥晤㥣晦㝡晥晦㑣㔲㑡㉡㤵晡〰て晦攵㤳㘶攲摣挲戲攷ぢ㍢㍦㔹慤㔴㐴挹户慡㡥㤷ㅦ㜷㕤㘳㜹扦攵昹㍤愸㤰㈹㕡㈸昷戴愲㘷摤㈷戲挵㈵攱㝡愸愴愵㔲搹慣慥愲㥣㥤昰㌷ㄴ扤攸㙣搵㥦〶㈸㑣㑥ㅣ㥣㍢㡡㕥ぢ㝥搵ㄵ摢㐶㡥〴㙤㜷㡤㡤攵挷昲㍢慥摢㤹摦扥㙤㘴戲㔶昱㙢慥搸攵㠸㥡敦ㅡ㤵㙤㈳㌳戵戹㡡㔵扡㔵㉣捦㔶㡦〹㘷㤷㤸摢㝥捤㥣㜱敤昵㘳搷敥摣㘹摥㜰挳昵晤ㄸ㌹㜵㘰㜲㘲挶ㄵ愶昷昱㜴愹㜱挲搷㑥㠹㤲挵㤵〹攱㕡捥㝣㝥㜲〲㝦㘳戳挷摢㜵昹挲㠲㄰㍥㐷ㄶ慥㜰㑡挲搳搱戰捦ㅥ昷扣㥡扤挸慤搳敤㍤㔸㘸挹昰㝣捤㥥ㄴ㤵㡡㙥㐷扤㘶敤㠳搸戹㡡戱摣㙦ㄷ㠴攳㔹扥戵㘴昹换ㄹ㝢ㄶㅤ㤵〷散挳㥥㌸㘴㌸昳攲㌶挳ㄶ㥡扤户㘶㤵搳挱㤳敡戹㍣敡㈲㍥㌱戹晡晣戸㘷㑦㉥ㄸ慥㥣㤱挷㝤㐹愸扢挷㉤㌵搷扤戸㜳扦㥣扡ㅣ㠱㝤㕥摡戹ㅥ㑡㡥ㄸ㙥扤收㘸攷㥡攱攲㥢㘷㜰㜵攷晡戱㍤㙡㙥㜳㘵攷㌶㜲㉢㥢㙢㉢㝤㈱㜵换ㅤ挵㘲昴っ㐱㉦㐱㤶㠰〸搴㜳〴㝤〴晤〰㑡晡㕤昰㐸扣㈱㡢搴愲愱ㄶ攷搴㘲㐹㉤㤶搵愲㔰㡢愶㕡㥣㔷㡢ぢ㙡搱㔲㡢㐷搵攲㌱搴㠹㥥㙣㙦慦ㅡ㍥㡦扦㝢愵㜸㘴摢捦昷㍥㤸㝡昳戵挷㝥晤捡㙤晤㥢㔰改昶㜰㔲㔳慥㜱ㅣ愴搶㈰攲ㅤ昹敤晣戳㍡㔳㠰㈷捣㥤收㜵收搸㔸㜹攷㜶攳ㅡ㐳攳戲ㄲ㤰摦㐴㈸㐳愸摢㙦摥㘱㌹攵敡㜱㠹扢㜳㈷っ㑦㌴㌶㙥㌴㉣㥢愸搶㥣戲㜷捥捡㠵〵摦昰挵搹慤㘵㡤㑥摡㥡ㄵ挰㔶挲㤳攳㥤摦摡散㠸㔱愹㠹昱ㄳ㔶㔰㝣㕥㑢戱㍤攳㔶攷㍡㤷敥㜱挵扤昵搲戶ㄹ㡤㐳愴㉤挹扥摢㔶ㄹㄴ〵昳ㅡ㤹㕣愸㝡挲㤱搳ㅢ戵㘷慣搲㌱攱ㄶ〴〵愲㈸换愵㥥捥愲㤰敢㐷て㍡㔸㈸戸戵㝣㔱㍣搷扣昹㠴て㘶ㄶ㘵捣㜷㔱戸晥昲慣㌱㔷ㄱ㘷㌴㔵〹挶㐴挱搶愶散㍤搵㔲捤㥢慣㍡扥㕢慤㌴㤷㡣㤷㤷っ㐸㥡昲㠱㙡㔹愴搳㈹㈹ㄴ㈰㙥㝢㝡ㄴ㈵㜵㔵㘷㕥㤰㠸㠸愱㤸㡣㝣㔶㌳搹攵て㘱㜵㔸㐵㐵㤰㈶搵㑢㔶改㡣昳㤵㌲㈶㠱〳㘳㙢愲昶攰愰㔷慣搲㙤ㅤ㜳㥦㙣㘵㔵ㅤづ㔷㝦昳㤲㜰晣㝤㠶㔳慥〸㌷㔱昷㈹㥣㤱㍥〸愰㥤㠲㐰攸戸㝢㔴㜴捡〹㘵㔹㍢㙥㤵晤㠵捣㠲戰收ㄷ㝣攴㐱㍦㘶戳摣摡戶㐷㍦つ㔹晡㘶㠲㘱㠰㕣㉥㤵搹挲㑡㤹ㅣ㥥㤴㐶改㤴挰换㑤㠲㥣敤㥡㜸戹摦摣㘳㔵㝣ㄱ〸攵㐱ㄳㄸ〹戴㥡㐴摦〰㐹搴㌵㑡㠱挲搸㘲㑥㠲㑡つ换昱㤷ㅢ㝣摢挶㈵〱ㄱ㙤挸㠲㜵㈷ぢ㈸ち㥡攵㐱〲慦㠱㘸㕡愴㐱㜲攵ㄸㄱ㤱つㄲ㌴㍢㝡㙥㈶㌲搶㑦㤰ㄱ愸ㅦ㈷㐲搶摥摥㔹㐶㤰搸摢㠹㤴㡤㍡昲攳㠶㌴㕢挹㤲て愴搹改搸㌸晤っ㠲㌳〹捥㈲搸ち愰晣ㅤㄲ㡥㔲づ改收㐷㍦〷敦晡戹〴攷〱㐰㍥改㤴㌹愱愸愲つ戵ㄶ㍢㤲昵〶㘰㈷㑢愳㌸㄰㐵戴㡣敢㜶收㠰㉤ㄱㅤ㕡㥤敢㐳搷愶愵㡥扤慣㌳㙤挶㤷㐳㡡㑣愸ㅡ㕦敢㉡㔵攳ㅢ挱慡㕤敡慤ぢ搰㔴ㅦ㈱戸㄰㈰㔰㉣㌴㜶搷㘶捤搳㥣晣㔴㤸㐴㠱㈱搴愵㜲て㠹㤸收㝦㠲㠰㙢㍢扡㙣搸捦㌴〵㐷捤㑦扤晤扣慤㌳㙦㠷㐸㙦搱㤹ㅢ㍡㠷㥥愲て㘹㐱㕦〴昶㔲晥搲㔱扦㕣㠲㘲晤㔲㠲换〰㕡昴ぢ㑦摥ㅦ搶㑢㈰㑤㘲㍢㠶戹捤昴戸㐸ぢ㜷㜶㜹㔱㐸敤搳㙦捥ㅡ敥扣昰攱扤㤸㥥㠲ㅤ㕣㜵㕤㔱挱㠱戶㉣㌳㜸㜶㌹戳㌹搳摢攳㔶㙤收㙦搸挷摥愷㐲㌱愴搳㙡㑦慡挵㍥㑥戰㌳㘳晥愶ㄸ攵㔰晦㕥搳㔹㐸挴ㅡ㌵㤳ㄷ摢㈵㥦㉤㌷㈴㐹ㄷ㤲攴ち㙣慢㝥㈵〰愴㠴昲愷㡥ㄲ㘵㤴搵戶挹㙡捤搶㉡扤㝢〹㈷㤳ㄶ晦㘱㥢ㅣ改ぢ㥣戵ㄳ昰ㅤ㜸〳㜶挱戲敢挲愲捦㥥ㄱ㙥〹㝥〵慢㈲㜲㠱㑢㤶愲㘶㐳㔶㝣㑡㘴㐵㑦㑦摢㔹㍡挱户㈶改愴㐵㑡㈴㜲㝢㘲㘱挲㌹扣㐱㔴㜴㐱㔲愸㈴戸㠵敡ㄲ㠸㤴挷扡ㅢ㈲愶ぢㄱ㤳挷挶改㔷ㄳ㙣㈷ㄸ〳搰摥㠴愴㔹敢挶㌳㄰搶扢㐴㜷㜶戱㤸捡ㄲつ搲㍤昸㐶㐷㘱㜵㉤㠷搹㐹昰ㄹ㠰ㄶ昳㠷捥挷〴㐲㤴㈸㡦ㄱ㈲慤㈵摤㍣㘲㠹攳愴㠱㑤㈶㠲㑡㤳㌵捦慦摡㡣㉡つ㤸㔳搵摢慡晥㤴攵㉤㈲ち㌵㙣㠶㠹㍢ㄶ㠴〳敡㜲㘱晢戴攴㔵ㄷㄷ㐵㔹㌷ぢ搵ㅡ㐴摢昴搴㝡㌸㤴㘳㝤戰㈵攵戹㕣㔵昰㜴㜷㌶㐶ㄷ㡡㍣ㄱ挳搷㑡㑦散㥡㍣摦㍣昴つ㌶㜶㜴搶昲㉢愲捦っ㤸㡥改慣㠹㕤㐴搴愰摣㙢捥㉥戸㐲㑣つ㤸㝢㕤慢㕣戱ㅣ㐱㘴挰挶㘴愰㙥扦㤸㐷㠴㘰愶捡昸㕦搵ㄹ㌰㘷㕤挳昱ㄶつ〶ㄳ㤷㌷㌷扤挹㤰㠸㘶㑥㔸㡥㠷㘱㈴ㄶ㤹ㅥ㌴ぢぢ搵攳㠸搵搶㙣㘷慦戱攸慤ぢ慣㤰攸㠳㐷愲㐶㔱ㄵ㔵㔵戲㙡戶㕢晣昰㐰㥥㑡敤挰㉦㑤㈰㜱㤵搲攸㉦㑦搰摥戴敢挳昸っ敤㜴捥愹ㅦ㤱愳㝡㘶㑦愲ㄴ㈶愷敡搷戳捤つ〰搳㝢て㑦㌷愲㜲ㅦ㈵㕡慤搱挱㥦㈰攲㈵㔵搴㘳㈰㜴捦㙤ち㈸㠵㜹㈴ㅣ㌰㈰㄰捥户㔶敡换㤹戲づ㠹㙦㔳㈳戹〷㐱愴㝥㜳扦㌱㈷㉡〸㐵摢㠶扦㈹㜸愱ㄵ㙢ㅢㄵ㉦㉣㥢慣摡戶㐱捡㈲㔵ㄶ㑡〶〹㜸扣收㔷て㔸㡥㙥〲㐸昲ぢ戳㡣ㄳ挸㌲㑥挸慣㝥昳㄰愳㠲㌲捤扥慡昳㠶㙢昹ぢ戶㔵捡昲㠵㤱扢㜵㐱㤲攰㜱ち摥攸㠹㐴挶㐸㡢㌱㝦ㄸㄶ㥢㤷〷戶昳㄰愳摣㍡㘲ㅦ㠴慢㉡ㄹ晣㔱扡昴㉢㐱扥㐸㈷愹㝥㈳㝡搳攴戵〸㐸ㅣ昹㥣㡡㉥㕦㥣晡ㅡ㜲〲户ㅣ戱㥥㐰㈲㜰〸挶㘴㍣扤摢ㄹ昳戰㘳昹挰ㅥ㌱戶挷昲愷㍣愰ㅣ〰㐹㜹扡㍤㕢㘲㌵搶㘸戴慥ㄴ㉥㘸㉦㙡搲ㄲ攷户㤷挷搵挶㈵㉢ㄴ〷ち㈵愶㐷㔶慢㈴ㄵ换ち㜳㕣㑦㥡㐶㤱㝡㍢㔲㌶㑡㤲搷戴戱敦ㄴ㈲ㅦ㐱㉦㐹㥡㐹改扢㈴愱㈰挶㑢敡㠰㡡愲扢㍥㤹㍣㘲挱ㅡ㥡〰㌹慡愹㈰㙦㈰㡣〶㑥攳挶㐹㔹攴挲㌷昰昷愶㌰㜹戰收㌷㤵ㄸ㈷㠶挳㤲昱㑡攵愰〳㈳愱㘴戸攵㜵挲搲㔸㕢愰㘰㈴㜷㜶慢晣㠳敤㡤㌱㘲挸㠶㡣㠸㈴戸㠱挱㠶㘰慥㔸㌰㤵挶搹〰户扡㥥㥤攵摢〱㘱㌸ㄲ〳〵扦㍣㈵㤶愴ㄵ搶㌰攴㠷㘵㠳晡㘱㔱捡㔱摤ㅣ㥦昳愰搱㝤捡昱㌰㈵ㄹ㕣㌷て搱㉢㠵晢ぢ㄰扢㘱㙡愶攴㈳慡㕢敦㠰〷㠳昵㠳ㅤ散㐸㄰㌵愱㜱㐶〹㥡㐹㈰摣收㐵㤰㜷扡挴㈸〴愹㈹㥦㝦敦㔶㥥㝥㡡捦捦㜶愷愲㐴挸㐴㡣㜴㈵ㄸて㐰㙥㍣㈸㐹㉥ㅡ㡥㘲攵㠱㘴㤳㐲慢㍦捡愳㠵㌱㐰㡢捦昵㜱㠱㠷㘱慣㐱戲㑤〵ㄷ摣㝣ぢ摡戴戲扣挹㥣㜶㑡㤵㕡㔹㐸㔵ㅣ挹㙡愹㤱搷〵扥攴摤扦㠰㥢ㄲ昶㈵摣㤴㘹㥣愴戸㘴㈲愹㝢戳㕢晦㍣㥡㑢㈱㠷㍥〲搹挶搸㘳㠲㔷㑥挶挲摡慥㈸搰㍣摣摣戸扢㈰敦捤㐱愴戵㘵㔱㤶敤挷㔵扣㝡〰㔹㜲㕢慣摡晥敡晥㉡㑤昶㔸搶㍥㉢挸㕡ㄷ㌸挲㍡〳㠱㤷挹挰ㄸ改㤲㍢搸㐹敡㔴ㄸ搸㍤昵㌵昹㥡㍡戵㍢㌴㍥ㄴ㠶㜷㜹〸㑡㘱㔷挱㐸戴户搵㠶搱慤㌰昰㑢挳㕢扦〹㐰㘱〴㤸〶㉤㙡〶〶捥〴搲慢ㅢ㌸㡣㐵㈶〴㐷攳㜱㔴㠶㈸㠷攱慦〷搲挰㑤㍣㐷捦㔶愱㠴晣㉤昲㑥㔸㜴㉤㜱搴挶〹愸敡㥥搱㤲㌹㘳昸戸昹攲㙣㙤挹ㅥ㉦㤷㘹敥挲㍤户㉥戰㡡㕢ㅢ㠱㌹扡愵攵㍥㤶㕣ㄳ敤扢㡢㕢ち挲㝢㠲㍢愶昲晢っ扦戴㔰昰㤷㠳㍢㕢摤㤲㠴昶ㅡ摣ㄱ㉢㡥㑥㥢㌹敤昰づ敡ㄲ昷㍥㜷捣愹ㅥ㜷攴扣㌴㡦ㄷ晥㘸挵敡扤扤㥣㘴㉥昵〱晥挸㐷㑤㘹慦愲挷戵㑣㥢ㅤ㌴晣㈳散㐷㍥㠱㌴ㄸ㐱㍡㠱㑥㘰扢搷㉦っ㤰㑥戶戴搰㠹ㄴ〴ㅢ㠴攲捣㝦㙣㠴愲扣〲戴㤲㔸㠲ㄳ㌹昶晣㜹戰扥昲㉢攴㄰攱㜸て挵㠸㜶㈱㔲〹愸㤳㠲㍣扣摤挱扢㈰晦㍦㔸㡡戸㜹㐵㜶晡㉦㌰戳昲㜲㉢㡡捥㈷㡡㕥㙡㐷ㄱ攳戰ㅦ㉡攲捤搹㙦ㅣ㌵㍦昱㕢扤晦挳愳收㉤挰㌰ㅦ㘹㡤㈱愶挶㔸㝣摤ㄸ㔰摢㡣㠱㑢㔱㉣㡤㠱㕢搹㠶攱晡挰ㄸ〸扤ㅤ〷㤰戱扡㌱挰㈰㕥㠲挹ㄷ㡢愹挶ㅣㄸ㍣㙢㥤㘱搳ㄳ戶て户㙢㠵㠷挰㍤搴㤳㌷〹摦搳㤹敤搹㌳㠶㙢搸㕢㘵晥㕥㔷㐰㙤戹戳戸慥㉤㥢戰挵搹㉢㤶挸㐶㉢㜸㈵㈲㜷晡㠶攷㘴㙤㤷搴㠱愹攰〹晣昴㑡㔶挹㝣〴㥦㠸挲ㄳ㐲敡换㕢㝥戱昷慦昷㍤戸㥢搷搲㐲㕡搵ㄸ〷敥㈶㌶㑦换〱搱摢搸㡤㤰搳昹昵捤〱㝣㠶㘴㉤㔶挴㠴攱㑡㝢挷搳敤㈸ㄹ㄰㕥㡣㌰〳攲㕢て挶㈴㉥㌸〴挶㘴扥挵戱㈹扦㕥㤲捥挰㝣㙣攲搲㝢ㄷ挵〷㤵㡥㉡慢㑢扢㔲晢㈵㤴捥㠷㥣㐸戳㍤挸昳㈵ㅦ㐵㜹愱㔵慢敤愴㔶㤳㘶愲㌲㡡ㅡ㤱㤴㐲愰㠱ㄴㄲ㍦戲㌰昲㉦愵搴っㄲ㕡ㅥ㈰㈱㠴搶ㅡ换攵挹㝦㐳〸㠸晡敤扥㉥扦㔴挱㉥〲㡢㤱搷扤摢戳㉢慤捥㐸㌵㌱㈶㉢㑦ㅦ户㈳㈱㡦㈹捣㘰㤰㔶收ㅥ㐲㈲㝡戴㌱愴搶散㜸攲㈰〳㜶㄰㘱ぢㄸ㕢戳改㔵换搹㌷㍢㌵㕣昱㠰㥥挹㐸㠵攱㙣㘶㌶㡥㥥㌲ㄸㄷ㔴捤〵㔹㠴㠳㐱戲摥愸㉦㉣㠲捥㜲戶攲晣㠹㈸ㅦ㍦〷㘲昹㘸愳敢搳㕢㑢愸攳㥣㕥㉣㤰㍦搸㕦攷㈷㌰㌶㐶㈵挷㐰挲慥愹㔶㌶戸〳㕥㐰ㄳ㘹捦㉢㝡㈳挹戱ㄴ㠵挱攸㠸戳㝡摡昵㍦挳搴㤲戳㘶㔹㥢昱敡㈶晤㝦〴ㄹ慢敡㝦㠵㐱㌶㠹戲㍢挲〴㕦㌴㐶㑡㔶つ捥㜰㐷攰挳㐶㤸㐶ㅥ㠱㜵㤹㘴㙣㍢㐸ㄵ昰㝤㙡㔰㉣㈵㌸㍣㕣改搶㍢㄰昵戶戴㙤晢㍡ち㐰㐶㠱戴㥦㐲〴㜵㙣捦㐹户㥦㘳㌳㜷㈲㝢换〱慢攴㔶扤慡改㡦ㄴ㄰摤ㅤ攱〷㘶㈶㙣㥥㜱攵昹㔶愱㜶㌱㜶愲晦㉥戴㌹㜰㄰〲晢㌶攱㝦㑣㐱㐷㠶㄰搶ㄶ戲攰户㐶㐳戱㌸ㄲ㤵㠳㜷㥡㜹㝢捤愸攰昳搴㠳㜰㙡晡捣㕡ㄷ扡㉥㜰㉤户摥挴攰捥攱㉥搶慤㜰晣㠸㑡ㅥ㔱㌰戹㠴扢敥收戶戶敥㐱㜳摤㜰㙤ㅥ㙢㜶攷㕣换㘹㍦〱㑡搷㌶㑡㌳挵㜰㑣㝥㜵㥣搳敦㈶㐴㤸㠷捥搱戵㝢㘲搹摢㌰挸㍣晣㘴㥢ㅥ慦搱ち晣㘴㙢㠸㜲㝦〹㑤㤵㥢〸昰搳㡢㘱㠲㉦ち摤㜹㌷㌲昱㉣㤶㐵晡㐷㍡㤵㌱〰㍡ㄳ昵㡦㔶㈲㙡㠵㈷ぢ㔲㘱㑥昹㈱捡戹㑢挱㙡换捣挳㐹㐳㥥㈰㤰搶〵㐰昴㈸㍣㐱挸昱㥦㐶㠳晡昸昳挸敤㍣晥昷㔷ㅣ㥦扡㕦慥㉦摥晦㔰愴㍢昴愳㈸搶㡦ㄱ㔴〸㙣㠰愱㐸㠵っ㔲㉡㔲搴㘴㠲ㄸ挲换扢㤱挶昳挷昰摦户㜷扦昱㍡㥦㝦敤㔶愴ㅣ㐴㔱昳㉡㈸〷攵㉡㥥㠸慦㘲ㄱ戹㥤㔷昱昸㑡慢ㄸ愲㠸攴㑣㜴ㄷ㘰愰㐷㈱慤挸㔵㜹㐸㜰㐳昹㔳㈴㐲㤱㘸㥡挵㄰ㄱ㉢摢搶㤰㐰㕢敥扣㙣扢㠴㐴搴㜶㈸摡ㅥ㡤㍢㤲昰㈵㡦戴㤳㜸昳㤱摥㥢㑣攰㝥捤〴摡㌱㙢㠷㝥搷㜵㈱㈴戰㌶㝥ㅡ摢㔱戴㘷扡㡣改㉢㡦㐶ㄸ摡户㉦晡㑣㑡つ愳㑣愰㤰挰㌲㈵㐵㜱㈳㤵㐷愲捡㉦扣搸㜰㤲愲〰て挸㈸愸㑣捡㤳㤵ㅦ㡥㉡敦挰㈷㔸戲㑥㡡㜷〶昸扣ㅤ㔵㈶㠵捡捡て㐵㤵晦戹㘳㙢扤㜲㐴㤰㐱捦ㅡ愹㈵挱收㤵愷㠰搸攷搸㍣㕣㙢㈶昵㘸㥦ㄹ㘴㔳㠴捡㘰㜱㐵㙡搲㝥㕣晦㜰昱㐱昴㝥㕣㘶挲愵て㐸摢攰晦㐵㤸挶㈵愷㈹挳㌷昰扤昳ㄲ挲换慥㉥摦搸㌸㘳ㅥ㜴㤱搱㙢㑥㝢㌸㕢㤵搷ㄵ㠹挰㉣㐸〷晢扢㡡ㅢ㍥挱㠴㙣散㐷ㄴㄶ㔳㜹㙢愴㍢㉤㈲㐳㈹㘹攵挱〸戳愹㤳つ㥡搱扦〲攴㐰㕥〲㌲愱㝦ㄵ㌰〸扤㙣㘱挶㄰〵㠱攴昲㤳㐸攸て㄰㝣ㅤ㈰愷㤰敢㐹〷㤹㙦〰っ㐶晦㉢挵挸㤲昴㥢愸捡晤搱㘰㜱㌲搲扦挹〶て〱昴挰㘱慢㠴㐴㤸搳ㅦ㐶㑥㝣㔰㑡㄰㌹攸愳㉣㜸㡣攰㕢〰㌹㡤㤳㕤昳慥㜱㑤㕤慡戰㙦愳愹挲慤㤰〲敤㍢㘱㠲㉦摡㐹㠰ㅢ㍢摢捣㍣ㄲ㐷㕦昱㈳戸搹昴戹晥捤昸晣㝥㤹㡢敥挱㝦㍥愲㐹〳㍦慤㝥戶扢扥挸〴ㅡ攷挳㥦㡢捤晥〸晤㜰㕤つ㕢㤳㍤㝥づ扦慣㥡㔱ㅥ挰扦㈷昱㔳敥挵〸ㅣ㠵㉡㌷ぢ㜷ぢ㘹㐰ㄶ㉣㠶〵搴㕤晡ㄳ〰ち㜱㑣㍣改㑦昲㡤愸㘵晦晡㜷挳〴㕦ㄴ攲昵㈴ㄳ㤵戰㜹㌴㈰㜱㉤ぢ㡥戵っ㐸晣换㠲愳昱〱扦㠷㕣㐵㈲ぢ㠹㘶昵㐴愴愵㤹晢ㄴ挰㐰捦㈰攷㐶㜵愷㥥㔰㑡昷㤴敦戹攷扤挱昴挸搹改㉦摣搴晦搴摢㝦㜸攷挹户扥戸敢ㅦ敦㍦昳捣㕢㝦㝢昲昵昷㕦㥤摢昵扢攷㥥晢敤㉤㍦㝥晤㥤捤收戳敡㡢敦敤㝦昶晥戱㘳昷摦㙢ㅥ扥㙡敦晤㜷ㅥ扤㝤㙣收戴搱㥥㥥摥摥换㠷㝦㝦搶ㄵ㐳㈷敦㝤㐹昹捤㥦捦㜴ㄴ戹㕣づ㈸〰愲㘷㠸换㤶搳昸〱ㄲ㤸〶㘷晣㠹㑥㠳换㍤㠹㥦㔲づ㌷㙡〲㉦㔹昸㌶㌸〱㔹㔰㙡㉥攸晢て㤹㜲戲㠶</t>
  </si>
  <si>
    <t>6de74114-296b-4f88-8e74-81e15a89c556</t>
  </si>
  <si>
    <t>㜸〱敤㕢㝢㜰ㅣ昵㝤扦摦改㜶㜵㝢㍡㐹㘷换㌸㤸㤷㐵㜸㕢收㘲昹〹㈱ㅥ㕢㍡搹戲㐰戶㠵攵〷つ㤰昳敡㙥搷㍡㝣户㉢㜶㔷戶㤴㘱ち㜹㑣ㄲ㈰㍣㐲㥡戴㐹㈹㔰㑡㤲㐲〳㈴敤㌴㈱㙤愶㍣摢㘴㕡㜷㈶改㤰戶㜴㍡㤹㐰㌲愱㉤ㄹ㌰㥤㈱捤っ㌴昴昳昹敤敥改㙥敦㜴〲挵㑣昵㐷㝥愰敦晤㕥晢摤摦敦晢晥㝤㝦敢㤸㠸挵㘲㙦愳昰㤷㈵挱捡㔹攳戳慥㘷㔴戲㌹扢㕣㌶ち㕥挹戶摣散㠰攳攸戳愳㈵搷㙢挳〴㌵㕦挲戸慢攴摤搲㐷㡤㘴晥㤸攱戸㤸愴挴㘲挹愴ㄶ㈷㤶攰㉦ㄳ㌶㌴㍥愵戱㕢挳慣㤸愶〲愴摢〱挶㜳㠳㝢㈷㙥挰㑢挶㍤摢㌱搶昶ㅥ昴㔱㙤敤敦捦昶㘷搷㙦搹㤴㕤户戶㌷㌷㕤昶愶ㅤ㘳慢㘵㑣㝢㡥㕥㕥摢㍢㌶㍤㔱㉥ㄵ慥㌲㘶昷摢㐷つ㙢慢㌱戱㙥挳㠴扥昱戲晥㡤㥢㌶㤹㤷㕦㝥㔹㍡〹挴扢㜳㠳㘳㡥㘱扡愷〸愵㐶㤴㝢㜳㠳搹㍤㠶㜷㡡㔰愶㠰㜲㑦㙥㜰挸慥攸㈵敢搴攰㔴㐸收つ㐳㐶愱㐴㝥ㄸ㠶㔳戲㡥㘴戱攸㍡㈲愳戵㈵扢ㄳ搴㉥攸慥㤷㌳捡攵㝤㠶㐹㔶愴㉢㈴㤸攱ㄸ㔶挱㜰扢㉡㍢㘶ち㐶㌹ㄸ㜶㤳㤵㠳扡戳㐷慦ㄸ〹㔶扡㉢㍥捦㐶㡡㠶攵㤵扣搹捥捡〱搷搸愷㕢㐷っ㑥㔱㉡挳搳愵㘲㈲㈱ㄲ㠹㔸摢㐵捤ㄶ㈳ㄹ㤳摤改ㄴ㜲㤳扡攳挹ㄶ㔹搶摦㙣㙥㡤㜴挸㠵搷㉤㡢换敥㡤㍣㐵㈶㡤㤷㉡㔷ㄹ㡥㘵㤴昹ㄲ戲慥㉦㌲㐹搲挴愷㝣㤵㌸攱㙥挸ㄷ搱ㄱ愸〰户挲户㘸ㅤ〴㘹〰戵ㄳ㈰戹㘳㙣㍣㍦㘴㑣㜸㕡ㄷ晢扢〱㐴攲㈴昴愸昶㌹㍥ㄲ捦敢昱晣㐴㍣㕦㠸攷㡢昱扣ㄱ捦㥢昱晣㤱㜸㝥㌲㥥㉦挵昳㌷挴昳㐷㌱㈷㉣挹昶昶㜸㔰晥㜸摢攳㙦㕥昸ㅦ慦敥晥搴㐷㡥晣搷戵㤷㍤㜹戶㐲搵搹搴㙣ㄳ㔱晡っ戸敥㜴㘵㡡㍡ㅢ昰㡥㤴搵㉡㐳慥㌷愶㍢ㄵ昷搴㌲ㄹ㉣㕥㠸换〳㙥攵扤攷㌲㕥㜲㑡戸慣㉥〳戱捥摡㘳㍢ㄵ㤸㤹摤㠶㙥㙤摤戰㌹扢㝥敤戸㔷ㅣ㌲㡥㙤摤㤰摤扣㕥㕢㑥㜲昶〰愸㉢〰㌲㍢〶㐷昶昷㕡挶昱摥㈹挷愶ㄹ搳㑥攳昸㑡〰㈱晥ㄳ昲㐰㤹㜸㌳昳㡢捦慣㝢昴扥㥤てつㅥㅥ㜵㙦ㅢ扥㕢搰〴㑡㠳㜸㍡㈷慦〲㔰捦㘰㡤㐲〵㍢㔸㌸慡㥤挹收㔹〰㐲晣㌴挰戲敤挹㡤摦扢收㍣㘵攰㥥つ搷扣戱昱愷攲㝡㐱ㅢ㑡戱㔰捦〱愸㕢昴收㡤搹㉤攱愲㌷㘷㌷㙥搱㔶㘳㠶搶换戹攷〲㜴捡㐵摢攵㘲敦晡㜵敢㌶㙡敦攷攰㜹〰㐲晣㝢昰慥㍤愵㉤昷㕤搹㝦㘸捦㜷扥㜹㐳挷戵㝤昶愳改ぢ㌰㝣㜵愰ㄲ㐳㡥㝥ㅣ㜶㘵捥㘲慤捦慥攳㝦ぢㅢ㙡搸㘹㜳㤳戹挵散敦㉦㙥㕡愷㙦搰ㄵ㙡挸㍢戵㄰㈴㜷摡㍣㔴戲㡡昶㜱㘹㌲搲收捥㔲搹㌳ㅣ搹攸㌶昱攳㥢㍤搹敥㌴㜷捣挰㔹ㄴ㝣敢戲挲捣ㄹ㡥〷㌳敢捤捥〹攳㔹㠳扡㙢捣㌵晢〲摣㠳昶戴㔵㜴捦㙣㍥㌸敥改㥥㜱㐶㜴㙣づ㐹挳㘳攳戰挱㠶㉢㤷㜴㑥昴戱㠳㝡㜹摡ㄸ㤸㈹昹挳㘷㐷㠶㘱㡤敤㠹昹㐷㜷㍡挶㡤搵搱㠶ㄵつ挰㙢ㅦ㤳戸ㅢ㜶改て昹敢敡捤㑤摡慥㘱挹攵昵㔵挶㑡㠵愳㠶㌳㙥搰攷ㅢ㐵戹搵搳㌸ㄴ戸㠴扥扤ㄶ㌶ち㈳㕦㝣㝦㙤㉦〹㙤㔸㐵愳㠸昵㑥㠱捡戳晢昵㠹戲戱戲㙥㡡晦㑥っ慣慡敢摥㘹ㄷ愶摤㥣㙤㜹㡥㕤慥ㅦㄹ㈸ㅥ搳攱㠶㡡扢敤愲㤱㤰㈵收㐳ㄱ㙢㙢ㄳ㈲㜶㜱㌳㔳㐸摣㉥㉤㝥㡤㤰搰晡戵㥥㕣㈳㐴㥣摣搴㔳㔴㌱愳㔲㈳㘴㥣㝦㐹换㤵搴ち㈱㘷慦㙢㌹扢㠹㤰昲愱搳敢ㄵ㉦扢て晣〱ㅦ捡〶戵㌲㝥晥晣㈸攷攴㜲㠱㤵搶㜰㠵㈱ㅥ㘷户㈰㥡㐴㕢㤵扤昷㜶㜲㍣摥ㄳ散㝥挷㌱〴ㅢ扢㜴慢㔸㌶㥣㤶〱慡攰㡡戴ぢ〹㉥㈲戸㤸攰ㄲ㠲㌵〰捡㡦㘰攳收愵㈸敤愹㤸ㄱ戳捡昱㔲搱㥢㔴㈷㡤搲㤱㐹て㝤〸㙣㤳㐹㤲扢愱㘸㙢搱愵㕤㑡㤰〵㐸愵㘲敡〷㌸㐹㑤愱挴ㄴ㐶っ敦㍥慥㘱搸慣挹㌰ち㐱慥慢㔴㄰慤戹㙤㙤捤㜶扤㑢㜷㈷㍤㉡㕣换㐱ㄹ挱慣㈳搲㝥㠰昴㝡㠰摤扢㡣㌲搴昵ㄴ挵挷ち挳愰〵㈳㌱晡捥㤵㤵昱㔹慢㌰改搸ㄶ㡥づ㐳扡愷てㄴ㄰㙥扡㐲㔷㉢愳㜶㙥摡㔳㉢扢㑡昸㐹㔷昶ㄹ㔳㠶敥攵㘰㡤扤捥捡㈸㐲㔵㘹㉥㐷㡡㌳㑡挵㡦㌲㠷っ户愰㌱ㅣㅤ㠱昵㤹㔱㔱㠳㌹㑤㔷㘸㑦㡣ㄹ㡦愸摢㉢㠸㜹㈰㌵ㅡ㈶昵挹愷晣ㅡ㥦散㤴㝤攱搳愹愰〵っㄹ㔹慤挱搲㈱㍢㝣㑣搲攱挲㔱挲㝦㈷〲ㄸ㔵㤴〳㕥愹散㘶〳敡㘶㠷㙣㥣㔵っ㜹㜸㈲搵㔵ㄵ㜲愴戶攴㔵㔴㥦ㄹ捦敥㉤㑣昸㘸戱㤴㘱挷㥥㥥㘲戴㜳慡昰㄰㔷㑣摢〰㜰晦敢㡦㕣㜱挱ㅦ㍤晥㜶昰㝢㌳㌴㐵ㄶ㡤㈱慦㐶戱㘶ㄳ㍦戲㘸㥢昱㤳㙡㌵愶㌰㉥㙥㙡㔰攷〹扤ㄹㄸ愵㉢搸敤㝥挷㤰㘷㠹愴㙣捣㑥ㄹ㥤㤵㐳戶㜳㜴挲戶㡦㤲昹㕤戲攵㑥ㅡ㠶挷〰扤㈳㌸㡦戰㉥㠴㘸㙢慢㡢挲㙢㈲㜹㠶昶敡〷〱㍡〷捡攵摥㄰愳慢㕥㠱慥㌶㌸づ昵㐳愸㥣㍤㘴㜸扤㘳㤳搳戶㜵愴㜷〸攰搲〱㑢㉦捦扡㈵㌷㍢㔳㜶㘷挴戳㈰〱愳扡㈷㝥昸㈷捦慤㝣敥攷㔷摥㝤晦敦㕥㝦摡㤱㍢敦ㄵ捦〴〳つ戱㍢挵扥㐵㤴㔳ㄷ㈱㘷㌰户㉥捡㘹昰摦扥㜳晢㙤㤴戲攴愲㤴晡〸㘵捤〲㙥㌹ㄲ愳捣敢㤱㝥敢攳㥢㈵愱㝣ㅦ扦つ捡㈲㥥㠲摡搱愷愳㕥㕦戴〱戴戵㐱㠲ㅣ〰扣戱㌴㘱扥㘳ㄶ㍣挲搱㌹㙢㍢〸㜶〲㈸㍣扡戵昶㘱㔰㔵㥡戴〴㡦搳㥤㤵㈱挳搴㤱㥡㤲㝥㐷攸晦㥦㙥㈹㠱扣㕤㡤㑦㙡扤〹慣㥤㈶㕦㡤㐶慥昵㠹ㄳ愴㜳㡡挳㠶戵ㅦ戶搷㍤㤵摥收㔴㝡㉤㙤ㄸ晢〸㡢昲〴㠴攰㥤敦〹攴㡡戵ㅦ㘳挸㤰捦挷㤲摣㈱㝢㌴㥥㌲ㅢ㍤摤㔵攸㑤戵ㅡㄳ㍣昱㔳㌴㌴㝡ㄷ㜵っ愰㡤㐹〹晡ㄳ昱㔸攰ㄸㅡ㍣挶愳挱㐰㐳㠲㠰㜹〱㥥㡤戵晤〴〷〸づㄲㅣ㈲戸〶㐰㝣つ㡦㌶㤷晡て㜳捥戵〴搷〱㐴愴㥥戹〶㈹昵ㅦ攱㠴㍣㠰㘰慡㠱搱㕢㑣㍢っ㌰㙦〸㈰ㄳㄴつ㈱㐰〱㡦愴戴ㄶ㘳㠲㐹㡣㉡㘱㌴㍡㕡㥦㈸㕦㥣㡦㈸㕦〸〶ㅡ昲ㅤ慢昱㉣㕤愹㔶〶㄰㥦㥦㤷〰ㄶ攷搸〴㔳〰ㄱ〲昴愲㑢ㄲ挰攱〴ㄷ㐰㌰晦㈱戳㌶㌲搰㐷㠳㐵摣づ晣㤴㈸㈹ㄵ攷愲愷㔱㉡㘶搰㥢搲㕡㡣〹㘶㔵收㌶㑦愹昰㌷晦戱㘰㡦つㄲ㜱㑢㌰㄰㑤挰㈸㍣捥㐴㈳㑤㤹挴慣ㅥ㑤㙢ㅣち搹愹㥡〷慣㤲攷㜶㤸〳搳㥥扤戳攴㐱敢搳㈶〰慡昲㤱㌳攴㈹慥收愱㍥昳㘰挹㌸㑥㝤㕦摤㌸㠴晣㙥㙥摡昵㙣ㄹ㐴㥦搳㌸㍥㘴敦戱扤愱㤲㍢㔵搶㘷捦㙦㌲散㡦ㅣ㥡㌴㉣愴ㄵㅣ㘴ㄷㄶ㥡㘴㑦㑤ㄹ挵㈶㙢ㅣ户愷㥤㠲㌱㌲戴ㄴㄲㄳ挲㍦つ挴㄰㜰挲晡㡡ぢ收昷昸㌵㜴攷攱㌴㡥㈰㔵㉣昲㕣㑢ㄵ㡣㘹ㅦ〷㘸挳㍢㈱摥摡㈷㔰攷㔱㤳㠷摤搶㈲㔲㤳敡愰㜵㐹㤹㘰慢摦搷ㄹ攴搲㐶㉣户㔴㌴㔲㐱㙢㜷挹敡ち慡㝢愷扤扡ㄱ㝤愶㈷ㄸ㐱㈴扤搷〲敢ぢ扡㔳㕣ち㕣挱挶㔰㝣㤶〸ㄵ晦㉤㡥搰搲ㅤ〰搱挹㌰戰㌸㜹㌳愸㑣㍡㌳㥦搰昴㔰㔳㔵㐵㔴㙡戲㐴㌴〰㥤㈴㜵戵㍢挹ㄶ搳换㤲〳㝥㜶戹㑢捥㌰㈰摣戸㔲㈹ㅢ㍤昵㑤ㄹ㘳㘸收挰㠴㙢㤷愷㍤愳慢㕡㤳㑡慥㤹晢㡣戲捥㡣㕦扡㕡ㅢ㉢㜸挸㠹㔶昱㌱㥢户㜴戸〳㡡㈴〲づ〹挹㈳戵㠵攰搶㙦㠲晡戳㜸㡥㥡戲扣扡㑤昴㝣敥㠵㙦攷㔶㔹摢㘳㕦晥ㄲ换挳摢挸㕢㌰昷ㄲ愰㡦〶ㄱ昵㜶戶㌶愵㐷㉤敡〹㌳捤扥㜵㤳㠶㉢ㅤ昶㌱㥢搶㘹㑡㥢㠷㤴㌹㙦㘴扡愹㌶㘵㕣㜳㝡愵㠲㕥㉥捦㜶㤹㈳㔶愱㍣㕤㌴㐶昵〹愳ㅣ摡㙢摥㐰㉣つ㝥挹ぢ㘱㥦㔷㉤攸ㄲ㄰㘵〴户挲㘱〲㜱搱㈶㉥愶㝤ㄲ㘴㤵敥ㄶ㌸㝣戶㌰㜳昷慥㜳愷㍣敤㉦㥦换晣换ぢ㑡㤸戴㠶㉥摡㌲㈶㤸慡改㔷愹㙤㌵搳㐶敤㔱㕣捡ㄸ挵㥡慥㕤㈵扦㙢挹攸㤴㘴㤱慡慡㡢㜵㉣愰ㄵ㑡㘸敤㘰散晣昶㌶晡ㄶ㉡挶㕡戴愳愹愹ㅡ挵㤰㍥㕦ㅡ㐰㘶㌰扡㘹扤晣㠰㘱㝦挹㉢ㅢㅤ愶ㅣ㤷昵㈴搵㠱搴㙣㌷昷㑦㈲捤㌳搴㘹づ㍢愵㘲戹㘴ㄹっ㍥㜰㔵挳㑢攱㔱攳〸㉥ㄵ挶㙣户挴慢捣㑥㜳扦愳㕢敥ㄴ戳㜹㠵搹攵㜵㉤挹㉣挵ㅣ㉣㔹㔰ㅥ晦㥤慣㜷㥢攳㤳昶㜱㝣挱㌰㕤戱㠶昵㈹㜷㐹㌰㡡挱愴㕦㝣㡤㡡㡢㜸㕣㈴攳挹挵晡㈸㐸㌸㔰㌲戱ㄸ㈷〸㔸挵㘴㜴ぢ㕤㈵㤷㠲㉢ㅤ敡㉡搷㔴㜷㉢摣㌴捦㕣晤晣㠳昶㔷晢ㄴ㥦昹㌴挰挸昰㠱㤱戹㡢挰摦攴愳つ㈵ぢ㜴㉤扣㠰㤴㡡敡愵〳攳昵㉥㕦㔲搸㐷挱搱㈴挳搹㡡㑡㕦捡㤴㜳㈸㠸㜰㥣㥣捥敡㑥攴㠹搳搰㝢㔸㕤愴搷㘱㙥扢晣〶愳㌸㕣晦扡挱㔸捥慥㔴㜴㑡ㄶ愵㜲ㅣ㈶摢㐸捡㤰ㅡ㠶㐴㌳〱愴昸〵㕤晡っ扡昴ㄹ搹〵㑦捣㡢㐴㔹㈷㉥晢㠸敥㤴扣挹㑡愹㤰㘴㠳㤷㝤㑢㐲㈴㈱㐱扣昴〸㡢㤴㑢挴愷搱ㄴ㠲㥦㝥〶户戳㌸㌲㤰㜴攴㍥〴㌷㉥摤户㔸攴㉤つ愴㔷摡㜹敤㔶㘰㔳㜸敢㈱㜳敢晣㍤ㄹ㝥㤲㈴㑤㤱戴㐱㠹㜵攸㙦㤹㍢㙦挷㠴搴愸慤ㄷ㜷攲收搷㜶摡㠳慦㠹㤲㘰㈲㙤㠷㤳攱㜵㐹づ㜷㡡戸慢㍣㠶㐰搷㐹戲㘳ㅣ㌷ㄱ〹㕥戴愸㍥户ㄸ㍤挶ㄴ愵㈳搹散㕤㈳㈱慥昳㠳扣㜲敤㐷㔲㈳つ昸㝦㜱昵㘵㌰愱搴㑣㜹㥥扦つ㔵敤㜶〰挱㡢ㄸ敥㈷㌲攱戳㥣㜰〷㠰挲㠴㝣㔴ㅦ收扤㕢㘸攳ㄳㄵ摥㜹㈴㉢摣づ㘲ちㄵ㌷㈱戸㍢〱㐹搴㡥㈴慤㠳㜶㈷挰㍦㥥㌸戱ㄵ㍦㌱挱攴㝤昸㝥愶昷㠳〵摥㠵慡㜶㌷㠰挲㘵扦㡢㈴愶摣㕥昵〸㈹愳搹戹ㄳ㘳愷㔹㝢㐰散㌱㠳㤳㘲捤㜹㌰搲㈷愳㈸㘸昴ㄲ㍡敤㠱ㅣ㈰㕢愸ㅦ㡢㜶戳〸㘹愴㤹㑥挵挴〰㄰搲慤挶ㄸ愸昸㘶㍣㌱㘷挶〵㌳㤷㌴攵摡攷〰㐴づ㠰㈶ㄲち攲慢捣攷㔱㤷㉡㐳㡣戲搴愸っ㝡愴捡〸㘶㌷㐳㌶㜳㔲挰收摦㐳㔵晢〲㠰㘰收戳挹㠴㉦㜲挲敦〳㈸挳〰㔱㙢㔰㥦㉡っㄲ㡡〹昹㝤ㄸ敦搶㤲戸愶㤲㤷㜲㡡㔴愸㡥㥡换㌴搵扦㐷㑢攲ㄹ搴㉡慥㍡づ扢㙡ㄴ㔳扥慣㔰㠰戹㥢㜸㍣〱攳愲㐶㉦㑤ㅡ㕥㑢ㄴ攳㠶㑣㘷ち愶昰搴㍦〰㌸㥤ㄹて攰捦㌷㝣㥢挳戳㌳ㄲ㉣㙦攳㐷ㄶㅣ㥥扦捣㑡㑡㕣〵ㄸ㔲㈱捤ㅥ㕦㕤晦㄰㔵敤㕥〰挱㐴ㅣ㜳㌰㤲昶㌱敤㍥㔴挳昳昷晤愸㈳㐲ㄲ㑣搳㕤㠴扦㜹㑦㡥㠲㌹㍣㥥ㅥ㌹愳㝡ㄲ戹攳扦㕦㜹攲昵㑣㈹㝡ㄲㄱ捣昵昱㌴ㄲ搳ㅥ㈰攰摡挳㜰㔸㌰〵戸〶㝦㝥㤹㌷㘸ㄳ捣〵㠶ㄲ㠶㜷㐶〲〵挱㉣愱㤴戰〷㔱ㄱ㑣ㄷ晡ㄲㄶㄸ攵㠷搰戱愰㔱ㄶ捣㈴㠶愴㐳㌵㈴摤㔷㔰搵扥ち㈰昲〰㑤㈶㝣㡤ㄳ晥㤴ㄳづ〳搰摡㘹て〳㔴つ㔴〱㡤昰㌱ㅥ愱〳㤶㍣挲㠹㝦〶㈰捡〰㌴㔲㈴ぢ㐶㔱㘲挲㐲㌳摣㌰慡摣㜰慤㑡搹㘸换つ㝦ㅤㄵ㌱〵㔰愷㔲㡦愱㘳㘱㤵㜲㌰㉢㕣ㄸ慡攱挲ㅥ㐷㔵晢〶㠰㘰㔶戱挹㠴㙦㜲挲㥦㜳〲ㄳ㡤㔴㉢昵㉦〰㑥慢ㄳ搷敡㔷㔹攴㜷㐴㔶晦ㄲ㕤㤰㔵愶ㅤ㐳昴㘹昶昸戲晡㉤㔴戵㙦〳㈸ㅦ〷㜸㘷挹愸㜶捣捣搴㘴〸㘵戶㝦㤹㜹昵戴㕥挶㘷㥤㝢㜱㔴昵搸戵ㄴ〲㤵㠴㥦㌰㔸搰㈴挸㉤㕣㝢㍤慤㐱㤴〶昵收㈳搸㥢扣摣㔸㕣㐲㈱愵散〲㠷摥搹㕢愰㝤㤱敢〶扡散㤴昶ㅤ㐲〸敥㈷昰换㌹摡㕦〵ㄵ㌶ㄴㅥ㠴㕢㐴昲㤱㔳㌷ㅦ改㤹ぢ㐷ㄸ㘲昶㤵昹挵㜶戳㌸愶㍥愰晦㙢扥㤵㔱扤㕣挳㜷㠳ち㤷愸摣ち㄰戵晦つ搱㈰㐳㐸㘴つㄱㄷ㡥㝢戳㘵挴攲慣搲ㅦ昸㌵㠶㈴晥㌰㤶㘷㍢挸㈹㈴愲ㄷ㥥搵㘷㜹攱搹戱㈲昲挹㤳㝣㡣㈳㥦挶㥦㤲〳搹攷㝤㥥㍢㤸扢搸攱㌳㉣敡摦〰慣搸㕤㉡㌸戶㙢㥢㕥敦㌸㡥㤳扤晣〸捥㠴㌲つ㈸〳挰搸昴㥤摣㔸挲攲㔷捤挷㜸㔷㤴㍡㙡搹挷㉤戹ㅡ挵攵户㠰㤲㕥敤敤㝣㡤敦挵㔱㌹て㔴捣摣㠶ち㑢收㜶晦㌷㤶昹㙣㔸戹㈳愸㜴摦㠹ち㥦㔲㠳㡥㔳昶㤳戹ぢ愸挸㍤昵㈹㠰㘵戹挱㝣晤〷摢敡搳攸㑥愳㕢晡攷㝤昸㙣㑥㝤〶㍤㕤攸愹㌹ㅤ㘶敥㐶ㅦ戱㘸捦ㄲ搰搶挸捦愰㠵っ㐸搸晡㍢〰㔲㠰㤳〴〳ㄲち㡢戸ㅣ挴㈴㡢㔰㡦愹摦〷㤸㤷敥㘲ぢ愶㤱昶昵戴㘳㜴挲㤲㘱㠴挲㤲㘱㌸挲㤲㘱㐸挲愲搰㜱㉦㘸っ㠲昸㠰㑣ㄴㄳ愲㈰㡡挲㐸戴户㌷㘴敡敢つ〳㐲〷㘹㐴㘸㐲㔴㤵㔰搹㡣㈵戶搶昳昰愱㝡改攳挳㤲㠰晦㠰㡡㜶〲㈰㤵㘱㑣㈱晢㥥㘲ㅦㄹ愱㤱昶ㄹ㠶ㄹ戲晦〷散敡㈱㔸づ㈰ㄸ㙡搰愲愷挴愵㔸〵㉤づ㘷愵戴攷〹㘱㌹ㄸ㝥昰慤摡㡦㠲ちㅢ攲〱㠰㑦攲㑦晢㘷戶ㅥ㈴㘰敢㕦㠲ち㔱㠸㠷〰㈴挳㉥〶搲㤰㘱ㅡㄵ㠵㍡㈱㉥㐴㙦㈳㙦扥㈲㠷戱摥慦㠶ㄵ㍡㜲㤶っ㥤㌹㑢昷挳〰敦㡤㕣㍦〲捣捤㠸挷㠰㐰昶晦ㄸㄵ昹㐵戵㜶㍡㙡攲敢〴散㝡㌱愸挸㡤搳捦换㡤㥦㔳扢㜱㑡慡摣昸㔹㑤㌷㑥晦捥㤲昹㠶晦ㅢ换搰愱戳㘴攸搴㔹〴㍤㌴〵㔳㥣〹ㄴㄴㅡ戹愶㥦愳㐷㝢ㄹ㈰㤵愱㤳㙥戶㝥晡㙤搹晦ち攷昶ㄲ慣〶㄰㜴て㜲晤慦愲挲〹晣换搰㐷㔰愶戵搷〰㍡摢㠴戴摥㙣㥦〴〸㑢㠶㔶㕣捥㝡ㅤㄵ捣㝡ㄶ㍦摤昸㤳㔷搴㌵㌷戱ㅤ㔸㈷㍦㘸㕡㌱昰㜲攵攸㈵㥦搹㝢愷昷戱ㄷ㍦㝣敢摦ㅥㄴ愹㘰㈰晡㐱㔳㠶㙡㉦㌱晦㡦挴摣㑤改㔶昰愷攲慦愶㥣㤴搱ㄹ㍡戶晢㥤挹攰㌷戳扤㥢慡㈰㥦戸㕥㥣㝢捦㠰昲㤳㥢愳昷捥㌲㉤扦㙡㜰晢㉦㉦扥敥慥㘷摥㐸㙦ㄷ搴㡡戹搵㡦愱攵㕦愵㉡昳慤㍥ㄱっ㌴㕣慥㔳㜱㈴㑤晦ㄷ㤵㉡㑤愹㍤㜲㑦扦㐶〵搴㤲㝡㠳㙡㍤㑤愹㍦㜲ㄶ㌱㘰ㄶ挵㙤㙥㔵㔷㜰晥㠷〰挴㕢扦㥥㠷愶㙦〶〳搱摢敤っ〵㔴㘲㔶㈵收㙥ち捤扢愳㈹㈵慣㈵㑤ㄱ㕡㥦㌸戱㜶㙣晢㡢ㅦ㕤昱搸昰㡢慢戶ぢち摢摣敡攷㘸晡换昹㔶晦㐶㌰㄰扤㥥捥㔰㍣攵敡搳㔸扤搶㐹搰〵㤰㔲㕥挳挰ㄵ昳㕦㡣搶㜸㥢㍥㐴㌳㜵摦㤱敦挰㜷攱戳㜱㍣摦㠶摣㡣㝦㤲㑣挴㍦戸㌸㕣㌴攸㐹愰攲㥦昲㍡㜶昱ㅢ攰挱扥㙡〲っ㘲㕣㐶捣昱戶㑣愸㝥ち㌵㙥愱摣㐹捤扦っ㈰てㄴ㤳攱㔲㠷改㜷㜳扤昲ㄶ戶㉣㘳㡤㌴搲㡡づ扥捤ㅦ㐵㤲ㅣ挹㐴晣昳愶挰㥦㈳㜹捥㌳㜳㤸捥搲㘴㡢て慢收㕥〷昹慤㜶㜳挴㐵㉡扥㤸挴㤷戰ㅥ晥慤㠴戵ㄴ㐲㜹㐴㝦〹昲ㄵ㥣攵挵㜹扣㘹攰㜵〱㠶愳改慦㥡晢㠶㌹㝡㠴昷㑤㜱㘶㈳ㄷㄷ挸换挳㜵㕣扣〶戹㤰づ敦㤵昵慢㘴昰㠲㐴〴㥣㌰攵㔸挸昵攲㤸愹昵㔰戶㍦㠰挵昹㤹〰㐱ㄳ㐸㜶换㘶㐲扣ㄲ攲㠸摤ㄲ㥢挳戱㤲㌸愴搱〱㐸㘹敦慢挷㤱愱㈱㤲摡戳㡡〳㘷㄰㥣挹㈷〴㙤ㄱ㌵㐸晣っ㘸㈹戶㠱愴昱收㝦敥慤㜱昱㔲昸搶扡㤵慦㤶㌸慡㉢敦㈵摥㥡㤵搳搰搴慣晣挷㈱㡥扡㤵㥦㐷ㅣ㜳㉢㍦㍦㠲㠳敡㉥ㄷ昸㙦挱〲㘹晤㤲㜱㔵搰〴挸㠱ㄷ㠲〱㘶ㅤ㤳㐸㉣搳㉣挸㠱㝦つ〶攸㈴戴㑢搰慢㤰搲敦㤸攵㤸扢搸挳捥ㅡ㍣㉢挸㐷攲搰晡㠲ちㅢ㠲㡣攲㌲戴戵散㈵㥦昰㍦㍥敦て㉡㙣〸㌲㐹敥攰㥦㈲㝢㈶攳攴挰て㈳㝢㈶㌳攵挰て㙡昷摣㡦㕥㐱ㅥ挹ㄷ慥㘷㡢㉣挲晦昸ㅡ㍢愸戰㈱挸〳㌹㘷㈳㝢挹〲㜶㙢㥢㠲ちㅢ摤㈴攰㈱㔴攲㌳愲㜰戸㜸昸昰慦扡ㄳ扤㘷㈴慥搹㥥晥搲㑦晥晥愵㝢㥥扦㙥敢换㙦摤㝢敦昳㍦扢攷挴㕢摦㥤搸晡扤〷ㅦ㝣敥捡晢㑦扣戴摣㝣㈰晥慤㕦㡤㍥㜰㔳晦搱㥢㙥㌴て慣ㄹ扥改㜷㙥戸扡㝦㙣㔹㕦㕢㕢㝢晢㐵㍤摦㍦晤攲捣㉤㌷㍥㈱㥥㝥攱㝤㤶㤰㐴攳㙢㐳㈳㠷㝡㉣㐳攲㐹挹摤㠲ち晣愱㈴㕢挳㉣㤲㑦捥扡㕣捥敡收捥摦搳挵㑡㘲㌶㉣㠳㐴㤵换戸㐲㉥㐳㐸㜲㌶捣㈲㔹攵慣慤晥㉣敥㑣㌲敦㤹㠰㜹㠳㜸㈴〹つ攴㘶攴挰搳㤱〱愲㤷〳㑦㐵〶㠸㔱づ㍣㔹㍦搰昱㝦㝣ㄷ㠸搲</t>
  </si>
  <si>
    <t>Đây là bảng tính Excel do Nguyễn Xuân Thành, giảng viên chính sách công tại Chương trình Giảng dạy Kinh tế Fulbright soạn.</t>
  </si>
  <si>
    <r>
      <t>EBIT</t>
    </r>
    <r>
      <rPr>
        <sz val="10"/>
        <rFont val="Symbol"/>
        <family val="1"/>
        <charset val="2"/>
      </rPr>
      <t>´</t>
    </r>
    <r>
      <rPr>
        <sz val="10"/>
        <rFont val="Arial"/>
        <family val="2"/>
      </rPr>
      <t>(1 - tc)</t>
    </r>
  </si>
  <si>
    <t>ĐÒN BẨY TÀI CHÍNH</t>
  </si>
  <si>
    <t>Chưa tính tác động của nợ vay</t>
  </si>
  <si>
    <t>Giảm khoản phải thu</t>
  </si>
  <si>
    <t>Giảm hàng tồn kho</t>
  </si>
  <si>
    <t>Giảm tài sản ngắn hạn khác</t>
  </si>
  <si>
    <t>Tăng khoản phải trả</t>
  </si>
  <si>
    <t>㜸〱敤㕢㝤㜴ㅣ搵㜵摦户摡ㄹ敤慣㈴㙢昱〷㘰昳戵㄰ㅢ㡣㘵㙦戵慢敦㠲㙡㐹㉢换〸㙣换㔸戲㥤ㄴ攸㌲扢㍢㘳㉤摡て㜹㘶㘴㑢㉤㉤㑥㈹㈱㐹て㈱㠵㤳搳㤲㤲㐲㌹戴㝣㌴㘹㑦㥢㌴攱㠴㥣㈶〴㤲㤰ㅥ愷愷㑤㐸㌹㥣愶慤㑤㌹戴㈱㈴愱ㅦ㔰摡搲搰摦敦捤散㙡㜷戵㤲㙣攱㥣敡㡦㍣㘹敦扥㡦㍢㙦摥扢昷扥晢敥扤敦慤㑦昸㝣扥㜷㤱昸捤ㄴ㘰收攲昱㌹摢㌱昲搱㐴㌱㤷㌳搲㑥戶㔸戰愳㠳㤶愵捦敤挹摡㑥〳㄰搴㘴ㄶ敤戶㤲戴戳扦㙣〴㤳挷っ换〶㤲攲昳〵㠳㥡㥦扤㜸㥦㜰愹愰昱㈹㡤搵ㅡ戰㝣㥡ち搰摣〸㌰㥥ㄸㅡ㑢摤㠶㤷㡣㍢㐵换搸ㅥ㌹攴㜶搵ㅦ㡢㐵㘳搱㜸㑦㔷戴㝤㝢㈴㌱㤳㜳㘶㉣愳扦㘰捣㌸㤶㥥摢ㅥ搹㍦㤳捡㘵搳㌷ㄸ㜳ㄳ挵㈹愳搰㙦愴摡㍢㔲㝡㘷㙦慣戳慢换散敢敢㙤づ愲攳扤㠹愱晤㤶㘱摡攷愸㑢㡤㕤㡥㈵㠶愲晢っ攷ㅣ㜵ㄹ㐲㤷晢ㄲ㐳挳挵扣㥥㉤㥣㥢㍥ㄵ㤲戹㙢搸㐸㘷挹て挳戰戲㠵㈳㔱っ扡㡡挸㈸昵㐴〷㙤㝢㈶㍦㑤搶㈶㡣㕣敥㠰㘱㤲㘶㕡㝥搸㜶昶敢㔶摥㙥捥㤳㜸㠶㘵ㄴ搲㠶扤㈶扦㙢㌶㙤攴㍣㐴㍢㤸㍦愴㕢晢昴扣ㄱ㘰愶㌵敦昲㙦㌴㘳ㄴ㥣慣㌳搷㤲㍦㘸ㅢ〷昴挲ㄱ㠳㈸㑡㝥昷㑣㌶㈳〲〱晣晢ㅡ慥慡㌷㌲挹㈵㡣㈷㥦㤸搴㉤㐷㤶㌸㤶㔸㍤摣ち㔱㤱戳愸ㅡㄷ挵㈹㔲昳ㄴ㌹㌶㥥捤摦㘰㔸〵㈳挷㤷㤰㡦㙤㌵㐸㤲㐰㉥ㅢ捡㤴㉡㑤㠷㑣ㄲ㑤摥㝡攰㕣昸ㄶ戵〹攰摡〹㉢㡢㘹捥攴㜴㙢晢摥㙣愱扦戳㈷摡搱搹搹戵㝤㑦㜶捡挸㘵つ摢改敦敡㡤愲扣㔷㥦敤敦㐱㕢㝢㝢㉣摥搹攷愶㕥慤ㄹ㍤㘸㉤散㙢つ㐰敦慥愱搱㠹㐸晡昴搳㡦改㤱攱㝤㤱愹挹㘷㍦㔷㌸ㄲ㤹㍡晤昴㥤㤱捣改愷晦㌴昲散敦㐳㐰ち捦摤㤹㡦挴摢摢扢户㐷㥣搳㑦㝦㈱㜲㘸摦㜳ㅦ搷㕡搹㑦ㄸ㐰〴㝥㡣㘵㕣㌹㔲づ搲㥦搴晤挹㤴㍦㤹昶㈷㌳晥愴攱㑦㥡晥攴ㄱ㝦㜲搲㥦捣晡㤳户昹㤳㔳挰㈹愵㘰㘳愳摦㑢㔷扥㜹捦摢㥦㝤昰㍢㠹㝢愳㍤㍦㝥敢〳敦晣㤵挲㤵ㅢ慦㐷戶㕡㡥㈴㡡㤶㘵攴㜴ちㄶ㠴㡡搴摥㤸㥦㤷戵搸攱愲㌵㘵㑦ㅡ㠶㐳㔲㠶㉢㕢㔸㔱㠹ㅡ㕦ㄴ㌵㑥搴收㝣愲㘸㤸㘶㌶㥤㠵搸㙤昰ち㤰㝢㤴昰㕥㈸㤱㠹㘲㡤搸搶ㄳ捣〶㈴㥦ㅦ㤲㔹㐵户ち㙥㉦㔶慦慥㑣㍣ㄷ㐸㤲昸ㄱ㤸㐶挶扤戹㙥昳昵㐷㡦㝦晢晡㈷戶㡤㝤敦扦㥥昸㕡㥢昸愱搷搰晣戱晦㝣昵搵搸晤搷㝦㘲攷㡢㐳㐷㌷晤晤㐳攲昵挵㥥昸㠱搷㔰换扣㑦㍥挰昴晤㥤㈱敤㝣戲㕡㝣摦挳㥢扥攰攱攱搳晢㍢〷㑦散㐸昸㕦㝡敡收搷〴㌵戳搴敥ㄷ㈲㜳昱扥愲㤵㠷戲摤㙢攸㠵晥㡥敥㘸㝣晢戸㤳ㄹ㌶㡥昵挷㝡愳㌱㙤㈳㌰戴㑤〰敡㐵〰㔷㔷㠸敦㌲昲㝡㌱ㅦ扣〴㐰㠸㤷ㄷ㤹愱挲捤愱攳㑣㠴㙤〴㕢㐶㕡户ㅤ㑦㌳㜱㘹㥥㕢挵戵扣摥ㅡ戱搲㍦㝤扤㠵㤷㥣ㄳ扤愵㕤㐶敡㐷〰搴换〱搶㈵〶㠷挷㈳㤹愲㕥㤸㡣ㄴ㡥㑣㘶㑦㍦㝤昷戴㜶〵㔱摥〷㈰挴昷㍣〶㙤㕤扢晦㜸攳㍦㘹扢㝦攳慥㥢ㅥ晦㐹昷搱搳捤㕢搰㝣愳户㑡㠶㉤晤㌸㜶㤹昹晤㉢ㅥ㙤攷摦昲摢㌶㜶㙤戳换散㌱㘳戱㑣㔷扢摥愱㉢搴㠹㘷扡㐵㔰攵㌵㥢㠷戳㠵㑣昱戸摣㌳㉥ㅥ搲㙤㘳㥥ㄵ㙤㕥摢㔰㜱愶㤰戱㉦慡摦㌸敥攸㡥戱愹戶㙤扥㤳〵㡦㡤㘳㐷㌵㙣昹扥㑢㙢ㅦ㍢愴攷㘶㡣挱搹慣摢㝣㐹㑤㌳昶搳㘲㙡昱搶ㄱ换㌸㕡㙥㕤㌰愲㐱搸㘰挷㘴摦ぢ㘶改㌶戹攳㡡㈴㈶㡢戶㔱㤰挳㙢换敦捦愶愷っ㙢摣愰〵㘷㘴攴㔴㌷戰挹摢搴摢挶ち㤸㈸戶改捣ㄵ㤵戵收慥㔹挷㈸㘴㡣っ挶㍢㙤㔸捥摣㠴㥥捡ㄹ攷㔷愱戸敦㐴挳挶慡敡㤱㘲㝡挶㑥ㄴぢ㡥㔵捣㔵户っ㘶㡥改㌰㈴㌲㝢㡢ㄹ〳㜶㐰㠰挹㈷㝣つつ㐲昸戶搵㕢攸散搷㡥㑡㐶㔴戰㤸㘶挱㠵搵㘲ㄷ㍤㠰搹㘱ㄶ㌹㠳㌲改摦扣㑣㘷戲㕦㜶㜳昵攲㠸ㄵ㜳愲戹㑢散慤㡢㘳换㌱㤶㌹昷搳㐵昶晢搷㜹戳摦㜵っ晢摣㜵㝡㈱㤳㌳慣㈵㡤㜵挱ㄱ㘹㔷〲㈸㉦㘱㌵㉦㑡㍤敥敦㘲㔶捣㈹挷戳ㄹ㘷㔲㥤㌴戲㐷㈶ㅤ搴挱愰て〶㐹摡〵㐹摢㡡㉡敤㙡㠲㙤〰愱㤰㑦㙤㈳㤲ㅡ搲戶扢㘵㠵收捤搹敦㤳㜴ㄹ㌴㘹㌶挲挰户㤵㍣㤴扣摤搰㔰㙦㤶搷改昶愴㐳昱㕣戲㤱扢㠲戶㠳㈰ち愰搰㘰㕡搶㑡㈴㔲㠰挶㜰㑢㝥搸㌰㜵昸ㅦ㜲㜵ぢ㕤挹扢㔶敤戰㘱愷㌵㥡扦愳㔸㉢戳㉡㜲㔸晣戴㐹ち㡥㌱敢っ敢㡥摥㤸㠷㈱つ㉥㘹㐰㙡㤳㑦戹㌹㍥搹㈲敢㑡㑦㠷扣ㄲ㝡〸换㙣㐵㉦㑤戲挲敤〹ぢ〷敢挵搷攰挱愵㈷㠱戱㜳换㔰㙢〵扤摡㈰㠶㥤㥥搹㙤ㄴ㈶收愶つ㥢攸㐱㜵㐹㔲搶㉥㉦㜶㌶㤶㑥ㅤ㜴戲㌹㍢㡡㤱敥戶㡡㌳搳攷戲ㅦ昶愵晤ㅣ㐰㈹㈹㝦つ㈹㍥昳㌹搱㤹㙤㍣㐶摥㈴㤳扥㈰㝢㘳㡤㐶㤳㕢愳戴愲戳㜷昱㈵㤳搶㠱慦搰㔲㙤ち㌷㥤戳㜱ㅥ㘸㔰㌵攷㐱愱〹换㤰敥㔰㔰ㄶ㐰敤㤶㍣捤摢㔴戱㌸㐵㜹㕡㈳㑢㘵扢戸挹㜳愹㘸攷ち㈱ㅡㄶ戵㑥改㥣愸㍤〰㉤㠳戹㕣愴搴愳慤昶愲慡〱捥㡥摡㠷捣戶挴愱昶敥ㅤㅤ戱ㅤ昱㡥㘸敦㡥㘱挳㠹散㥦㥣㈹挲扤ㄸ〶搸㌱㔸搰㜳㜳㜶搶㡥捥收散㔹昱㜵搰愳慥㌵晡㌵慦愱搶戶ㄴ㌴㈹戹捥戵㙢〹晡〱〴㙤㐳改摥晣〲㑢捦攰㐹慡ㅥ攴慢㤳㌶㠰戲㌶㐸㌰〴〰〵㈲㔹〲晤㌱散ㄶ〵敤㑢搹昷㉥㈲㡤〰〸㥡㡦搲攵搹㡤㑣㈹㠹愷搰㍦〵㐳㌲㤷〶改㐲收摥㠰摡㤰戶㐴㥢愰㔱㑡〶㙢㈴愸㐶ㄲ㙡㈴㥦昸㘳㜴㕣㤷㈶㥦昱ㅡ㙡㉤㜴㠵㔶搶ㄲ㜶㑣㤵挹戸ㅥ戸㔵㜶㑣戳㌹㤲捤㌹㠶㈵户慡㔶ㄳ㕦慥㌳㉦换㉤摣㥥㉤㍤敤扡挹敢捤〴㜶㘸〴て㥣㌹戹つ㐹㤴〵ㄶ㠲扢㠱晥捣づ㕡㜵㜶㤰戴㠲慡㙣愱㈵散っ〸㑤㡤㈵戴㌴㜲㠵㄰搱〴愸慢戵愴扣㐴搱㜳戵㤰ㄱ扦㔶挵捡㄰㐹ㄹ扦㔲〸㠹摤扥戸㝤㐴㘱㕦㈸愴㝣㘸㔱㕢攴㘷㤶㕣扤戰慢㙢挹㑤㠰㜰摡㐱㠲㐳〴㠷〹摥て㈰ㅥ㠳㌲愲㥡㝤ㄳ㠵ㄷ昱戹ㄲ㘶搴扤㔲ㅦ晥㈲㜱㙥㈲戸ㄹ愰㐲捤晥ㄲ㡡㙡ㄲ愰戵攴㐷㐷㕣ㄱぢ昹㐴〴搵㔲昵摥㡡㡣愶〳㌴愷〰昶㕥㘷攴攰ㄵ㥣愳愰慡㜲〵扡㕣摡㡣㠱昸慣〵搲昹昹昱戹㐲㝡搲㉡ㄶ㄰㙦愶㜵㌵㤸㐶㕣搲ㄶ扡㥡摦㔳㑣捣㌸㙡晥扡㉣扥㥡昳〷㡣㘹㐳㜷ㄲ㜰晡㘰扡敤㐱㘸㐰ㅡ㘶愳㤹搹晦㑦挳㑤㠶挳攱㑦捦摢㙥愲㜶昱扡㈶㤴㐷摤攸㜰ㄱ〱㙥㐳㐶摣㐹㜵㔵㠵ㄱ扥ち㉤㌳㥦㤶挶攸ㅥ晡搷㈷慦搹昲愹㍦㜹搷晢扥〳㐲㈸㤳㜶㌹ㅡㄷ㙥挴㈶㙡㐳㑢戵〹〶ㅦ捡ㅢ戱㍡㠵㔲〳挴挰摤㡣敦㐷搷㜵㌷攳晢扣㠶摡㔸㠵㐲摦攷㉣㝣捣㈶愰㙢收愱慣㜱㥣㐶昱ㅡㄳ挱散挴㡣敤ㄴ愵〵摦㘲づㄷ昷ㄵ㥤攱慣㍤㥤搳攷搶㤹㕥收昰愴㔱㠰㝦㙤挱捤慥愹㉢㑥㑦ㅢㄹ捤ㅣ㉦捥㔸㘹㘳㜴㜸㌵昸摦㤸ㅦ搴㠵㜴扤晤㌰㉥挵捡㕣㑡㐸戳㠰㉥㐱昲㈹㕢搱㘱慤㘷㔰戱㕦捣㥢㈶㘴㙡敢㍣㐵㈷戲㑥捥㘸㌲㘵扢捣〷㑤㔰ㄱ㐱㡢㑣愳㌹㌱〹㡢㜹戸挵摣㙤㘵㌳戹㙣挱㈰㌳㘰敥昰㠴㘰㡦㜱〴〱㡡晤㐵㍢换㈰㜳㡢㌹㘱改〵㝢㥡扥㔶㝡㙥㙤㔵㐹慥㝤挵ㅣ捡ㄶ㙣扣㐶㜲㤱昹㔶㜳㝣戲㜸ㅣ㘷㕢㌳昹挲㙥㝤摡㕥ㄵ㕣愱慡㜶㤳㘴㡤昰ぢ扦㕦〴晤挱㤵昲㐷㉤愲户ぢ收㡦㈸㈲㤰㔵挷捡愶㘶㐸㌴昹愲㌸㘰㠰㐰昲搱愷㕣㡤摣ㄲ摢㍥㌷㝦㉦㜴挴戰〸挷㕢ㄵ㙢慤敢愱㤷てつ戹攱㙢搳㝣收㈸挰攸敥㠳愳昳〱挳昷㜲搴愷㌰昶㔰慢㑣㙢㠵慦ㅣ㥥搹〰攴㌵慥ㄴ戱㡥㐲㠵挵〹㘱㘰愹㔶㌲㐳愶挴愱㤰慥㤹捦㡥挰挳㙦㌶昷攸㈹㈳㠷㕤㌳慦㍢㙢摣〲㉤㈰㠴换㙤慦㉤㔱捣攷㜵㑡ㅤ㈵㜶㍣慤攷㡣愰㌹㌸攳ㄴ㜱㔰愴㤹〰㔲㌴扤㉡㝤ㄶ㔵晡慣慣㙡㌶て㌰㘰㈹昳散慢㜸㐴户戲捥㘴㍥㥢づ戲挰愰攲慡㄰㔷愸㄰㠶㡣㑡愹愴㑥㙡㌷㜳㜷㕢〳户愳戰㉣㐸㍡㜲ㅦ㐲敤ㄷ㉡晥挴ち攳㔹㔰㍥㜲㕦搱㙣昴愶挰搰㤱摡㐸㡥攵㡤搲㐱昶ㅢ㜷㐰㐲愵㝥ㄲっ㐷㔱㕣㌵〶戴㤸攱㈷挰㠸搰㤲挱づ挶㡤㐲㝢㡡㝡㘶〴晥㔶搱㙡昴㑥愶㠳㘰㉤戵㡤ㄵ㘶昸㈹㠱㠸㈶㈲愵挷戲ㄹ挳ち戲㘲ㅣ〶㑡㠰㠱㉢搵攵㈱㌶慦〶㥦愲㌴〵敢扤㙢戴搴搷㘶㉦慥㔷㜹攰㍥扡愰晦搷㙦散摤挹昳㤹㔰㐸敥㔲㌳挸㙡挷〰〴〳㕢㥣㑦つ挲㜱㈲捣〲㈸っ愱搴昲愶㍡ㄲ攴挵㡢〲昲㕣㤷㌱慡㈰攲㌹㌲戸愵挸㠹㌴㔵〴愵㔴㌷ㅥㄵ㉣ㅤㄶ慢攳㤰㜲㈳ㄳ㜲㔵㉣捤㌳摡㍡㝥㥣慢昹㠳㙡慤㈳扣攰戵攸㉣㍦㙥挸㘸㤵㘰㠴㐶㥤〳ㄸ攰㘲㐱晦挹㡡㤳愵戳㍢ㄸ㙤㐳㉦戴㐳昰㈵㔳㈸愴晤ち㌳㈱挱㌸㑦㠹㕡㈴愴㐷捥摢㤱搵㝥ㄵ㐰㌰㤴㔱㐲㐰戶㠴昰㙢挸㙡㜷〰〸㠶㌹敡㈰㥣㈰挲〷㠹挰挸〷つ㡦㡡㙤㔲っ愰挸慤搲愷晥㍡挰㍡昷㜸㙤㔹戵㉣〶㠱㑣搵慣摤〹㈰㠶〰愸昲捡㑢攰㉥攴㤷㕦〲㡣愸㔰敡戵て㜹ㄹㄶ〴挳㉡愵㘹㜰ㄵ㜹㠴戸ㅢ㔹敤挳㐴ㄸ愹㡦昰ㄱ㈲㝣㤴〸㡣挲㔰戶搴摦〴㠸搵攱搹㌲愷㠱㜵㤸㜴て㝡〲㤳㙥〰㉣㡤㑤㘵㡤㉢昳ㅦ㐳㔶扢ㄷ㐰愱㈷戴㠴攲㠷挵㔸攱㉦㌳攰愷㥡〷ぢ㔹〷㍡㤹挳ㅣ挹㍡㤰慥㘶ㄳ〰㔹改搸㙥㤲扡扡攲愱戶戲ㄹ㜸搹挲愶㉡扢昰搲㠵敤㤵㠶攲收㍡捤慥〹㔹㘱㌹㉥㠷㈴㑤挹㍡㘳㕣㑤戶愵㜰㍤ㅤ捦扣ㄴ㕢ㄶてぢ㔴搰㥤愶挱㝢戰㐴攵㑥攰搳㝥ぢ扤㐰挴换㐶㈹㝤攴愵挵愳㈲㐲㈲戵〰つ㔳户慥挵ぢ挱㡤ㄶ㙣攸昵㤰㔷挲慥扤挶换㡥捤㌸㔵㉤晡散㍡慦〵㜱搸戱〲㑣慤戴㙥㘵㔶挹㐶つ㐲戸㈶愵摣㜳㔷㘸敥㤳扡㐸ㄵ摢㉢㔶㈴㡤㝦㠶㈱捥㈶戸搴ち晣ㄶ㤲扡ㅣ㜳ち戲挴㕢〶㈱㘶摣㑢〶搲敦摡㙦挰㘹挲㥤愲㥣戱㑥㍥㔰㉥捡つ㐹㌳〷㔳㌶㙣㜸㠷搶㤹㤷㤳ぢ㕣㌳て挸ぢ㈸挷っㄸ㔳㕥㙥㝦摡㐱㈸戵摣〱て㐳㔷て㜷㐰㤱㠰挷㈱㈱㜹愴㉥㈱戸搵㤳攰摡㔹㈱㐷戱〳㤸㌲晤㘸愷㜰㙦㠸㍣戱搳㔷捡㤰户㘰㉥挳㑢㑢戸〴搰戱㤵㤱㐰慥愲㜵愵〰戵慢搹愴搲㙡㉥搵搱㙦㘸愱㡦㘷㌹戸㌱挰㑢ㅢ慤㕣㌶㌹㔸㔶㑥ㄶ㌶㜲㙥㙥㡤㌹㕡㐸攷㘶㌲㠶㌴戰㑢扡㕡摡搹慢㠲㕦昲㜶愴换慢㈵攸攲ㄱ㘵ㄴ㔷㈴㑢㈷挸㉢㜷戴戵晢㐰㔶愹攴搰㠷换ㄶ〶晣捥㍡攴捡戳愲戵昳〷〶昲㠶ㅥ㔴摡㠲㉡敡㌲〶捥捡㔱㕢戹摡㉡搰昶ㄴ昷ㄴ改愴㔷㔴㕤㤷㜵慢㔶〵㡦㌰㑦㔷攱愹㉡㕣㡣ㄵ慥づ㜶㜲㘲㙣㠰㕦搰㝡㜷㥣ㅣ扦㘱挳挹挳慦敦㜴户ㄷ㥦㘰㑣㔵摡㜲㌲㤰挵㡤挷㐷㑦摡㍦敦㑥ぢ㐶㕣愵摤昶〹㘴〴㐳慦慥摤收昲㔲晢㙤㔴㉣㙦户㌱㐴㉢敤戶摦昱㌲搲㙥扢ㄵ㠵㤲㙤㠴㙣挹㌶㝡〰㔹敤㤳〰㐲〷愸㠳昰扢㐴㜸㄰㐰㐹〳搴㉡㤹㐵㐳㤰㜴㌹㤴㍣捤晡㘰㥥敥つ㤶愸㡡㤳㙥㠴㔸攱㈲愹㑤挱ㄴ扢晤ㄴ挰户㑥㥥愴㘵散ㄳ㈶㐰改晤搲㡤㜲㡤户摦㐳戵昶㄰ㄱㄸ〹㤰昳㝡搸换挸㜷搰㥤慢昵㔲ㄶ㜸㤰㜴㍢戱㈵挳㤷ㅣ㜷收㜲昰摦㤹愵搷攲收㌸㐰户ㄹ扥㔴搱挲㠲つ搴ㅥ㌴㤴㥦攵㐱㐳搳晡㥡ぢ㈵昲㌱戶搰㔵㔵㤲昰㈰ㄶ㝤㥥㌳㤸㍦㕤收㌳㑣敡㈳〰敢昷㘶搳㔶搱㉥㥡㑥㘴ㅣ攱愹〸㉦攸㠰㉡敤㠳捡㉤攸戱敥㍢㌹戱㐰㠱㜷㘶㡦昱挰㍡㌴㔵㈸ㅥ㉦挸搱㈸㌶敦㈹㐹㝡㌵㌶昲㌵㕣换㌲扤て㔴っ搳慤攵挳摡愳〰㉤つ㘱晡㠵愴愷晡〷〰㕢ㄲ㐳㠹〳㐹㍤㤶㐹㘷昴敥捥昶㔸㙦扡㌳搳㙢愶攲㕤摤㐶扣慢户㌷ㅥ敢㐹愷扢㔳敡ㅦ㤶㔱㍢㌲㥤㝤改㥥慥㡥㡥㉥扤愷㌳ㅤ敦㑤挹攷捣昶扥㜴㠷慥挷晢晡搴挷捡愸㥤敤敤㥤昱㔴扡慢扤扢户愳戳㉢摥搳搷慤㜷愵攲摤戸愲摡搹㤹㠹㜷愷挲㜴㑥㌹ㄲ敤㜱㠲㈷〸㥥〴〸搳㌱㤵昵㝦挴慡㑦ㄳ㝣㠶昵昴㔵㘵扤㐴㤵てㄱ㕦愱攳㜶愶㝥㈴㈹㈱㔲㈲㉤㌲挲〸㌴㌶㉥㌰㐲ㄷ昸㥦攵换て慡慡昱㘵㘳㘰㔰慤攵㕡晦愱㙡晥昳㘱㝡㔱摡㥦ㄱ㝣ㄶ㈰ㄴ愶㑦㈹㔹昱㌹㘴捥㑢っ㈵慢敦㑡慢㝦㡥敡㘶㔴㑢ㅤ㡢㝢慢戶晡㜹搴慣㐱㑤㐵戸㉤㑣愷㔴㤲攵ぢ挸挸㑢挳昲晡㜰㤸づ㈹㔳㤸㑥㈹㔳昸㠴晣㐲收㠳㕥㐶摣㠹㡣㤴㥣㉦㝡ㄹ㜶㈴敥〲攰㙡ㄳ扢㌰搹㈴㍥挸晢㌴ち㉥㘵㔴㈴㔰㐳㌹慤㤶戳て愱㔱捡搹㕦㈰〳㌹扢ㅢ㕦㥣戰晡㘵〰㔷捥㘲戱㤴搱㥤㐹㥢敤㍤㐶㝢㘷㔷㝢㑣敦敢㑣敢㝡㕦㡣㌵㝤ㄹ㍤愵㝥愵㡣㥡㡡㘷㜴㈳搳搷㤱㑡㜵㜵㜷敡摤㌱扤扢挳㘸敦敤敡㌵扢㝡攳㐶愶㍤ㄳ晥㌰㔰㈵㍤㥦㐱㐶晢㉡㐰昸㈳愵慡㘷㔹昵ㅣ慢㍥㕡慡㈲㠲㐶㔴㜱て〰㈵㐶昴㘱ち攴愶愴摤昳㙣晦㈶㐰㈸㑣㈷㔲搶㤱㉢ㅡ㜹愰㤱散㘱晡㤵戲晥㕢慣摡㐴挰扢っち㝤㡢㕡㠹愸㠸㌱㔶昸㌲㔴㜶攱ち〷㔳捡搶㜹收㡤㌳㝡づ㔷攳挷㘰敤㌸慣㕡つ晢㘴挰戵㌹㤷㕤㔶㜲ち㌷摤㐲改慥愵㐱昵慡昰收㈶敦ㄱ慤㙣搷つ㈹敤攰搶㤹扤㠵㌲㍤慦㝢㌹㍡㜲㉥愴晤つ㈱㑣㔷㕡㑤㘷㙥愲戱户㜵搰戵摥慦㕤ㄸ㘶㙤换挱㕡㍤㠳愰昶户昱愸㤰㝢㍣㌲摡㜷㔸挲㠷㠳ㄱ摣攳攵㉡摢㡥㘹㈵昱㐱搹愷㝥ㄷ㘰搱敤㐱㙣〳摡挲愵挷敤㕦㉥扤ㄷ㤱挱搲攳㔶捦ㄴ收㜶捦ㄴ收摥捥ㄴ收晥捥搴捡ㅤ㤹ぢ㔸㘵改㕣愶㌰昷昱㝡敢攷愱㔲晤摦㈱愳㐵〸㉥〳〸㍦っ㈰㐷晦て挸戴㌴㈸㡦攲敢㥡挵㘳〳ㄵ慡慦つ愶㜴搵㙤搴㕤戸㕤㍡㐷慤搰㠰ㄸ慢ㅢ㤹っ昸㝦㝥㘵㝤㔱戲㠳攸㡡ㅦ攵㜲搰晤㍤昴㔳㉤㡥散㤱㌳搷㑥戱敢挷〱敡㥡敢戵扦㥤愸晣㌵ぢ戹戶㈱㍦㙡㘳㔳㤰㍦㘶ㄸ㉣晦愴收扣搲㘶搱㔶扡㈴戹㘵扥愶攴〹㤷ㅥㅢ戳捡捦攱搲㈱捣ち㌴戴昱㑡攵㠶昹㔲㐵㘴昷愲昹㕡〴㍦攰㤶ㄹ㤹㔲㡦㌶㐲㡥〱㝦挳㠲㤳㙢愹〸扤ㅦ捦㌰㤴换摥㜰〱㜸㌴㐳搹扢愸㑥㕣㝢㈸敢挸㘳㈱敡㑡愱搱㐶㔱㕦〶㔰晡㌷て㙤敥㔱㉥〱ㅦ㙡㉤搳㐵㕦㔱㑤㜵扥搰㔵〲慦戰敢㈷〰㐸㝡愱搱戸㔱㕦〵㤰敦攸ㄵㅢ昱づ扥㠷㌲ㄹ搲晥㠵㌸㑦〲戸挸㌴㙦搴搷〰㈴㜲㥦搸攰㈱㔳攸㐲摡敢㠰㠲㔶㑢改㜹㐱敢㠵〵戹攲㘹挵戰㐰攴㔶摡〱㘴㈳㍦ㄵ改㡤㥤㕥㘱挰晤づ㝡摦㘱敦㝢晤㐰㉢㡤〷昹攴㉤攲昲晢〶㤵㔳㜷搴㥥戱摦昶㈵攷晥ぢ㍦扤㝢㐰晡敢㝤㝢〷㍥晥挳摢㜷㜶㡤㡦て〸㕡〸攵戳昳㡡㑢㙣㘱っ慡敥戹㜹慢搷㔰㝢戱㉦㑣㝢㐱㉥摡㝦㐳愶愵㐱㜰搳攷挲ㄵ㉤㜸㠲慢㐵ち昸㝦戰收ㄹ〰㤷㜸㕦㐶㑥㝤㡢㠰摣㡣挵㠵〶挴ㄲ㐱㐲摡摢挴晥㙡ㄹ晢㉢㐴晣㙦〲㠹摤㈱ㄴて摢攵攲㍢㘸ㄱ捦〲㤴挹晢㥣㔷㤰攴㝤ㅥ〵〵㥦㌳㈶㙦㉢㜷㝦昹挴㘲㘴㤵攴摣㌸攴㤲㜵㘳㝣㐰搰㄰愸㐷㑥㥥㉣搴㈵攷扢㍦㜱ㅢ㙡敦〴ち敥㑢ㄴ㔷捤て挸昹㐹㜹㤱㥢〷㙢ㅢ搸㠶挴慦㌰㌷ㄱ㐹㝡㠶ㅢ㐰㝡㉡㝤㐹晡晦㐱敦㘵搲慢㘸ㄴ搴戴昳〳㥣㐲挹扤㈷昱㤶㌷㡥〵㍦㉢㝡搳㙢㔸㜰㑦㠲扡㜹戹㝢ㄲㄵ㍦㝦㘰ㅣ㑦㌱改㜷㌵㤹㙥㌵搵愹㡣㤵收愴搳搲㡣㌳㑤ぢ㍦㐰搸㠳搳㝢㥣㘴攲㐷㜸㥥敤㡢㔳㝤晡㤲愵㔳㌳㑤㤶昸戰㙡㡥㔹㌸㐶㙢㌴㐷㙤〴〲㌳㐱㕣愰㜶㜰ㄱ戲戰ㅡ慣㈵戸㤱〱㑡ㅤ昸挶ㅦ㉤昸敢㝡㜰㕢搰㕣㔷㜷挹昳㠵攸㍣㍤㑡㔱㈱㍦㡦㐲㔷㘶㉢愹捤㘰㝦攵昹㝥愶攲㝣㍦㈰晥ㅤ㙣扥〵㐲ㅡ昲㥤昰扤㉢挷つ㕢㕡㕢㠳㘷愴㔲㤰㜲〶㄰搲挲慣㙡〳㠶ㅢ㐷㔷㑥㈱㕢㍢㌹晡搴㈳㥣㝤捤慦〳㥡㥡㌸攳㔲ち扣㠲摣㔲ち㥦ㄲ摦㤸㑦敡晣㈱㜱㌰㥦捣ㄹ㠵㈳捥㘴昹挷挳搸づ㜰换㐹㕢㡢昱昰㔵晣〸慡㘶昶慡慤慢慣愵づ㤶戵敢㉢㙢愹愶㈸挳敡〶搴㤶㑥搷慡㠹昲㕡㕤愲㕣〰晣ㅡ愲㙣㘴搵㍣㔱〴戵摣㈹㝣㑡㐹㔰㤱挹㈱㕣㔴㌹〴㉡㉣㔹㝢㜱㐵㙤㤸ぢ㍥㠰ㄶ敤ㄲ昶㝡㈹挱㘵〰愱㜰㜹捤㜳㤹换愱㐷㤰㤹扦㡣㜷㡣晢戵敤ㄷ晦㔸ㅡ昶て攲ㅢ攷㜹㜹〵㍢攲㠲ㄷ㈴㤵攴攵㘶㔶㔵っ㥢ㅡ攲ㄴ摡㈶ㅥ昸攲挰晦㜶摣㌲愸㤰晦㘷㉣愰挰㕤愹㑤㝣㈵㥥ㄵ㤴㉣昶愱㕤攵㘵㔸㘸㈵㝦㤹〹㔲ㅡ㕡挹搷昹ㄲ昹㔹㉥〹昲㐵ち散㔶㔶㤳㈵㙣搳慥昶㌲㉣戴㤲晣捣戸扤㤱散攵㤲㈰戹ㅦ㐵㥢昸㕢搰㡦㕡昳㕡㈲晡㔵㐱ㄶ挸㠶敦㝡つっ㕡〵㜱〴㐵戶挸㠶ㄷ扣㠶㥤㘸搰㜶愰㔶㤰摡㜲㌰㔱㤶㐸㘸晣攳愷〹㠰㘵㘹㤵戳㘶㙤㠹戱挸晢挲㥣扤㘴㝦っㄹ㈸㜳㌹㥢〵㔸㥣㤵挴敡㤰㔸慤㝣改㘱㘰昹㘷㐵晡搶捣慤户扥摤ㅡ㠸㙣ち扣㝦愰昹㠱㔳㝦昹昲㝤㉦摣摣晦捦敦㍣昸攰ぢ慦摣㜷昲㥤㉦愵晡扦昱挸㈳捦㕤晦搰挹㤷搷㥡て晢㍦晦昶㥥㠷㙦㡦㑤摤㝥搴㍣戸㙤昷敤ㅦ戸敤挶搸晥昳摡ㅡㅡㅡㅢ慦㕡昷晣㠵㕢挳㈷㡥㍥㈵㥥㜹改㠲㠲㤰昳攰㌰㍡昱㈶愶㈰㍥㘱捥㐷づ愳ぢㄹ慤ㅢ愰挵㉦㌸㜰㐹㤶㙦㝡㘴ㄹ㈲㍡捥摡㌸㔶搹昰㝣㜵㐳㤸㝤戲㥢㤶㠰㘰㐷ㄲ攷ㅢ搵㌸㠲㥤换㠶慦㝢つ㜲ㅢ扢〶戵㠲㐰ㄲ晢㕡㤶㈴㐰㘷㔵㘴㙤晡㍦㔸㡦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</si>
</sst>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00"/>
    <numFmt numFmtId="166" formatCode="0.0"/>
    <numFmt numFmtId="167" formatCode="#,##0.000"/>
  </numFmts>
  <fonts count="12"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b/>
      <sz val="14"/>
      <name val="Arial"/>
      <family val="2"/>
    </font>
    <font>
      <b/>
      <sz val="10"/>
      <color rgb="FF7030A0"/>
      <name val="Arial"/>
      <family val="2"/>
    </font>
    <font>
      <b/>
      <i/>
      <sz val="10"/>
      <name val="Arial"/>
      <family val="2"/>
    </font>
    <font>
      <sz val="10"/>
      <color theme="0" tint="-0.249977111117893"/>
      <name val="Arial"/>
      <family val="2"/>
    </font>
    <font>
      <sz val="10"/>
      <name val="Symbol"/>
      <family val="1"/>
      <charset val="2"/>
    </font>
    <font>
      <b/>
      <sz val="10"/>
      <name val="Arial"/>
      <family val="2"/>
      <charset val="163"/>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9" fontId="0" fillId="0" borderId="0" xfId="0" applyNumberFormat="1"/>
    <xf numFmtId="2" fontId="0" fillId="0" borderId="0" xfId="0" applyNumberFormat="1"/>
    <xf numFmtId="0" fontId="3" fillId="0" borderId="0" xfId="0" applyFont="1"/>
    <xf numFmtId="0" fontId="4"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xf numFmtId="0" fontId="4" fillId="0" borderId="0" xfId="0" applyFont="1" applyAlignment="1">
      <alignment horizontal="left"/>
    </xf>
    <xf numFmtId="3" fontId="4" fillId="0" borderId="0" xfId="0" applyNumberFormat="1" applyFont="1"/>
    <xf numFmtId="0" fontId="3" fillId="0" borderId="1" xfId="0" applyFont="1" applyBorder="1"/>
    <xf numFmtId="10" fontId="4" fillId="0" borderId="0" xfId="1" applyNumberFormat="1" applyFont="1"/>
    <xf numFmtId="166" fontId="0" fillId="0" borderId="0" xfId="0" applyNumberFormat="1"/>
    <xf numFmtId="0" fontId="0" fillId="0" borderId="2" xfId="0" applyBorder="1"/>
    <xf numFmtId="2" fontId="0" fillId="0" borderId="3" xfId="0" applyNumberFormat="1" applyBorder="1"/>
    <xf numFmtId="2" fontId="0" fillId="0" borderId="4" xfId="0" applyNumberFormat="1" applyBorder="1"/>
    <xf numFmtId="0" fontId="0" fillId="0" borderId="5" xfId="0" applyBorder="1"/>
    <xf numFmtId="2" fontId="0" fillId="0" borderId="0" xfId="0" applyNumberFormat="1" applyBorder="1"/>
    <xf numFmtId="2" fontId="0" fillId="0" borderId="6" xfId="0" applyNumberFormat="1" applyBorder="1"/>
    <xf numFmtId="0" fontId="0" fillId="0" borderId="7" xfId="0" applyBorder="1"/>
    <xf numFmtId="165" fontId="0" fillId="0" borderId="0" xfId="0" applyNumberFormat="1"/>
    <xf numFmtId="0" fontId="0" fillId="0" borderId="1" xfId="0" applyBorder="1"/>
    <xf numFmtId="10" fontId="3" fillId="0" borderId="0" xfId="1" applyNumberFormat="1" applyFont="1"/>
    <xf numFmtId="0" fontId="4" fillId="0" borderId="9" xfId="0" applyFont="1" applyBorder="1" applyAlignment="1">
      <alignment horizontal="right"/>
    </xf>
    <xf numFmtId="10" fontId="0" fillId="0" borderId="0" xfId="0" applyNumberFormat="1" applyBorder="1"/>
    <xf numFmtId="10" fontId="0" fillId="0" borderId="0" xfId="1" applyNumberFormat="1" applyFont="1" applyBorder="1"/>
    <xf numFmtId="10" fontId="0" fillId="0" borderId="10" xfId="1" applyNumberFormat="1" applyFont="1" applyBorder="1"/>
    <xf numFmtId="0" fontId="4" fillId="0" borderId="11" xfId="0" applyFont="1" applyBorder="1" applyAlignment="1">
      <alignment horizontal="right"/>
    </xf>
    <xf numFmtId="0" fontId="0" fillId="0" borderId="12" xfId="0" applyBorder="1"/>
    <xf numFmtId="0" fontId="4" fillId="0" borderId="12" xfId="0" applyFont="1" applyBorder="1" applyAlignment="1">
      <alignment horizontal="right"/>
    </xf>
    <xf numFmtId="10" fontId="0" fillId="0" borderId="13" xfId="1" applyNumberFormat="1" applyFont="1" applyBorder="1"/>
    <xf numFmtId="0" fontId="4" fillId="0" borderId="14" xfId="0" applyFont="1" applyBorder="1"/>
    <xf numFmtId="0" fontId="0" fillId="0" borderId="15" xfId="0" applyBorder="1"/>
    <xf numFmtId="0" fontId="0" fillId="0" borderId="16" xfId="0" applyBorder="1"/>
    <xf numFmtId="0" fontId="0" fillId="0" borderId="9" xfId="0" applyBorder="1"/>
    <xf numFmtId="0" fontId="0" fillId="0" borderId="0" xfId="0" applyBorder="1"/>
    <xf numFmtId="0" fontId="0" fillId="0" borderId="17" xfId="0" applyBorder="1"/>
    <xf numFmtId="0" fontId="4" fillId="0" borderId="9" xfId="0" applyFont="1" applyBorder="1"/>
    <xf numFmtId="0" fontId="0" fillId="0" borderId="10" xfId="0" applyBorder="1"/>
    <xf numFmtId="0" fontId="3" fillId="0" borderId="11" xfId="0" applyFont="1" applyBorder="1"/>
    <xf numFmtId="0" fontId="3" fillId="0" borderId="12" xfId="0" applyFont="1" applyBorder="1"/>
    <xf numFmtId="0" fontId="0" fillId="0" borderId="18" xfId="0" applyBorder="1"/>
    <xf numFmtId="0" fontId="4" fillId="0" borderId="19" xfId="0" applyFont="1" applyBorder="1" applyAlignment="1">
      <alignment horizontal="right"/>
    </xf>
    <xf numFmtId="0" fontId="4" fillId="0" borderId="20" xfId="0" applyFont="1" applyBorder="1" applyAlignment="1">
      <alignment horizontal="right"/>
    </xf>
    <xf numFmtId="0" fontId="3" fillId="0" borderId="14" xfId="0" applyFont="1" applyBorder="1"/>
    <xf numFmtId="0" fontId="0" fillId="0" borderId="20" xfId="0" applyBorder="1"/>
    <xf numFmtId="165" fontId="0" fillId="0" borderId="10" xfId="0" applyNumberFormat="1" applyBorder="1"/>
    <xf numFmtId="0" fontId="4" fillId="0" borderId="9" xfId="0" applyFont="1" applyBorder="1" applyAlignment="1">
      <alignment horizontal="left" indent="1"/>
    </xf>
    <xf numFmtId="0" fontId="4" fillId="0" borderId="9" xfId="0" applyFont="1" applyBorder="1" applyAlignment="1">
      <alignment horizontal="left" indent="2"/>
    </xf>
    <xf numFmtId="0" fontId="4" fillId="0" borderId="11" xfId="0" applyFont="1" applyBorder="1"/>
    <xf numFmtId="0" fontId="0" fillId="0" borderId="19" xfId="0" applyBorder="1"/>
    <xf numFmtId="165" fontId="0" fillId="0" borderId="0" xfId="0" applyNumberFormat="1" applyBorder="1"/>
    <xf numFmtId="165" fontId="4" fillId="0" borderId="10" xfId="0" applyNumberFormat="1" applyFont="1" applyBorder="1"/>
    <xf numFmtId="165" fontId="3" fillId="0" borderId="0" xfId="0" applyNumberFormat="1" applyFont="1" applyBorder="1"/>
    <xf numFmtId="165" fontId="3" fillId="0" borderId="10" xfId="0" applyNumberFormat="1" applyFont="1" applyBorder="1"/>
    <xf numFmtId="165" fontId="3" fillId="0" borderId="12" xfId="0" applyNumberFormat="1" applyFont="1" applyBorder="1"/>
    <xf numFmtId="165" fontId="3" fillId="0" borderId="13" xfId="0" applyNumberFormat="1" applyFont="1" applyBorder="1"/>
    <xf numFmtId="0" fontId="3" fillId="0" borderId="9" xfId="0" applyFont="1" applyBorder="1"/>
    <xf numFmtId="0" fontId="4" fillId="0" borderId="0" xfId="0" applyFont="1" applyBorder="1"/>
    <xf numFmtId="0" fontId="3" fillId="0" borderId="0" xfId="0" applyFont="1" applyFill="1" applyBorder="1"/>
    <xf numFmtId="0" fontId="3" fillId="0" borderId="18" xfId="0" applyFont="1" applyBorder="1"/>
    <xf numFmtId="0" fontId="5" fillId="0" borderId="0" xfId="0" applyFont="1"/>
    <xf numFmtId="165" fontId="3" fillId="0" borderId="16" xfId="0" applyNumberFormat="1" applyFont="1" applyBorder="1"/>
    <xf numFmtId="2" fontId="0" fillId="0" borderId="12" xfId="0" applyNumberFormat="1" applyBorder="1"/>
    <xf numFmtId="2" fontId="0" fillId="0" borderId="13" xfId="0" applyNumberFormat="1" applyBorder="1"/>
    <xf numFmtId="0" fontId="3" fillId="2" borderId="0" xfId="0" applyFont="1" applyFill="1" applyAlignment="1">
      <alignment horizontal="center"/>
    </xf>
    <xf numFmtId="0" fontId="0" fillId="2" borderId="0" xfId="0" applyFill="1"/>
    <xf numFmtId="0" fontId="6" fillId="2" borderId="0" xfId="0" applyFont="1" applyFill="1" applyAlignment="1">
      <alignment horizontal="center"/>
    </xf>
    <xf numFmtId="0" fontId="5" fillId="0" borderId="0" xfId="0" applyFont="1" applyAlignment="1">
      <alignment horizontal="right"/>
    </xf>
    <xf numFmtId="0" fontId="3" fillId="0" borderId="0" xfId="0" applyFont="1" applyFill="1" applyBorder="1" applyAlignment="1">
      <alignment horizontal="center"/>
    </xf>
    <xf numFmtId="0" fontId="3" fillId="0" borderId="0" xfId="0" applyFont="1" applyAlignment="1">
      <alignment horizontal="right"/>
    </xf>
    <xf numFmtId="0" fontId="3" fillId="0" borderId="1" xfId="0" applyFont="1" applyFill="1" applyBorder="1" applyAlignment="1">
      <alignment horizontal="center"/>
    </xf>
    <xf numFmtId="0" fontId="3" fillId="0" borderId="0" xfId="0" applyFont="1" applyBorder="1"/>
    <xf numFmtId="0" fontId="3" fillId="0" borderId="0" xfId="0" applyFont="1" applyBorder="1" applyAlignment="1">
      <alignment horizontal="center"/>
    </xf>
    <xf numFmtId="0" fontId="4" fillId="0" borderId="0" xfId="0" applyFont="1" applyBorder="1" applyAlignment="1">
      <alignment horizontal="right"/>
    </xf>
    <xf numFmtId="10" fontId="4" fillId="0" borderId="0" xfId="1" applyNumberFormat="1" applyFont="1" applyBorder="1"/>
    <xf numFmtId="10" fontId="4" fillId="0" borderId="0" xfId="0" applyNumberFormat="1" applyFont="1" applyBorder="1"/>
    <xf numFmtId="0" fontId="4" fillId="0" borderId="12" xfId="0" applyFont="1" applyBorder="1"/>
    <xf numFmtId="10" fontId="4" fillId="0" borderId="12" xfId="0" applyNumberFormat="1" applyFont="1" applyBorder="1"/>
    <xf numFmtId="0" fontId="4" fillId="0" borderId="21" xfId="0" applyFont="1" applyBorder="1"/>
    <xf numFmtId="165" fontId="7" fillId="0" borderId="0" xfId="0" applyNumberFormat="1" applyFont="1" applyBorder="1"/>
    <xf numFmtId="1" fontId="7" fillId="0" borderId="13" xfId="0" applyNumberFormat="1" applyFont="1" applyBorder="1"/>
    <xf numFmtId="0" fontId="0" fillId="0" borderId="0" xfId="0" quotePrefix="1"/>
    <xf numFmtId="0" fontId="0" fillId="0" borderId="13" xfId="0" applyBorder="1"/>
    <xf numFmtId="0" fontId="8" fillId="0" borderId="0" xfId="0" applyFont="1"/>
    <xf numFmtId="0" fontId="4" fillId="0" borderId="5" xfId="0" applyFont="1" applyBorder="1"/>
    <xf numFmtId="0" fontId="3" fillId="0" borderId="10" xfId="0" applyFont="1" applyBorder="1" applyAlignment="1">
      <alignment horizontal="center"/>
    </xf>
    <xf numFmtId="0" fontId="3" fillId="0" borderId="17" xfId="0" applyFont="1" applyBorder="1" applyAlignment="1">
      <alignment horizontal="center"/>
    </xf>
    <xf numFmtId="167" fontId="4" fillId="0" borderId="10" xfId="0" applyNumberFormat="1" applyFont="1" applyBorder="1"/>
    <xf numFmtId="167" fontId="4" fillId="0" borderId="13" xfId="0" applyNumberFormat="1" applyFont="1" applyBorder="1"/>
    <xf numFmtId="9" fontId="4" fillId="0" borderId="0" xfId="0" applyNumberFormat="1" applyFont="1"/>
    <xf numFmtId="2" fontId="4" fillId="0" borderId="0" xfId="0" applyNumberFormat="1" applyFont="1"/>
    <xf numFmtId="1" fontId="0" fillId="0" borderId="1" xfId="0" applyNumberFormat="1" applyBorder="1"/>
    <xf numFmtId="1" fontId="0" fillId="0" borderId="8" xfId="0" applyNumberFormat="1" applyBorder="1"/>
    <xf numFmtId="0" fontId="9" fillId="0" borderId="0" xfId="0" applyFont="1"/>
    <xf numFmtId="2" fontId="9" fillId="0" borderId="0" xfId="0" applyNumberFormat="1" applyFont="1"/>
    <xf numFmtId="0" fontId="4" fillId="0" borderId="9" xfId="0" applyFont="1" applyFill="1" applyBorder="1"/>
    <xf numFmtId="165" fontId="0" fillId="0" borderId="16" xfId="0" applyNumberFormat="1" applyBorder="1"/>
    <xf numFmtId="165" fontId="4" fillId="0" borderId="13" xfId="0" applyNumberFormat="1" applyFont="1" applyBorder="1"/>
    <xf numFmtId="0" fontId="0" fillId="0" borderId="21" xfId="0" applyBorder="1"/>
    <xf numFmtId="9" fontId="0" fillId="0" borderId="10" xfId="0" applyNumberFormat="1" applyBorder="1"/>
    <xf numFmtId="3" fontId="0" fillId="0" borderId="10" xfId="0" applyNumberFormat="1" applyBorder="1"/>
    <xf numFmtId="0" fontId="8" fillId="0" borderId="9" xfId="0" applyFont="1" applyBorder="1"/>
    <xf numFmtId="2" fontId="8" fillId="0" borderId="10" xfId="0" applyNumberFormat="1" applyFont="1" applyBorder="1"/>
    <xf numFmtId="0" fontId="4" fillId="2" borderId="0" xfId="0" applyFont="1" applyFill="1"/>
    <xf numFmtId="0" fontId="1" fillId="0" borderId="9" xfId="0" applyFont="1" applyBorder="1"/>
    <xf numFmtId="0" fontId="4" fillId="0" borderId="14" xfId="0" applyFont="1" applyBorder="1" applyAlignment="1">
      <alignment horizontal="right"/>
    </xf>
    <xf numFmtId="2" fontId="0" fillId="0" borderId="15" xfId="0" applyNumberFormat="1" applyBorder="1"/>
    <xf numFmtId="2" fontId="0" fillId="0" borderId="16" xfId="0" applyNumberFormat="1" applyBorder="1"/>
    <xf numFmtId="0" fontId="1" fillId="2" borderId="0" xfId="0" applyFont="1" applyFill="1"/>
    <xf numFmtId="165" fontId="0" fillId="0" borderId="3" xfId="0" applyNumberFormat="1" applyBorder="1"/>
    <xf numFmtId="165" fontId="0" fillId="0" borderId="4" xfId="0" applyNumberFormat="1" applyBorder="1"/>
    <xf numFmtId="165" fontId="0" fillId="0" borderId="6" xfId="0" applyNumberFormat="1" applyBorder="1"/>
    <xf numFmtId="0" fontId="11" fillId="0" borderId="0" xfId="0" applyFont="1"/>
    <xf numFmtId="0" fontId="1" fillId="0" borderId="9" xfId="0" applyFont="1" applyBorder="1" applyAlignment="1">
      <alignment horizontal="left" indent="1"/>
    </xf>
    <xf numFmtId="0" fontId="3" fillId="0" borderId="0" xfId="0" applyFont="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4" fillId="0" borderId="15" xfId="0" applyFont="1" applyBorder="1" applyAlignment="1">
      <alignment horizontal="right" vertical="center"/>
    </xf>
    <xf numFmtId="0" fontId="4" fillId="0" borderId="1" xfId="0" applyFont="1" applyBorder="1" applyAlignment="1">
      <alignment horizontal="righ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047713309579"/>
          <c:y val="1.4706445717953903E-2"/>
          <c:w val="0.80124664584524685"/>
          <c:h val="0.87380039033582335"/>
        </c:manualLayout>
      </c:layout>
      <c:scatterChart>
        <c:scatterStyle val="smoothMarker"/>
        <c:varyColors val="0"/>
        <c:ser>
          <c:idx val="0"/>
          <c:order val="0"/>
          <c:tx>
            <c:v>Phát hành cổ phần</c:v>
          </c:tx>
          <c:spPr>
            <a:ln w="25400">
              <a:solidFill>
                <a:srgbClr val="000080"/>
              </a:solidFill>
              <a:prstDash val="solid"/>
            </a:ln>
          </c:spPr>
          <c:marker>
            <c:symbol val="diamond"/>
            <c:size val="6"/>
            <c:spPr>
              <a:solidFill>
                <a:srgbClr val="FFFF00"/>
              </a:solidFill>
              <a:ln>
                <a:solidFill>
                  <a:srgbClr val="000080"/>
                </a:solidFill>
                <a:prstDash val="solid"/>
              </a:ln>
            </c:spPr>
          </c:marker>
          <c:xVal>
            <c:numRef>
              <c:f>Leverage!$S$2:$S$6</c:f>
              <c:numCache>
                <c:formatCode>0.00</c:formatCode>
                <c:ptCount val="5"/>
                <c:pt idx="0">
                  <c:v>0</c:v>
                </c:pt>
                <c:pt idx="1">
                  <c:v>69.318077920000007</c:v>
                </c:pt>
                <c:pt idx="2">
                  <c:v>83.544499999999999</c:v>
                </c:pt>
                <c:pt idx="3">
                  <c:v>100.88024651809599</c:v>
                </c:pt>
                <c:pt idx="4">
                  <c:v>113.50012499999998</c:v>
                </c:pt>
              </c:numCache>
            </c:numRef>
          </c:xVal>
          <c:yVal>
            <c:numRef>
              <c:f>Leverage!$T$2:$T$6</c:f>
              <c:numCache>
                <c:formatCode>0.00</c:formatCode>
                <c:ptCount val="5"/>
                <c:pt idx="0">
                  <c:v>0</c:v>
                </c:pt>
                <c:pt idx="1">
                  <c:v>2822.4</c:v>
                </c:pt>
                <c:pt idx="2">
                  <c:v>3401.6522655479885</c:v>
                </c:pt>
                <c:pt idx="3">
                  <c:v>4107.5058096861048</c:v>
                </c:pt>
                <c:pt idx="4">
                  <c:v>4621.3449999249478</c:v>
                </c:pt>
              </c:numCache>
            </c:numRef>
          </c:yVal>
          <c:smooth val="1"/>
        </c:ser>
        <c:ser>
          <c:idx val="1"/>
          <c:order val="1"/>
          <c:tx>
            <c:v>Vay Nợ</c:v>
          </c:tx>
          <c:spPr>
            <a:ln w="25400">
              <a:solidFill>
                <a:srgbClr val="FF00FF"/>
              </a:solidFill>
              <a:prstDash val="solid"/>
            </a:ln>
          </c:spPr>
          <c:marker>
            <c:symbol val="circle"/>
            <c:size val="6"/>
            <c:spPr>
              <a:solidFill>
                <a:srgbClr val="993300"/>
              </a:solidFill>
              <a:ln>
                <a:solidFill>
                  <a:srgbClr val="FF00FF"/>
                </a:solidFill>
                <a:prstDash val="solid"/>
              </a:ln>
            </c:spPr>
          </c:marker>
          <c:xVal>
            <c:numRef>
              <c:f>Leverage!$V$2:$V$6</c:f>
              <c:numCache>
                <c:formatCode>0.00</c:formatCode>
                <c:ptCount val="5"/>
                <c:pt idx="0" formatCode="General">
                  <c:v>28</c:v>
                </c:pt>
                <c:pt idx="1">
                  <c:v>69.318077920000007</c:v>
                </c:pt>
                <c:pt idx="2">
                  <c:v>83.544499999999999</c:v>
                </c:pt>
                <c:pt idx="3">
                  <c:v>100.88024651809599</c:v>
                </c:pt>
                <c:pt idx="4">
                  <c:v>113.50012499999998</c:v>
                </c:pt>
              </c:numCache>
            </c:numRef>
          </c:xVal>
          <c:yVal>
            <c:numRef>
              <c:f>Leverage!$W$2:$W$6</c:f>
              <c:numCache>
                <c:formatCode>0.00</c:formatCode>
                <c:ptCount val="5"/>
                <c:pt idx="0" formatCode="General">
                  <c:v>0</c:v>
                </c:pt>
                <c:pt idx="1">
                  <c:v>2822.4000000000005</c:v>
                </c:pt>
                <c:pt idx="2">
                  <c:v>3794.193841822349</c:v>
                </c:pt>
                <c:pt idx="3">
                  <c:v>4978.3827837041381</c:v>
                </c:pt>
                <c:pt idx="4">
                  <c:v>5840.4351060868503</c:v>
                </c:pt>
              </c:numCache>
            </c:numRef>
          </c:yVal>
          <c:smooth val="1"/>
        </c:ser>
        <c:ser>
          <c:idx val="2"/>
          <c:order val="2"/>
          <c:tx>
            <c:v>Bàng quan</c:v>
          </c:tx>
          <c:spPr>
            <a:ln w="12700">
              <a:solidFill>
                <a:srgbClr val="000000"/>
              </a:solidFill>
              <a:prstDash val="sysDash"/>
            </a:ln>
          </c:spPr>
          <c:marker>
            <c:symbol val="none"/>
          </c:marker>
          <c:dLbls>
            <c:dLbl>
              <c:idx val="0"/>
              <c:layout>
                <c:manualLayout>
                  <c:x val="-1.1529861202329282E-2"/>
                  <c:y val="-4.0471356914363335E-2"/>
                </c:manualLayout>
              </c:layout>
              <c:numFmt formatCode="0.0" sourceLinked="0"/>
              <c:spPr>
                <a:noFill/>
                <a:ln w="25400">
                  <a:noFill/>
                </a:ln>
              </c:spPr>
              <c:txPr>
                <a:bodyPr/>
                <a:lstStyle/>
                <a:p>
                  <a:pPr>
                    <a:defRPr/>
                  </a:pPr>
                  <a:endParaRPr lang="vi-VN"/>
                </a:p>
              </c:txPr>
              <c:dLblPos val="r"/>
              <c:showLegendKey val="0"/>
              <c:showVal val="0"/>
              <c:showCatName val="1"/>
              <c:showSerName val="0"/>
              <c:showPercent val="0"/>
              <c:showBubbleSize val="0"/>
            </c:dLbl>
            <c:showLegendKey val="0"/>
            <c:showVal val="0"/>
            <c:showCatName val="0"/>
            <c:showSerName val="0"/>
            <c:showPercent val="0"/>
            <c:showBubbleSize val="0"/>
          </c:dLbls>
          <c:xVal>
            <c:numRef>
              <c:f>Leverage!$S$9:$S$10</c:f>
              <c:numCache>
                <c:formatCode>0.00</c:formatCode>
                <c:ptCount val="2"/>
                <c:pt idx="0">
                  <c:v>69.318077920000007</c:v>
                </c:pt>
                <c:pt idx="1">
                  <c:v>69.318077920000007</c:v>
                </c:pt>
              </c:numCache>
            </c:numRef>
          </c:xVal>
          <c:yVal>
            <c:numRef>
              <c:f>Leverage!$T$9:$T$10</c:f>
              <c:numCache>
                <c:formatCode>0.00</c:formatCode>
                <c:ptCount val="2"/>
                <c:pt idx="0">
                  <c:v>0</c:v>
                </c:pt>
                <c:pt idx="1">
                  <c:v>2822.4</c:v>
                </c:pt>
              </c:numCache>
            </c:numRef>
          </c:yVal>
          <c:smooth val="1"/>
        </c:ser>
        <c:ser>
          <c:idx val="3"/>
          <c:order val="3"/>
          <c:tx>
            <c:v>Suy giảm</c:v>
          </c:tx>
          <c:spPr>
            <a:ln w="12700">
              <a:solidFill>
                <a:schemeClr val="tx1"/>
              </a:solidFill>
              <a:prstDash val="sysDash"/>
            </a:ln>
          </c:spPr>
          <c:marker>
            <c:symbol val="none"/>
          </c:marker>
          <c:dLbls>
            <c:dLbl>
              <c:idx val="0"/>
              <c:layout>
                <c:manualLayout>
                  <c:x val="-1.2081896897826567E-2"/>
                  <c:y val="-4.0471356914363335E-2"/>
                </c:manualLayout>
              </c:layout>
              <c:numFmt formatCode="0.0" sourceLinked="0"/>
              <c:spPr>
                <a:noFill/>
                <a:ln w="25400">
                  <a:noFill/>
                </a:ln>
              </c:spPr>
              <c:txPr>
                <a:bodyPr/>
                <a:lstStyle/>
                <a:p>
                  <a:pPr>
                    <a:defRPr/>
                  </a:pPr>
                  <a:endParaRPr lang="vi-VN"/>
                </a:p>
              </c:txPr>
              <c:dLblPos val="r"/>
              <c:showLegendKey val="0"/>
              <c:showVal val="0"/>
              <c:showCatName val="1"/>
              <c:showSerName val="0"/>
              <c:showPercent val="0"/>
              <c:showBubbleSize val="0"/>
            </c:dLbl>
            <c:showLegendKey val="0"/>
            <c:showVal val="0"/>
            <c:showCatName val="0"/>
            <c:showSerName val="0"/>
            <c:showPercent val="0"/>
            <c:showBubbleSize val="0"/>
          </c:dLbls>
          <c:xVal>
            <c:numRef>
              <c:f>Leverage!$V$9:$V$10</c:f>
              <c:numCache>
                <c:formatCode>0.00</c:formatCode>
                <c:ptCount val="2"/>
                <c:pt idx="0">
                  <c:v>83.544499999999999</c:v>
                </c:pt>
                <c:pt idx="1">
                  <c:v>83.544499999999999</c:v>
                </c:pt>
              </c:numCache>
            </c:numRef>
          </c:xVal>
          <c:yVal>
            <c:numRef>
              <c:f>Leverage!$W$9:$W$10</c:f>
              <c:numCache>
                <c:formatCode>0.00</c:formatCode>
                <c:ptCount val="2"/>
                <c:pt idx="0">
                  <c:v>0</c:v>
                </c:pt>
                <c:pt idx="1">
                  <c:v>3794.193841822349</c:v>
                </c:pt>
              </c:numCache>
            </c:numRef>
          </c:yVal>
          <c:smooth val="1"/>
        </c:ser>
        <c:ser>
          <c:idx val="4"/>
          <c:order val="4"/>
          <c:tx>
            <c:v>Kỳ vọng</c:v>
          </c:tx>
          <c:spPr>
            <a:ln w="12700">
              <a:solidFill>
                <a:srgbClr val="000000"/>
              </a:solidFill>
              <a:prstDash val="sysDash"/>
            </a:ln>
          </c:spPr>
          <c:marker>
            <c:symbol val="none"/>
          </c:marker>
          <c:dLbls>
            <c:dLbl>
              <c:idx val="0"/>
              <c:layout>
                <c:manualLayout>
                  <c:x val="-1.1573336852446516E-2"/>
                  <c:y val="-4.0471509108698692E-2"/>
                </c:manualLayout>
              </c:layout>
              <c:numFmt formatCode="0.0" sourceLinked="0"/>
              <c:spPr>
                <a:noFill/>
                <a:ln w="25400">
                  <a:noFill/>
                </a:ln>
              </c:spPr>
              <c:txPr>
                <a:bodyPr/>
                <a:lstStyle/>
                <a:p>
                  <a:pPr>
                    <a:defRPr/>
                  </a:pPr>
                  <a:endParaRPr lang="vi-VN"/>
                </a:p>
              </c:txPr>
              <c:dLblPos val="r"/>
              <c:showLegendKey val="0"/>
              <c:showVal val="0"/>
              <c:showCatName val="1"/>
              <c:showSerName val="0"/>
              <c:showPercent val="0"/>
              <c:showBubbleSize val="0"/>
            </c:dLbl>
            <c:showLegendKey val="0"/>
            <c:showVal val="0"/>
            <c:showCatName val="0"/>
            <c:showSerName val="0"/>
            <c:showPercent val="0"/>
            <c:showBubbleSize val="0"/>
          </c:dLbls>
          <c:xVal>
            <c:numRef>
              <c:f>Leverage!$S$12:$S$13</c:f>
              <c:numCache>
                <c:formatCode>0.00</c:formatCode>
                <c:ptCount val="2"/>
                <c:pt idx="0">
                  <c:v>100.88024651809599</c:v>
                </c:pt>
                <c:pt idx="1">
                  <c:v>100.88024651809599</c:v>
                </c:pt>
              </c:numCache>
            </c:numRef>
          </c:xVal>
          <c:yVal>
            <c:numRef>
              <c:f>Leverage!$T$12:$T$13</c:f>
              <c:numCache>
                <c:formatCode>0.00</c:formatCode>
                <c:ptCount val="2"/>
                <c:pt idx="0">
                  <c:v>0</c:v>
                </c:pt>
                <c:pt idx="1">
                  <c:v>4978.3827837041381</c:v>
                </c:pt>
              </c:numCache>
            </c:numRef>
          </c:yVal>
          <c:smooth val="1"/>
        </c:ser>
        <c:ser>
          <c:idx val="5"/>
          <c:order val="5"/>
          <c:tx>
            <c:v>Tăng trưởng tốt</c:v>
          </c:tx>
          <c:spPr>
            <a:ln w="12700">
              <a:solidFill>
                <a:schemeClr val="tx1"/>
              </a:solidFill>
              <a:prstDash val="sysDash"/>
            </a:ln>
          </c:spPr>
          <c:marker>
            <c:symbol val="none"/>
          </c:marker>
          <c:dLbls>
            <c:dLbl>
              <c:idx val="0"/>
              <c:layout>
                <c:manualLayout>
                  <c:x val="-1.2324080998255108E-2"/>
                  <c:y val="-4.3615938540226759E-2"/>
                </c:manualLayout>
              </c:layout>
              <c:numFmt formatCode="0.0" sourceLinked="0"/>
              <c:spPr>
                <a:noFill/>
                <a:ln w="25400">
                  <a:noFill/>
                </a:ln>
              </c:spPr>
              <c:txPr>
                <a:bodyPr/>
                <a:lstStyle/>
                <a:p>
                  <a:pPr>
                    <a:defRPr/>
                  </a:pPr>
                  <a:endParaRPr lang="vi-VN"/>
                </a:p>
              </c:txPr>
              <c:dLblPos val="r"/>
              <c:showLegendKey val="0"/>
              <c:showVal val="0"/>
              <c:showCatName val="1"/>
              <c:showSerName val="0"/>
              <c:showPercent val="0"/>
              <c:showBubbleSize val="0"/>
            </c:dLbl>
            <c:showLegendKey val="0"/>
            <c:showVal val="0"/>
            <c:showCatName val="0"/>
            <c:showSerName val="0"/>
            <c:showPercent val="0"/>
            <c:showBubbleSize val="0"/>
          </c:dLbls>
          <c:xVal>
            <c:numRef>
              <c:f>Leverage!$V$12:$V$13</c:f>
              <c:numCache>
                <c:formatCode>0.00</c:formatCode>
                <c:ptCount val="2"/>
                <c:pt idx="0">
                  <c:v>113.50012499999998</c:v>
                </c:pt>
                <c:pt idx="1">
                  <c:v>113.50012499999998</c:v>
                </c:pt>
              </c:numCache>
            </c:numRef>
          </c:xVal>
          <c:yVal>
            <c:numRef>
              <c:f>Leverage!$W$12:$W$13</c:f>
              <c:numCache>
                <c:formatCode>0.00</c:formatCode>
                <c:ptCount val="2"/>
                <c:pt idx="0">
                  <c:v>0</c:v>
                </c:pt>
                <c:pt idx="1">
                  <c:v>5840.4351060868503</c:v>
                </c:pt>
              </c:numCache>
            </c:numRef>
          </c:yVal>
          <c:smooth val="1"/>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1</c:v>
              </c:pt>
            </c:numLit>
          </c:yVal>
          <c:smooth val="1"/>
        </c:ser>
        <c:ser>
          <c:idx val="7"/>
          <c:order val="7"/>
          <c:tx>
            <c:v>Đầu tư không hiệu quả</c:v>
          </c:tx>
          <c:spPr>
            <a:ln w="12700">
              <a:solidFill>
                <a:schemeClr val="tx1"/>
              </a:solidFill>
              <a:prstDash val="sysDash"/>
            </a:ln>
          </c:spPr>
          <c:dPt>
            <c:idx val="0"/>
            <c:marker>
              <c:symbol val="none"/>
            </c:marker>
            <c:bubble3D val="0"/>
          </c:dPt>
          <c:dPt>
            <c:idx val="1"/>
            <c:marker>
              <c:symbol val="diamond"/>
              <c:size val="5"/>
              <c:spPr>
                <a:solidFill>
                  <a:srgbClr val="FFFF00"/>
                </a:solidFill>
                <a:ln>
                  <a:solidFill>
                    <a:schemeClr val="tx2">
                      <a:lumMod val="50000"/>
                    </a:schemeClr>
                  </a:solidFill>
                </a:ln>
              </c:spPr>
            </c:marker>
            <c:bubble3D val="0"/>
          </c:dPt>
          <c:dLbls>
            <c:dLbl>
              <c:idx val="0"/>
              <c:layout>
                <c:manualLayout>
                  <c:x val="-7.4487895716946013E-3"/>
                  <c:y val="-3.944773175542407E-2"/>
                </c:manualLayout>
              </c:layout>
              <c:numFmt formatCode="#,##0.0" sourceLinked="0"/>
              <c:spPr/>
              <c:txPr>
                <a:bodyPr/>
                <a:lstStyle/>
                <a:p>
                  <a:pPr>
                    <a:defRPr/>
                  </a:pPr>
                  <a:endParaRPr lang="vi-VN"/>
                </a:p>
              </c:txPr>
              <c:showLegendKey val="0"/>
              <c:showVal val="0"/>
              <c:showCatName val="1"/>
              <c:showSerName val="0"/>
              <c:showPercent val="0"/>
              <c:showBubbleSize val="0"/>
            </c:dLbl>
            <c:dLbl>
              <c:idx val="1"/>
              <c:delete val="1"/>
            </c:dLbl>
            <c:showLegendKey val="0"/>
            <c:showVal val="0"/>
            <c:showCatName val="1"/>
            <c:showSerName val="0"/>
            <c:showPercent val="0"/>
            <c:showBubbleSize val="0"/>
            <c:showLeaderLines val="0"/>
          </c:dLbls>
          <c:xVal>
            <c:numRef>
              <c:f>Leverage!$V$15:$V$16</c:f>
              <c:numCache>
                <c:formatCode>0.00</c:formatCode>
                <c:ptCount val="2"/>
                <c:pt idx="0">
                  <c:v>47.344499999999996</c:v>
                </c:pt>
                <c:pt idx="1">
                  <c:v>47.344499999999996</c:v>
                </c:pt>
              </c:numCache>
            </c:numRef>
          </c:xVal>
          <c:yVal>
            <c:numRef>
              <c:f>Leverage!$W$15:$W$16</c:f>
              <c:numCache>
                <c:formatCode>0.00</c:formatCode>
                <c:ptCount val="2"/>
                <c:pt idx="0" formatCode="General">
                  <c:v>0</c:v>
                </c:pt>
                <c:pt idx="1">
                  <c:v>1927.7094923811467</c:v>
                </c:pt>
              </c:numCache>
            </c:numRef>
          </c:yVal>
          <c:smooth val="1"/>
        </c:ser>
        <c:dLbls>
          <c:showLegendKey val="0"/>
          <c:showVal val="0"/>
          <c:showCatName val="0"/>
          <c:showSerName val="0"/>
          <c:showPercent val="0"/>
          <c:showBubbleSize val="0"/>
        </c:dLbls>
        <c:axId val="57763328"/>
        <c:axId val="57766272"/>
      </c:scatterChart>
      <c:valAx>
        <c:axId val="57763328"/>
        <c:scaling>
          <c:orientation val="minMax"/>
        </c:scaling>
        <c:delete val="0"/>
        <c:axPos val="b"/>
        <c:title>
          <c:tx>
            <c:rich>
              <a:bodyPr/>
              <a:lstStyle/>
              <a:p>
                <a:pPr>
                  <a:defRPr/>
                </a:pPr>
                <a:r>
                  <a:rPr lang="vi-VN"/>
                  <a:t>EBIT (t</a:t>
                </a:r>
                <a:r>
                  <a:rPr lang="en-US"/>
                  <a:t>ỷ</a:t>
                </a:r>
                <a:r>
                  <a:rPr lang="vi-VN"/>
                  <a:t> </a:t>
                </a:r>
                <a:r>
                  <a:rPr lang="en-US"/>
                  <a:t>VNĐ</a:t>
                </a:r>
                <a:r>
                  <a:rPr lang="vi-VN"/>
                  <a:t>)</a:t>
                </a:r>
              </a:p>
            </c:rich>
          </c:tx>
          <c:layout>
            <c:manualLayout>
              <c:xMode val="edge"/>
              <c:yMode val="edge"/>
              <c:x val="0.44009824190970542"/>
              <c:y val="0.945055211293854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vi-VN"/>
          </a:p>
        </c:txPr>
        <c:crossAx val="57766272"/>
        <c:crosses val="autoZero"/>
        <c:crossBetween val="midCat"/>
      </c:valAx>
      <c:valAx>
        <c:axId val="57766272"/>
        <c:scaling>
          <c:orientation val="minMax"/>
        </c:scaling>
        <c:delete val="0"/>
        <c:axPos val="l"/>
        <c:title>
          <c:tx>
            <c:rich>
              <a:bodyPr/>
              <a:lstStyle/>
              <a:p>
                <a:pPr>
                  <a:defRPr/>
                </a:pPr>
                <a:r>
                  <a:rPr lang="en-US"/>
                  <a:t>EPS (VNĐ/cp)</a:t>
                </a:r>
              </a:p>
            </c:rich>
          </c:tx>
          <c:layout>
            <c:manualLayout>
              <c:xMode val="edge"/>
              <c:yMode val="edge"/>
              <c:x val="1.8977111101335799E-2"/>
              <c:y val="0.368105732345586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vi-VN"/>
          </a:p>
        </c:txPr>
        <c:crossAx val="57763328"/>
        <c:crosses val="autoZero"/>
        <c:crossBetween val="midCat"/>
      </c:valAx>
      <c:spPr>
        <a:noFill/>
        <a:ln w="25400">
          <a:noFill/>
        </a:ln>
      </c:spPr>
    </c:plotArea>
    <c:legend>
      <c:legendPos val="r"/>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22250780803237588"/>
          <c:y val="0.44154850466176931"/>
          <c:w val="0.23404976612560305"/>
          <c:h val="0.11475231276563802"/>
        </c:manualLayout>
      </c:layout>
      <c:overlay val="0"/>
      <c:spPr>
        <a:solidFill>
          <a:srgbClr val="FFFFFF"/>
        </a:solidFill>
        <a:ln w="25400">
          <a:noFill/>
        </a:ln>
      </c:spPr>
      <c:txPr>
        <a:bodyPr/>
        <a:lstStyle/>
        <a:p>
          <a:pPr>
            <a:defRPr sz="1100"/>
          </a:pPr>
          <a:endParaRPr lang="vi-VN"/>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vi-VN"/>
    </a:p>
  </c:txPr>
  <c:printSettings>
    <c:headerFooter alignWithMargins="0"/>
    <c:pageMargins b="1" l="0.75000000000000011" r="0.7500000000000001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4175824175823"/>
          <c:y val="1.8867924528301886E-2"/>
          <c:w val="0.76703296703296697"/>
          <c:h val="0.80188679245283023"/>
        </c:manualLayout>
      </c:layout>
      <c:scatterChart>
        <c:scatterStyle val="smoothMarker"/>
        <c:varyColors val="0"/>
        <c:ser>
          <c:idx val="0"/>
          <c:order val="0"/>
          <c:tx>
            <c:v>Phát hành cổ phần</c:v>
          </c:tx>
          <c:spPr>
            <a:ln w="25400">
              <a:solidFill>
                <a:srgbClr val="000080"/>
              </a:solidFill>
              <a:prstDash val="solid"/>
            </a:ln>
          </c:spPr>
          <c:marker>
            <c:symbol val="diamond"/>
            <c:size val="6"/>
            <c:spPr>
              <a:solidFill>
                <a:srgbClr val="FFFF00"/>
              </a:solidFill>
              <a:ln>
                <a:solidFill>
                  <a:srgbClr val="000080"/>
                </a:solidFill>
                <a:prstDash val="solid"/>
              </a:ln>
            </c:spPr>
          </c:marker>
          <c:xVal>
            <c:numRef>
              <c:f>Leverage!$S$2:$S$6</c:f>
              <c:numCache>
                <c:formatCode>0.00</c:formatCode>
                <c:ptCount val="5"/>
                <c:pt idx="0">
                  <c:v>0</c:v>
                </c:pt>
                <c:pt idx="1">
                  <c:v>69.318077920000007</c:v>
                </c:pt>
                <c:pt idx="2">
                  <c:v>83.544499999999999</c:v>
                </c:pt>
                <c:pt idx="3">
                  <c:v>100.88024651809599</c:v>
                </c:pt>
                <c:pt idx="4">
                  <c:v>113.50012499999998</c:v>
                </c:pt>
              </c:numCache>
            </c:numRef>
          </c:xVal>
          <c:yVal>
            <c:numRef>
              <c:f>Leverage!$T$2:$T$6</c:f>
              <c:numCache>
                <c:formatCode>0.00</c:formatCode>
                <c:ptCount val="5"/>
                <c:pt idx="0">
                  <c:v>0</c:v>
                </c:pt>
                <c:pt idx="1">
                  <c:v>2822.4</c:v>
                </c:pt>
                <c:pt idx="2">
                  <c:v>3401.6522655479885</c:v>
                </c:pt>
                <c:pt idx="3">
                  <c:v>4107.5058096861048</c:v>
                </c:pt>
                <c:pt idx="4">
                  <c:v>4621.3449999249478</c:v>
                </c:pt>
              </c:numCache>
            </c:numRef>
          </c:yVal>
          <c:smooth val="1"/>
        </c:ser>
        <c:ser>
          <c:idx val="1"/>
          <c:order val="1"/>
          <c:tx>
            <c:v>Vay Nợ</c:v>
          </c:tx>
          <c:spPr>
            <a:ln w="25400">
              <a:solidFill>
                <a:srgbClr val="FF00FF"/>
              </a:solidFill>
              <a:prstDash val="solid"/>
            </a:ln>
          </c:spPr>
          <c:marker>
            <c:symbol val="circle"/>
            <c:size val="6"/>
            <c:spPr>
              <a:solidFill>
                <a:srgbClr val="993300"/>
              </a:solidFill>
              <a:ln>
                <a:solidFill>
                  <a:srgbClr val="FF00FF"/>
                </a:solidFill>
                <a:prstDash val="solid"/>
              </a:ln>
            </c:spPr>
          </c:marker>
          <c:xVal>
            <c:numRef>
              <c:f>Leverage!$V$2:$V$6</c:f>
              <c:numCache>
                <c:formatCode>0.00</c:formatCode>
                <c:ptCount val="5"/>
                <c:pt idx="0" formatCode="General">
                  <c:v>28</c:v>
                </c:pt>
                <c:pt idx="1">
                  <c:v>69.318077920000007</c:v>
                </c:pt>
                <c:pt idx="2">
                  <c:v>83.544499999999999</c:v>
                </c:pt>
                <c:pt idx="3">
                  <c:v>100.88024651809599</c:v>
                </c:pt>
                <c:pt idx="4">
                  <c:v>113.50012499999998</c:v>
                </c:pt>
              </c:numCache>
            </c:numRef>
          </c:xVal>
          <c:yVal>
            <c:numRef>
              <c:f>Leverage!$W$2:$W$6</c:f>
              <c:numCache>
                <c:formatCode>0.00</c:formatCode>
                <c:ptCount val="5"/>
                <c:pt idx="0" formatCode="General">
                  <c:v>0</c:v>
                </c:pt>
                <c:pt idx="1">
                  <c:v>2822.4000000000005</c:v>
                </c:pt>
                <c:pt idx="2">
                  <c:v>3794.193841822349</c:v>
                </c:pt>
                <c:pt idx="3">
                  <c:v>4978.3827837041381</c:v>
                </c:pt>
                <c:pt idx="4">
                  <c:v>5840.4351060868503</c:v>
                </c:pt>
              </c:numCache>
            </c:numRef>
          </c:yVal>
          <c:smooth val="1"/>
        </c:ser>
        <c:ser>
          <c:idx val="2"/>
          <c:order val="2"/>
          <c:tx>
            <c:v>Line 1</c:v>
          </c:tx>
          <c:spPr>
            <a:ln w="12700">
              <a:solidFill>
                <a:srgbClr val="000000"/>
              </a:solidFill>
              <a:prstDash val="sysDash"/>
            </a:ln>
          </c:spPr>
          <c:marker>
            <c:symbol val="none"/>
          </c:marker>
          <c:dLbls>
            <c:dLbl>
              <c:idx val="0"/>
              <c:layout>
                <c:manualLayout>
                  <c:x val="-1.1529861202329288E-2"/>
                  <c:y val="-4.047135691436333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vi-VN"/>
                </a:p>
              </c:txPr>
              <c:dLblPos val="r"/>
              <c:showLegendKey val="0"/>
              <c:showVal val="0"/>
              <c:showCatName val="1"/>
              <c:showSerName val="0"/>
              <c:showPercent val="0"/>
              <c:showBubbleSize val="0"/>
            </c:dLbl>
            <c:showLegendKey val="0"/>
            <c:showVal val="0"/>
            <c:showCatName val="0"/>
            <c:showSerName val="0"/>
            <c:showPercent val="0"/>
            <c:showBubbleSize val="0"/>
          </c:dLbls>
          <c:xVal>
            <c:numRef>
              <c:f>Leverage!$S$9:$S$10</c:f>
              <c:numCache>
                <c:formatCode>0.00</c:formatCode>
                <c:ptCount val="2"/>
                <c:pt idx="0">
                  <c:v>69.318077920000007</c:v>
                </c:pt>
                <c:pt idx="1">
                  <c:v>69.318077920000007</c:v>
                </c:pt>
              </c:numCache>
            </c:numRef>
          </c:xVal>
          <c:yVal>
            <c:numRef>
              <c:f>Leverage!$T$9:$T$10</c:f>
              <c:numCache>
                <c:formatCode>0.00</c:formatCode>
                <c:ptCount val="2"/>
                <c:pt idx="0">
                  <c:v>0</c:v>
                </c:pt>
                <c:pt idx="1">
                  <c:v>2822.4</c:v>
                </c:pt>
              </c:numCache>
            </c:numRef>
          </c:yVal>
          <c:smooth val="1"/>
        </c:ser>
        <c:ser>
          <c:idx val="3"/>
          <c:order val="3"/>
          <c:tx>
            <c:v>Line 2</c:v>
          </c:tx>
          <c:spPr>
            <a:ln w="12700">
              <a:solidFill>
                <a:srgbClr val="800000"/>
              </a:solidFill>
              <a:prstDash val="solid"/>
            </a:ln>
          </c:spPr>
          <c:marker>
            <c:symbol val="none"/>
          </c:marker>
          <c:dLbls>
            <c:dLbl>
              <c:idx val="0"/>
              <c:layout>
                <c:manualLayout>
                  <c:x val="-1.2081896897826567E-2"/>
                  <c:y val="-4.047135691436333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vi-VN"/>
                </a:p>
              </c:txPr>
              <c:dLblPos val="r"/>
              <c:showLegendKey val="0"/>
              <c:showVal val="0"/>
              <c:showCatName val="1"/>
              <c:showSerName val="0"/>
              <c:showPercent val="0"/>
              <c:showBubbleSize val="0"/>
            </c:dLbl>
            <c:showLegendKey val="0"/>
            <c:showVal val="0"/>
            <c:showCatName val="0"/>
            <c:showSerName val="0"/>
            <c:showPercent val="0"/>
            <c:showBubbleSize val="0"/>
          </c:dLbls>
          <c:xVal>
            <c:numRef>
              <c:f>Leverage!$V$9:$V$10</c:f>
              <c:numCache>
                <c:formatCode>0.00</c:formatCode>
                <c:ptCount val="2"/>
                <c:pt idx="0">
                  <c:v>83.544499999999999</c:v>
                </c:pt>
                <c:pt idx="1">
                  <c:v>83.544499999999999</c:v>
                </c:pt>
              </c:numCache>
            </c:numRef>
          </c:xVal>
          <c:yVal>
            <c:numRef>
              <c:f>Leverage!$W$9:$W$10</c:f>
              <c:numCache>
                <c:formatCode>0.00</c:formatCode>
                <c:ptCount val="2"/>
                <c:pt idx="0">
                  <c:v>0</c:v>
                </c:pt>
                <c:pt idx="1">
                  <c:v>3794.193841822349</c:v>
                </c:pt>
              </c:numCache>
            </c:numRef>
          </c:yVal>
          <c:smooth val="1"/>
        </c:ser>
        <c:ser>
          <c:idx val="4"/>
          <c:order val="4"/>
          <c:tx>
            <c:v>Line</c:v>
          </c:tx>
          <c:spPr>
            <a:ln w="12700">
              <a:solidFill>
                <a:srgbClr val="000000"/>
              </a:solidFill>
              <a:prstDash val="sysDash"/>
            </a:ln>
          </c:spPr>
          <c:marker>
            <c:symbol val="none"/>
          </c:marker>
          <c:dLbls>
            <c:dLbl>
              <c:idx val="0"/>
              <c:layout>
                <c:manualLayout>
                  <c:x val="-2.2746472094411191E-2"/>
                  <c:y val="-4.047145050264943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vi-VN"/>
                </a:p>
              </c:txPr>
              <c:dLblPos val="r"/>
              <c:showLegendKey val="0"/>
              <c:showVal val="0"/>
              <c:showCatName val="1"/>
              <c:showSerName val="0"/>
              <c:showPercent val="0"/>
              <c:showBubbleSize val="0"/>
            </c:dLbl>
            <c:showLegendKey val="0"/>
            <c:showVal val="0"/>
            <c:showCatName val="0"/>
            <c:showSerName val="0"/>
            <c:showPercent val="0"/>
            <c:showBubbleSize val="0"/>
          </c:dLbls>
          <c:xVal>
            <c:numRef>
              <c:f>Leverage!$S$12:$S$13</c:f>
              <c:numCache>
                <c:formatCode>0.00</c:formatCode>
                <c:ptCount val="2"/>
                <c:pt idx="0">
                  <c:v>100.88024651809599</c:v>
                </c:pt>
                <c:pt idx="1">
                  <c:v>100.88024651809599</c:v>
                </c:pt>
              </c:numCache>
            </c:numRef>
          </c:xVal>
          <c:yVal>
            <c:numRef>
              <c:f>Leverage!$T$12:$T$13</c:f>
              <c:numCache>
                <c:formatCode>0.00</c:formatCode>
                <c:ptCount val="2"/>
                <c:pt idx="0">
                  <c:v>0</c:v>
                </c:pt>
                <c:pt idx="1">
                  <c:v>4978.3827837041381</c:v>
                </c:pt>
              </c:numCache>
            </c:numRef>
          </c:yVal>
          <c:smooth val="1"/>
        </c:ser>
        <c:ser>
          <c:idx val="5"/>
          <c:order val="5"/>
          <c:tx>
            <c:v>Line 4</c:v>
          </c:tx>
          <c:spPr>
            <a:ln w="12700">
              <a:solidFill>
                <a:srgbClr val="800000"/>
              </a:solidFill>
              <a:prstDash val="solid"/>
            </a:ln>
          </c:spPr>
          <c:marker>
            <c:symbol val="none"/>
          </c:marker>
          <c:dLbls>
            <c:dLbl>
              <c:idx val="0"/>
              <c:layout>
                <c:manualLayout>
                  <c:x val="-1.7910628591406321E-2"/>
                  <c:y val="-4.361602065952270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vi-VN"/>
                </a:p>
              </c:txPr>
              <c:dLblPos val="r"/>
              <c:showLegendKey val="0"/>
              <c:showVal val="0"/>
              <c:showCatName val="1"/>
              <c:showSerName val="0"/>
              <c:showPercent val="0"/>
              <c:showBubbleSize val="0"/>
            </c:dLbl>
            <c:showLegendKey val="0"/>
            <c:showVal val="0"/>
            <c:showCatName val="0"/>
            <c:showSerName val="0"/>
            <c:showPercent val="0"/>
            <c:showBubbleSize val="0"/>
          </c:dLbls>
          <c:xVal>
            <c:numRef>
              <c:f>Leverage!$V$12:$V$13</c:f>
              <c:numCache>
                <c:formatCode>0.00</c:formatCode>
                <c:ptCount val="2"/>
                <c:pt idx="0">
                  <c:v>113.50012499999998</c:v>
                </c:pt>
                <c:pt idx="1">
                  <c:v>113.50012499999998</c:v>
                </c:pt>
              </c:numCache>
            </c:numRef>
          </c:xVal>
          <c:yVal>
            <c:numRef>
              <c:f>Leverage!$W$12:$W$13</c:f>
              <c:numCache>
                <c:formatCode>0.00</c:formatCode>
                <c:ptCount val="2"/>
                <c:pt idx="0">
                  <c:v>0</c:v>
                </c:pt>
                <c:pt idx="1">
                  <c:v>5840.4351060868503</c:v>
                </c:pt>
              </c:numCache>
            </c:numRef>
          </c:yVal>
          <c:smooth val="1"/>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1</c:v>
              </c:pt>
            </c:numLit>
          </c:yVal>
          <c:smooth val="1"/>
        </c:ser>
        <c:dLbls>
          <c:showLegendKey val="0"/>
          <c:showVal val="0"/>
          <c:showCatName val="0"/>
          <c:showSerName val="0"/>
          <c:showPercent val="0"/>
          <c:showBubbleSize val="0"/>
        </c:dLbls>
        <c:axId val="57886976"/>
        <c:axId val="57890304"/>
      </c:scatterChart>
      <c:valAx>
        <c:axId val="5788697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vi-VN"/>
                  <a:t>EBIT (triệu đồng)</a:t>
                </a:r>
              </a:p>
            </c:rich>
          </c:tx>
          <c:layout>
            <c:manualLayout>
              <c:xMode val="edge"/>
              <c:yMode val="edge"/>
              <c:x val="0.44009829540538192"/>
              <c:y val="0.9213866191254395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vi-VN"/>
          </a:p>
        </c:txPr>
        <c:crossAx val="57890304"/>
        <c:crosses val="autoZero"/>
        <c:crossBetween val="midCat"/>
      </c:valAx>
      <c:valAx>
        <c:axId val="57890304"/>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US"/>
                  <a:t>EPS</a:t>
                </a:r>
              </a:p>
            </c:rich>
          </c:tx>
          <c:layout>
            <c:manualLayout>
              <c:xMode val="edge"/>
              <c:yMode val="edge"/>
              <c:x val="1.7114937555882438E-2"/>
              <c:y val="0.46541012562108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vi-VN"/>
          </a:p>
        </c:txPr>
        <c:crossAx val="57886976"/>
        <c:crosses val="autoZero"/>
        <c:crossBetween val="midCat"/>
      </c:valAx>
      <c:spPr>
        <a:noFill/>
        <a:ln w="25400">
          <a:noFill/>
        </a:ln>
      </c:spPr>
    </c:plotArea>
    <c:legend>
      <c:legendPos val="r"/>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26161391364540976"/>
          <c:y val="0.22327110054639399"/>
          <c:w val="0.3178488073606186"/>
          <c:h val="0.12264183958137306"/>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vi-VN"/>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vi-VN"/>
    </a:p>
  </c:tx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209550</xdr:colOff>
      <xdr:row>0</xdr:row>
      <xdr:rowOff>152399</xdr:rowOff>
    </xdr:from>
    <xdr:to>
      <xdr:col>12</xdr:col>
      <xdr:colOff>590550</xdr:colOff>
      <xdr:row>30</xdr:row>
      <xdr:rowOff>123824</xdr:rowOff>
    </xdr:to>
    <xdr:graphicFrame macro="">
      <xdr:nvGraphicFramePr>
        <xdr:cNvPr id="11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542925</xdr:colOff>
      <xdr:row>67</xdr:row>
      <xdr:rowOff>9525</xdr:rowOff>
    </xdr:from>
    <xdr:to>
      <xdr:col>13</xdr:col>
      <xdr:colOff>447675</xdr:colOff>
      <xdr:row>85</xdr:row>
      <xdr:rowOff>123825</xdr:rowOff>
    </xdr:to>
    <xdr:graphicFrame macro="">
      <xdr:nvGraphicFramePr>
        <xdr:cNvPr id="11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24" sqref="A24"/>
    </sheetView>
  </sheetViews>
  <sheetFormatPr defaultRowHeight="12.75" x14ac:dyDescent="0.2"/>
  <cols>
    <col min="1" max="1" width="119.5703125" style="66" customWidth="1"/>
  </cols>
  <sheetData>
    <row r="1" spans="1:1" ht="18" x14ac:dyDescent="0.25">
      <c r="A1" s="67" t="s">
        <v>103</v>
      </c>
    </row>
    <row r="2" spans="1:1" ht="18" x14ac:dyDescent="0.25">
      <c r="A2" s="67" t="s">
        <v>105</v>
      </c>
    </row>
    <row r="3" spans="1:1" ht="18" x14ac:dyDescent="0.25">
      <c r="A3" s="67" t="s">
        <v>104</v>
      </c>
    </row>
    <row r="6" spans="1:1" x14ac:dyDescent="0.2">
      <c r="A6" s="65" t="s">
        <v>184</v>
      </c>
    </row>
    <row r="7" spans="1:1" x14ac:dyDescent="0.2">
      <c r="A7" s="65" t="s">
        <v>106</v>
      </c>
    </row>
    <row r="24" spans="1:1" x14ac:dyDescent="0.2">
      <c r="A24" s="109"/>
    </row>
    <row r="40" spans="1:1" x14ac:dyDescent="0.2">
      <c r="A40" s="10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heetViews>
  <sheetFormatPr defaultRowHeight="12.75" x14ac:dyDescent="0.2"/>
  <cols>
    <col min="1" max="3" width="36.7109375" customWidth="1"/>
  </cols>
  <sheetData>
    <row r="1" spans="1:16" x14ac:dyDescent="0.2">
      <c r="A1" s="3" t="s">
        <v>125</v>
      </c>
    </row>
    <row r="2" spans="1:16" x14ac:dyDescent="0.2">
      <c r="P2">
        <f ca="1">_xll.CB.RecalcCounterFN()</f>
        <v>11</v>
      </c>
    </row>
    <row r="3" spans="1:16" x14ac:dyDescent="0.2">
      <c r="A3" t="s">
        <v>126</v>
      </c>
      <c r="B3" t="s">
        <v>127</v>
      </c>
      <c r="C3">
        <v>0</v>
      </c>
    </row>
    <row r="4" spans="1:16" x14ac:dyDescent="0.2">
      <c r="A4" t="s">
        <v>128</v>
      </c>
    </row>
    <row r="5" spans="1:16" x14ac:dyDescent="0.2">
      <c r="A5" t="s">
        <v>129</v>
      </c>
    </row>
    <row r="7" spans="1:16" x14ac:dyDescent="0.2">
      <c r="A7" s="3" t="s">
        <v>130</v>
      </c>
      <c r="B7" t="s">
        <v>131</v>
      </c>
    </row>
    <row r="8" spans="1:16" x14ac:dyDescent="0.2">
      <c r="B8">
        <v>3</v>
      </c>
    </row>
    <row r="10" spans="1:16" x14ac:dyDescent="0.2">
      <c r="A10" t="s">
        <v>132</v>
      </c>
    </row>
    <row r="11" spans="1:16" x14ac:dyDescent="0.2">
      <c r="A11" t="e">
        <f>CB_DATA_!#REF!</f>
        <v>#REF!</v>
      </c>
      <c r="B11" t="e">
        <f>#REF!</f>
        <v>#REF!</v>
      </c>
      <c r="C11" t="e">
        <f>#REF!</f>
        <v>#REF!</v>
      </c>
    </row>
    <row r="13" spans="1:16" x14ac:dyDescent="0.2">
      <c r="A13" t="s">
        <v>133</v>
      </c>
    </row>
    <row r="14" spans="1:16" x14ac:dyDescent="0.2">
      <c r="A14" t="s">
        <v>137</v>
      </c>
      <c r="B14" t="s">
        <v>182</v>
      </c>
      <c r="C14" t="s">
        <v>180</v>
      </c>
    </row>
    <row r="16" spans="1:16" x14ac:dyDescent="0.2">
      <c r="A16" t="s">
        <v>134</v>
      </c>
    </row>
    <row r="17" spans="1:3" x14ac:dyDescent="0.2">
      <c r="B17">
        <v>1</v>
      </c>
    </row>
    <row r="19" spans="1:3" x14ac:dyDescent="0.2">
      <c r="A19" t="s">
        <v>135</v>
      </c>
    </row>
    <row r="20" spans="1:3" x14ac:dyDescent="0.2">
      <c r="A20">
        <v>28</v>
      </c>
      <c r="B20">
        <v>31</v>
      </c>
      <c r="C20">
        <v>31</v>
      </c>
    </row>
    <row r="25" spans="1:3" x14ac:dyDescent="0.2">
      <c r="A25" s="3" t="s">
        <v>136</v>
      </c>
    </row>
    <row r="26" spans="1:3" x14ac:dyDescent="0.2">
      <c r="A26" s="82" t="s">
        <v>138</v>
      </c>
      <c r="B26" s="82" t="s">
        <v>138</v>
      </c>
      <c r="C26" s="82" t="s">
        <v>142</v>
      </c>
    </row>
    <row r="27" spans="1:3" x14ac:dyDescent="0.2">
      <c r="A27" t="s">
        <v>139</v>
      </c>
      <c r="B27" t="s">
        <v>141</v>
      </c>
      <c r="C27" t="s">
        <v>192</v>
      </c>
    </row>
    <row r="28" spans="1:3" x14ac:dyDescent="0.2">
      <c r="A28" s="82" t="s">
        <v>140</v>
      </c>
      <c r="B28" s="82" t="s">
        <v>140</v>
      </c>
      <c r="C28" s="82" t="s">
        <v>140</v>
      </c>
    </row>
    <row r="29" spans="1:3" x14ac:dyDescent="0.2">
      <c r="B29" s="82" t="s">
        <v>142</v>
      </c>
      <c r="C29" s="82" t="s">
        <v>138</v>
      </c>
    </row>
    <row r="30" spans="1:3" x14ac:dyDescent="0.2">
      <c r="B30" t="s">
        <v>183</v>
      </c>
      <c r="C30" t="s">
        <v>181</v>
      </c>
    </row>
    <row r="31" spans="1:3" x14ac:dyDescent="0.2">
      <c r="B31" s="82" t="s">
        <v>140</v>
      </c>
      <c r="C31" s="82" t="s">
        <v>140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topLeftCell="A7" workbookViewId="0">
      <selection activeCell="C27" sqref="C27"/>
    </sheetView>
  </sheetViews>
  <sheetFormatPr defaultRowHeight="12.75" x14ac:dyDescent="0.2"/>
  <cols>
    <col min="1" max="1" width="19.42578125" customWidth="1"/>
    <col min="2" max="2" width="15.42578125" customWidth="1"/>
    <col min="7" max="7" width="9.28515625" bestFit="1" customWidth="1"/>
  </cols>
  <sheetData>
    <row r="1" spans="1:12" x14ac:dyDescent="0.2">
      <c r="A1" s="3" t="s">
        <v>99</v>
      </c>
      <c r="D1" s="61" t="s">
        <v>102</v>
      </c>
    </row>
    <row r="2" spans="1:12" ht="13.5" thickBot="1" x14ac:dyDescent="0.25"/>
    <row r="3" spans="1:12" x14ac:dyDescent="0.2">
      <c r="A3" s="44" t="s">
        <v>80</v>
      </c>
      <c r="B3" s="62">
        <f>Project!B5</f>
        <v>36.200000000000003</v>
      </c>
    </row>
    <row r="4" spans="1:12" x14ac:dyDescent="0.2">
      <c r="A4" s="37" t="s">
        <v>82</v>
      </c>
      <c r="B4" s="46">
        <f>Project!$B$2/Project!$B$3</f>
        <v>17.5</v>
      </c>
    </row>
    <row r="5" spans="1:12" x14ac:dyDescent="0.2">
      <c r="A5" s="37" t="s">
        <v>74</v>
      </c>
      <c r="B5" s="46">
        <v>0</v>
      </c>
    </row>
    <row r="6" spans="1:12" x14ac:dyDescent="0.2">
      <c r="A6" s="96" t="s">
        <v>170</v>
      </c>
      <c r="B6" s="38">
        <f>-(B3-B10*B11)*Data!$M$14</f>
        <v>-2.2960000000000012</v>
      </c>
    </row>
    <row r="7" spans="1:12" ht="13.5" thickBot="1" x14ac:dyDescent="0.25">
      <c r="A7" s="39" t="s">
        <v>81</v>
      </c>
      <c r="B7" s="56">
        <f>SUM(B3:B6)</f>
        <v>51.404000000000003</v>
      </c>
    </row>
    <row r="9" spans="1:12" x14ac:dyDescent="0.2">
      <c r="A9" s="3" t="s">
        <v>83</v>
      </c>
    </row>
    <row r="10" spans="1:12" x14ac:dyDescent="0.2">
      <c r="A10" s="4" t="s">
        <v>85</v>
      </c>
      <c r="B10" s="4">
        <f>Project!B15</f>
        <v>175</v>
      </c>
    </row>
    <row r="11" spans="1:12" x14ac:dyDescent="0.2">
      <c r="A11" s="4" t="s">
        <v>17</v>
      </c>
      <c r="B11" s="90">
        <f>Project!B16</f>
        <v>0.16</v>
      </c>
    </row>
    <row r="12" spans="1:12" ht="13.5" thickBot="1" x14ac:dyDescent="0.25">
      <c r="A12" s="4" t="s">
        <v>86</v>
      </c>
      <c r="B12" s="4">
        <v>5</v>
      </c>
    </row>
    <row r="13" spans="1:12" x14ac:dyDescent="0.2">
      <c r="A13" s="31"/>
      <c r="B13" s="120" t="s">
        <v>175</v>
      </c>
      <c r="C13" s="32">
        <v>1</v>
      </c>
      <c r="D13" s="32">
        <v>2</v>
      </c>
      <c r="E13" s="32">
        <v>3</v>
      </c>
      <c r="F13" s="32">
        <v>4</v>
      </c>
      <c r="G13" s="32">
        <v>5</v>
      </c>
      <c r="H13" s="32">
        <v>6</v>
      </c>
      <c r="I13" s="32">
        <v>7</v>
      </c>
      <c r="J13" s="32">
        <v>8</v>
      </c>
      <c r="K13" s="32">
        <v>9</v>
      </c>
      <c r="L13" s="33">
        <v>10</v>
      </c>
    </row>
    <row r="14" spans="1:12" x14ac:dyDescent="0.2">
      <c r="A14" s="99"/>
      <c r="B14" s="121"/>
      <c r="C14" s="21">
        <v>2006</v>
      </c>
      <c r="D14" s="21">
        <f>IF(D13&gt;$B$12,"",C14+1)</f>
        <v>2007</v>
      </c>
      <c r="E14" s="21">
        <f t="shared" ref="E14:L14" si="0">IF(E13&gt;$B$12,"",D14+1)</f>
        <v>2008</v>
      </c>
      <c r="F14" s="21">
        <f t="shared" si="0"/>
        <v>2009</v>
      </c>
      <c r="G14" s="21">
        <f t="shared" si="0"/>
        <v>2010</v>
      </c>
      <c r="H14" s="21" t="str">
        <f t="shared" si="0"/>
        <v/>
      </c>
      <c r="I14" s="21" t="str">
        <f t="shared" si="0"/>
        <v/>
      </c>
      <c r="J14" s="21" t="str">
        <f t="shared" si="0"/>
        <v/>
      </c>
      <c r="K14" s="21" t="str">
        <f t="shared" si="0"/>
        <v/>
      </c>
      <c r="L14" s="36" t="str">
        <f t="shared" si="0"/>
        <v/>
      </c>
    </row>
    <row r="15" spans="1:12" x14ac:dyDescent="0.2">
      <c r="A15" s="37" t="s">
        <v>84</v>
      </c>
      <c r="B15" s="35"/>
      <c r="C15" s="51">
        <f>B10</f>
        <v>175</v>
      </c>
      <c r="D15" s="51">
        <f>IF(D13&gt;$B$12,0,C18)</f>
        <v>140</v>
      </c>
      <c r="E15" s="51">
        <f t="shared" ref="E15:L15" si="1">IF(E13&gt;$B$12,0,D18)</f>
        <v>105</v>
      </c>
      <c r="F15" s="51">
        <f t="shared" si="1"/>
        <v>70</v>
      </c>
      <c r="G15" s="51">
        <f t="shared" si="1"/>
        <v>35</v>
      </c>
      <c r="H15" s="51">
        <f t="shared" si="1"/>
        <v>0</v>
      </c>
      <c r="I15" s="51">
        <f t="shared" si="1"/>
        <v>0</v>
      </c>
      <c r="J15" s="51">
        <f t="shared" si="1"/>
        <v>0</v>
      </c>
      <c r="K15" s="51">
        <f t="shared" si="1"/>
        <v>0</v>
      </c>
      <c r="L15" s="46">
        <f t="shared" si="1"/>
        <v>0</v>
      </c>
    </row>
    <row r="16" spans="1:12" x14ac:dyDescent="0.2">
      <c r="A16" s="37" t="s">
        <v>87</v>
      </c>
      <c r="B16" s="35"/>
      <c r="C16" s="51">
        <f t="shared" ref="C16:L16" si="2">C15*$B$11</f>
        <v>28</v>
      </c>
      <c r="D16" s="51">
        <f t="shared" si="2"/>
        <v>22.400000000000002</v>
      </c>
      <c r="E16" s="51">
        <f t="shared" si="2"/>
        <v>16.8</v>
      </c>
      <c r="F16" s="51">
        <f t="shared" si="2"/>
        <v>11.200000000000001</v>
      </c>
      <c r="G16" s="51">
        <f t="shared" si="2"/>
        <v>5.6000000000000005</v>
      </c>
      <c r="H16" s="51">
        <f t="shared" si="2"/>
        <v>0</v>
      </c>
      <c r="I16" s="51">
        <f t="shared" si="2"/>
        <v>0</v>
      </c>
      <c r="J16" s="51">
        <f t="shared" si="2"/>
        <v>0</v>
      </c>
      <c r="K16" s="51">
        <f t="shared" si="2"/>
        <v>0</v>
      </c>
      <c r="L16" s="46">
        <f t="shared" si="2"/>
        <v>0</v>
      </c>
    </row>
    <row r="17" spans="1:12" x14ac:dyDescent="0.2">
      <c r="A17" s="37" t="s">
        <v>65</v>
      </c>
      <c r="B17" s="35"/>
      <c r="C17" s="51">
        <f>IF(C13&gt;$B$12,0,$B$10/$B$12)</f>
        <v>35</v>
      </c>
      <c r="D17" s="51">
        <f t="shared" ref="D17:L17" si="3">IF(D13&gt;$B$12,0,$B$10/$B$12)</f>
        <v>35</v>
      </c>
      <c r="E17" s="51">
        <f t="shared" si="3"/>
        <v>35</v>
      </c>
      <c r="F17" s="51">
        <f t="shared" si="3"/>
        <v>35</v>
      </c>
      <c r="G17" s="51">
        <f t="shared" si="3"/>
        <v>35</v>
      </c>
      <c r="H17" s="51">
        <f t="shared" si="3"/>
        <v>0</v>
      </c>
      <c r="I17" s="51">
        <f t="shared" si="3"/>
        <v>0</v>
      </c>
      <c r="J17" s="51">
        <f t="shared" si="3"/>
        <v>0</v>
      </c>
      <c r="K17" s="51">
        <f t="shared" si="3"/>
        <v>0</v>
      </c>
      <c r="L17" s="46">
        <f t="shared" si="3"/>
        <v>0</v>
      </c>
    </row>
    <row r="18" spans="1:12" x14ac:dyDescent="0.2">
      <c r="A18" s="37" t="s">
        <v>88</v>
      </c>
      <c r="B18" s="35"/>
      <c r="C18" s="51">
        <f t="shared" ref="C18:L18" si="4">C15-C17</f>
        <v>140</v>
      </c>
      <c r="D18" s="51">
        <f t="shared" si="4"/>
        <v>105</v>
      </c>
      <c r="E18" s="51">
        <f t="shared" si="4"/>
        <v>70</v>
      </c>
      <c r="F18" s="51">
        <f t="shared" si="4"/>
        <v>35</v>
      </c>
      <c r="G18" s="51">
        <f t="shared" si="4"/>
        <v>0</v>
      </c>
      <c r="H18" s="51">
        <f t="shared" si="4"/>
        <v>0</v>
      </c>
      <c r="I18" s="51">
        <f t="shared" si="4"/>
        <v>0</v>
      </c>
      <c r="J18" s="51">
        <f t="shared" si="4"/>
        <v>0</v>
      </c>
      <c r="K18" s="51">
        <f t="shared" si="4"/>
        <v>0</v>
      </c>
      <c r="L18" s="46">
        <f t="shared" si="4"/>
        <v>0</v>
      </c>
    </row>
    <row r="19" spans="1:12" ht="13.5" thickBot="1" x14ac:dyDescent="0.25">
      <c r="A19" s="39" t="s">
        <v>89</v>
      </c>
      <c r="B19" s="40"/>
      <c r="C19" s="55">
        <f t="shared" ref="C19:L19" si="5">C16+C17</f>
        <v>63</v>
      </c>
      <c r="D19" s="55">
        <f t="shared" si="5"/>
        <v>57.400000000000006</v>
      </c>
      <c r="E19" s="55">
        <f t="shared" si="5"/>
        <v>51.8</v>
      </c>
      <c r="F19" s="55">
        <f t="shared" si="5"/>
        <v>46.2</v>
      </c>
      <c r="G19" s="55">
        <f t="shared" si="5"/>
        <v>40.6</v>
      </c>
      <c r="H19" s="55">
        <f t="shared" si="5"/>
        <v>0</v>
      </c>
      <c r="I19" s="55">
        <f t="shared" si="5"/>
        <v>0</v>
      </c>
      <c r="J19" s="55">
        <f t="shared" si="5"/>
        <v>0</v>
      </c>
      <c r="K19" s="55">
        <f t="shared" si="5"/>
        <v>0</v>
      </c>
      <c r="L19" s="56">
        <f t="shared" si="5"/>
        <v>0</v>
      </c>
    </row>
    <row r="21" spans="1:12" ht="13.5" thickBot="1" x14ac:dyDescent="0.25">
      <c r="A21" s="3" t="s">
        <v>79</v>
      </c>
    </row>
    <row r="22" spans="1:12" x14ac:dyDescent="0.2">
      <c r="A22" s="31" t="s">
        <v>172</v>
      </c>
      <c r="B22" s="97">
        <f>'CADS DN'!B11</f>
        <v>33.909950520000123</v>
      </c>
    </row>
    <row r="23" spans="1:12" x14ac:dyDescent="0.2">
      <c r="A23" s="37" t="s">
        <v>173</v>
      </c>
      <c r="B23" s="46">
        <f>B7</f>
        <v>51.404000000000003</v>
      </c>
    </row>
    <row r="24" spans="1:12" ht="13.5" thickBot="1" x14ac:dyDescent="0.25">
      <c r="A24" s="49" t="s">
        <v>90</v>
      </c>
      <c r="B24" s="98">
        <f>B22+B23</f>
        <v>85.313950520000134</v>
      </c>
    </row>
    <row r="26" spans="1:12" ht="13.5" thickBot="1" x14ac:dyDescent="0.25">
      <c r="A26" s="3" t="s">
        <v>174</v>
      </c>
    </row>
    <row r="27" spans="1:12" x14ac:dyDescent="0.2">
      <c r="A27" s="106" t="s">
        <v>92</v>
      </c>
      <c r="B27" s="32"/>
      <c r="C27" s="107">
        <f>IF(C13&gt;$B$12,"",$B$7/C19)</f>
        <v>0.81593650793650796</v>
      </c>
      <c r="D27" s="107">
        <f>IF(D13&gt;$B$12,"",$B$7/D19)</f>
        <v>0.89554006968641109</v>
      </c>
      <c r="E27" s="107">
        <f>IF(E13&gt;$B$12,"",$B$7/E19)</f>
        <v>0.99235521235521251</v>
      </c>
      <c r="F27" s="107">
        <f>IF(F13&gt;$B$12,"",$B$7/F19)</f>
        <v>1.1126406926406927</v>
      </c>
      <c r="G27" s="107">
        <f>IF(G13&gt;$B$12,"",$B$7/G19)</f>
        <v>1.2661083743842365</v>
      </c>
      <c r="H27" s="107" t="str">
        <f>IF(H13&gt;$B$12,"",$B$24/H19)</f>
        <v/>
      </c>
      <c r="I27" s="107" t="str">
        <f>IF(I13&gt;$B$12,"",$B$24/I19)</f>
        <v/>
      </c>
      <c r="J27" s="107" t="str">
        <f>IF(J13&gt;$B$12,"",$B$24/J19)</f>
        <v/>
      </c>
      <c r="K27" s="107" t="str">
        <f>IF(K13&gt;$B$12,"",$B$24/K19)</f>
        <v/>
      </c>
      <c r="L27" s="108" t="str">
        <f>IF(L13&gt;$B$12,"",$B$24/L19)</f>
        <v/>
      </c>
    </row>
    <row r="28" spans="1:12" ht="13.5" thickBot="1" x14ac:dyDescent="0.25">
      <c r="A28" s="27" t="s">
        <v>91</v>
      </c>
      <c r="B28" s="28"/>
      <c r="C28" s="63">
        <f>IF(C13&gt;$B$12,"",$B$24/C19)</f>
        <v>1.3541896907936528</v>
      </c>
      <c r="D28" s="63">
        <f>IF(D13&gt;$B$12,"",$B$24/D19)</f>
        <v>1.4863057581881556</v>
      </c>
      <c r="E28" s="63">
        <f>IF(E13&gt;$B$12,"",$B$24/E19)</f>
        <v>1.6469874617760645</v>
      </c>
      <c r="F28" s="63">
        <f>IF(F13&gt;$B$12,"",$B$24/F19)</f>
        <v>1.8466223056277085</v>
      </c>
      <c r="G28" s="63">
        <f>IF(G13&gt;$B$12,"",$B$24/G19)</f>
        <v>2.1013288305418754</v>
      </c>
      <c r="H28" s="63" t="str">
        <f>IF(H13&gt;$B$12,"",$B$7/H19)</f>
        <v/>
      </c>
      <c r="I28" s="63" t="str">
        <f>IF(I13&gt;$B$12,"",$B$7/I19)</f>
        <v/>
      </c>
      <c r="J28" s="63" t="str">
        <f>IF(J13&gt;$B$12,"",$B$7/J19)</f>
        <v/>
      </c>
      <c r="K28" s="63" t="str">
        <f>IF(K13&gt;$B$12,"",$B$7/K19)</f>
        <v/>
      </c>
      <c r="L28" s="64" t="str">
        <f>IF(L13&gt;$B$12,"",$B$7/L19)</f>
        <v/>
      </c>
    </row>
    <row r="30" spans="1:12" ht="13.5" thickBot="1" x14ac:dyDescent="0.25">
      <c r="A30" s="3" t="s">
        <v>177</v>
      </c>
    </row>
    <row r="31" spans="1:12" x14ac:dyDescent="0.2">
      <c r="A31" s="41"/>
      <c r="B31" s="42" t="s">
        <v>178</v>
      </c>
      <c r="C31" s="42" t="s">
        <v>97</v>
      </c>
      <c r="D31" s="43" t="s">
        <v>98</v>
      </c>
    </row>
    <row r="32" spans="1:12" x14ac:dyDescent="0.2">
      <c r="A32" s="23" t="s">
        <v>93</v>
      </c>
      <c r="B32" s="24">
        <f>IS!B12/AVERAGE(BS!B12:C12)</f>
        <v>0.13281344715463708</v>
      </c>
      <c r="C32" s="25">
        <f>B3/Project!B2</f>
        <v>0.20685714285714288</v>
      </c>
      <c r="D32" s="26">
        <f>(IS!B12+'Project CF'!B3)/(BS!B12+Project!B2)</f>
        <v>0.14650972222349312</v>
      </c>
    </row>
    <row r="33" spans="1:4" x14ac:dyDescent="0.2">
      <c r="A33" s="23" t="s">
        <v>94</v>
      </c>
      <c r="B33" s="24">
        <f>IS!B14/AVERAGE(BS!B26:C26)</f>
        <v>0.32031929994780528</v>
      </c>
      <c r="C33" s="25">
        <f>B3*(1-Data!$M$14%)/Project!B2</f>
        <v>0.20627794285714288</v>
      </c>
      <c r="D33" s="26">
        <f>(IS!B12+'Project CF'!B3)*(1-Data!$M$14)/(BS!B26+Project!B2)</f>
        <v>0.21398972278702219</v>
      </c>
    </row>
    <row r="34" spans="1:4" ht="13.5" thickBot="1" x14ac:dyDescent="0.25">
      <c r="A34" s="27" t="s">
        <v>95</v>
      </c>
      <c r="B34" s="28"/>
      <c r="C34" s="29" t="s">
        <v>96</v>
      </c>
      <c r="D34" s="30">
        <f>(IS!B12+'Project CF'!B3-B10*B11)*(1-Data!$M$14)/(BS!B26+Project!B2-B10)</f>
        <v>0.33449531358438611</v>
      </c>
    </row>
  </sheetData>
  <mergeCells count="1">
    <mergeCell ref="B13:B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B6" sqref="B6"/>
    </sheetView>
  </sheetViews>
  <sheetFormatPr defaultRowHeight="12.75" x14ac:dyDescent="0.2"/>
  <cols>
    <col min="1" max="1" width="33" customWidth="1"/>
    <col min="2" max="3" width="12.42578125" customWidth="1"/>
  </cols>
  <sheetData>
    <row r="1" spans="1:3" x14ac:dyDescent="0.2">
      <c r="A1" s="3" t="s">
        <v>100</v>
      </c>
    </row>
    <row r="2" spans="1:3" ht="13.5" thickBot="1" x14ac:dyDescent="0.25">
      <c r="A2" s="3"/>
      <c r="C2" s="68" t="s">
        <v>124</v>
      </c>
    </row>
    <row r="3" spans="1:3" x14ac:dyDescent="0.2">
      <c r="A3" s="41"/>
      <c r="B3" s="50">
        <v>2004</v>
      </c>
      <c r="C3" s="45">
        <v>2003</v>
      </c>
    </row>
    <row r="4" spans="1:3" x14ac:dyDescent="0.2">
      <c r="A4" s="37" t="s">
        <v>32</v>
      </c>
      <c r="B4" s="51">
        <f>SUM(B5:B8)</f>
        <v>211.63381932000013</v>
      </c>
      <c r="C4" s="46">
        <f>SUM(C5:C8)</f>
        <v>164.67866000000001</v>
      </c>
    </row>
    <row r="5" spans="1:3" x14ac:dyDescent="0.2">
      <c r="A5" s="47" t="s">
        <v>33</v>
      </c>
      <c r="B5" s="80">
        <f>C5+CF!B25</f>
        <v>40.914679320000118</v>
      </c>
      <c r="C5" s="46">
        <f>29.335283-2.206*2</f>
        <v>24.923283000000001</v>
      </c>
    </row>
    <row r="6" spans="1:3" x14ac:dyDescent="0.2">
      <c r="A6" s="47" t="s">
        <v>44</v>
      </c>
      <c r="B6" s="51">
        <v>39.481400000000001</v>
      </c>
      <c r="C6" s="46">
        <v>43.010376999999998</v>
      </c>
    </row>
    <row r="7" spans="1:3" x14ac:dyDescent="0.2">
      <c r="A7" s="47" t="s">
        <v>34</v>
      </c>
      <c r="B7" s="51">
        <v>113.15130000000001</v>
      </c>
      <c r="C7" s="46">
        <v>89.245755000000003</v>
      </c>
    </row>
    <row r="8" spans="1:3" x14ac:dyDescent="0.2">
      <c r="A8" s="47" t="s">
        <v>35</v>
      </c>
      <c r="B8" s="51">
        <v>18.08644</v>
      </c>
      <c r="C8" s="46">
        <v>7.4992450000000002</v>
      </c>
    </row>
    <row r="9" spans="1:3" x14ac:dyDescent="0.2">
      <c r="A9" s="37" t="s">
        <v>70</v>
      </c>
      <c r="B9" s="51">
        <f>B10+B11</f>
        <v>259.39839999999998</v>
      </c>
      <c r="C9" s="46">
        <f>C10+C11</f>
        <v>244.47109399999999</v>
      </c>
    </row>
    <row r="10" spans="1:3" x14ac:dyDescent="0.2">
      <c r="A10" s="47" t="s">
        <v>36</v>
      </c>
      <c r="B10" s="51">
        <v>397.47239999999999</v>
      </c>
      <c r="C10" s="52">
        <v>371.29622599999999</v>
      </c>
    </row>
    <row r="11" spans="1:3" x14ac:dyDescent="0.2">
      <c r="A11" s="47" t="s">
        <v>37</v>
      </c>
      <c r="B11" s="51">
        <v>-138.07400000000001</v>
      </c>
      <c r="C11" s="46">
        <v>-126.82513200000001</v>
      </c>
    </row>
    <row r="12" spans="1:3" x14ac:dyDescent="0.2">
      <c r="A12" s="37" t="s">
        <v>38</v>
      </c>
      <c r="B12" s="53">
        <f>B9+B4</f>
        <v>471.03221932000008</v>
      </c>
      <c r="C12" s="54">
        <f>C9+C4</f>
        <v>409.14975400000003</v>
      </c>
    </row>
    <row r="13" spans="1:3" x14ac:dyDescent="0.2">
      <c r="A13" s="34"/>
      <c r="B13" s="51"/>
      <c r="C13" s="38"/>
    </row>
    <row r="14" spans="1:3" x14ac:dyDescent="0.2">
      <c r="A14" s="37" t="s">
        <v>39</v>
      </c>
      <c r="B14" s="51">
        <f>B15+B22</f>
        <v>327.5682078000001</v>
      </c>
      <c r="C14" s="46">
        <f>C15+C22</f>
        <v>289.85118899999998</v>
      </c>
    </row>
    <row r="15" spans="1:3" x14ac:dyDescent="0.2">
      <c r="A15" s="37" t="s">
        <v>40</v>
      </c>
      <c r="B15" s="51">
        <f>SUM(B16:B21)</f>
        <v>315.65764180000008</v>
      </c>
      <c r="C15" s="46">
        <f>SUM(C16:C21)</f>
        <v>274.19099999999997</v>
      </c>
    </row>
    <row r="16" spans="1:3" x14ac:dyDescent="0.2">
      <c r="A16" s="47" t="s">
        <v>41</v>
      </c>
      <c r="B16" s="51">
        <v>0</v>
      </c>
      <c r="C16" s="46">
        <v>0</v>
      </c>
    </row>
    <row r="17" spans="1:3" x14ac:dyDescent="0.2">
      <c r="A17" s="47" t="s">
        <v>42</v>
      </c>
      <c r="B17" s="51">
        <v>151.83301890000001</v>
      </c>
      <c r="C17" s="46">
        <v>114.336792</v>
      </c>
    </row>
    <row r="18" spans="1:3" x14ac:dyDescent="0.2">
      <c r="A18" s="47" t="s">
        <v>43</v>
      </c>
      <c r="B18" s="51">
        <v>129.335283</v>
      </c>
      <c r="C18" s="46">
        <v>103.308491</v>
      </c>
    </row>
    <row r="19" spans="1:3" x14ac:dyDescent="0.2">
      <c r="A19" s="47" t="s">
        <v>45</v>
      </c>
      <c r="B19" s="51">
        <v>5.0730189000000001</v>
      </c>
      <c r="C19" s="46">
        <v>4.8524529999999997</v>
      </c>
    </row>
    <row r="20" spans="1:3" x14ac:dyDescent="0.2">
      <c r="A20" s="47" t="s">
        <v>46</v>
      </c>
      <c r="B20" s="51">
        <v>25.887264000000002</v>
      </c>
      <c r="C20" s="46">
        <v>50.220565999999998</v>
      </c>
    </row>
    <row r="21" spans="1:3" x14ac:dyDescent="0.2">
      <c r="A21" s="47" t="s">
        <v>47</v>
      </c>
      <c r="B21" s="51">
        <v>3.5290569999999999</v>
      </c>
      <c r="C21" s="52">
        <v>1.4726980000000001</v>
      </c>
    </row>
    <row r="22" spans="1:3" x14ac:dyDescent="0.2">
      <c r="A22" s="37" t="s">
        <v>48</v>
      </c>
      <c r="B22" s="51">
        <f>SUM(B23:B25)</f>
        <v>11.910565999999999</v>
      </c>
      <c r="C22" s="46">
        <f>SUM(C23:C25)</f>
        <v>15.660189000000001</v>
      </c>
    </row>
    <row r="23" spans="1:3" x14ac:dyDescent="0.2">
      <c r="A23" s="47" t="s">
        <v>49</v>
      </c>
      <c r="B23" s="51">
        <v>8.3815089999999994</v>
      </c>
      <c r="C23" s="46">
        <v>11.690000000000001</v>
      </c>
    </row>
    <row r="24" spans="1:3" x14ac:dyDescent="0.2">
      <c r="A24" s="47" t="s">
        <v>50</v>
      </c>
      <c r="B24" s="51">
        <v>0</v>
      </c>
      <c r="C24" s="46">
        <v>0</v>
      </c>
    </row>
    <row r="25" spans="1:3" x14ac:dyDescent="0.2">
      <c r="A25" s="47" t="s">
        <v>51</v>
      </c>
      <c r="B25" s="51">
        <v>3.5290569999999999</v>
      </c>
      <c r="C25" s="46">
        <v>3.970189</v>
      </c>
    </row>
    <row r="26" spans="1:3" x14ac:dyDescent="0.2">
      <c r="A26" s="37" t="s">
        <v>52</v>
      </c>
      <c r="B26" s="51">
        <f>SUM(B27:B29)</f>
        <v>143.46389551999999</v>
      </c>
      <c r="C26" s="46">
        <f>SUM(C27:C29)</f>
        <v>119.29892100000001</v>
      </c>
    </row>
    <row r="27" spans="1:3" x14ac:dyDescent="0.2">
      <c r="A27" s="47" t="s">
        <v>53</v>
      </c>
      <c r="B27" s="51">
        <v>105.40326</v>
      </c>
      <c r="C27" s="46">
        <v>105.40326</v>
      </c>
    </row>
    <row r="28" spans="1:3" x14ac:dyDescent="0.2">
      <c r="A28" s="47" t="s">
        <v>54</v>
      </c>
      <c r="B28" s="51">
        <v>9.9250000000000007</v>
      </c>
      <c r="C28" s="46">
        <v>9.9254719999999992</v>
      </c>
    </row>
    <row r="29" spans="1:3" x14ac:dyDescent="0.2">
      <c r="A29" s="47" t="s">
        <v>55</v>
      </c>
      <c r="B29" s="80">
        <f>C29+IS!B14-Data!E14*Data!K14/1000</f>
        <v>28.135635520000001</v>
      </c>
      <c r="C29" s="46">
        <v>3.970189</v>
      </c>
    </row>
    <row r="30" spans="1:3" ht="13.5" thickBot="1" x14ac:dyDescent="0.25">
      <c r="A30" s="49" t="s">
        <v>56</v>
      </c>
      <c r="B30" s="55">
        <f>B14+B26</f>
        <v>471.03210332000009</v>
      </c>
      <c r="C30" s="56">
        <f>C14+C26</f>
        <v>409.15010999999998</v>
      </c>
    </row>
    <row r="31" spans="1:3" x14ac:dyDescent="0.2">
      <c r="A31" s="58"/>
      <c r="B31" s="53"/>
      <c r="C31" s="53"/>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4" sqref="B14"/>
    </sheetView>
  </sheetViews>
  <sheetFormatPr defaultRowHeight="12.75" x14ac:dyDescent="0.2"/>
  <cols>
    <col min="1" max="1" width="33" customWidth="1"/>
    <col min="2" max="3" width="12.42578125" customWidth="1"/>
  </cols>
  <sheetData>
    <row r="1" spans="1:2" x14ac:dyDescent="0.2">
      <c r="A1" s="3" t="s">
        <v>101</v>
      </c>
    </row>
    <row r="2" spans="1:2" x14ac:dyDescent="0.2">
      <c r="A2" s="3"/>
    </row>
    <row r="3" spans="1:2" ht="13.5" thickBot="1" x14ac:dyDescent="0.25">
      <c r="A3" s="3"/>
      <c r="B3" s="68" t="s">
        <v>124</v>
      </c>
    </row>
    <row r="4" spans="1:2" x14ac:dyDescent="0.2">
      <c r="A4" s="60"/>
      <c r="B4" s="45">
        <v>2004</v>
      </c>
    </row>
    <row r="5" spans="1:2" x14ac:dyDescent="0.2">
      <c r="A5" s="37" t="s">
        <v>22</v>
      </c>
      <c r="B5" s="46">
        <v>407.38547199999999</v>
      </c>
    </row>
    <row r="6" spans="1:2" x14ac:dyDescent="0.2">
      <c r="A6" s="47" t="s">
        <v>23</v>
      </c>
      <c r="B6" s="46">
        <v>-322.68811299999999</v>
      </c>
    </row>
    <row r="7" spans="1:2" x14ac:dyDescent="0.2">
      <c r="A7" s="37" t="s">
        <v>24</v>
      </c>
      <c r="B7" s="46">
        <f>B6+B5</f>
        <v>84.697359000000006</v>
      </c>
    </row>
    <row r="8" spans="1:2" x14ac:dyDescent="0.2">
      <c r="A8" s="48" t="s">
        <v>25</v>
      </c>
      <c r="B8" s="46">
        <v>-25.365093999999999</v>
      </c>
    </row>
    <row r="9" spans="1:2" x14ac:dyDescent="0.2">
      <c r="A9" s="48" t="s">
        <v>26</v>
      </c>
      <c r="B9" s="46">
        <v>0</v>
      </c>
    </row>
    <row r="10" spans="1:2" x14ac:dyDescent="0.2">
      <c r="A10" s="37" t="s">
        <v>27</v>
      </c>
      <c r="B10" s="46">
        <f>B7+B8+B9</f>
        <v>59.332265000000007</v>
      </c>
    </row>
    <row r="11" spans="1:2" x14ac:dyDescent="0.2">
      <c r="A11" s="37" t="s">
        <v>28</v>
      </c>
      <c r="B11" s="46">
        <v>-0.88226400000000005</v>
      </c>
    </row>
    <row r="12" spans="1:2" x14ac:dyDescent="0.2">
      <c r="A12" s="37" t="s">
        <v>29</v>
      </c>
      <c r="B12" s="46">
        <f>B10+B11</f>
        <v>58.450001000000007</v>
      </c>
    </row>
    <row r="13" spans="1:2" x14ac:dyDescent="0.2">
      <c r="A13" s="47" t="s">
        <v>30</v>
      </c>
      <c r="B13" s="46">
        <f>-B12*28%</f>
        <v>-16.366000280000005</v>
      </c>
    </row>
    <row r="14" spans="1:2" x14ac:dyDescent="0.2">
      <c r="A14" s="37" t="s">
        <v>20</v>
      </c>
      <c r="B14" s="46">
        <f>B12+B13</f>
        <v>42.084000720000006</v>
      </c>
    </row>
    <row r="15" spans="1:2" ht="13.5" thickBot="1" x14ac:dyDescent="0.25">
      <c r="A15" s="49" t="s">
        <v>144</v>
      </c>
      <c r="B15" s="81">
        <f>B14/10.540326*1000</f>
        <v>3992.6659498007944</v>
      </c>
    </row>
  </sheetData>
  <pageMargins left="0.7" right="0.7" top="0.75" bottom="0.75" header="0.3" footer="0.3"/>
  <pageSetup paperSize="0" orientation="portrait" horizontalDpi="0" verticalDpi="0" copies="0"/>
  <ignoredErrors>
    <ignoredError sqref="B1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B14" sqref="B14"/>
    </sheetView>
  </sheetViews>
  <sheetFormatPr defaultRowHeight="12.75" x14ac:dyDescent="0.2"/>
  <cols>
    <col min="1" max="1" width="33" customWidth="1"/>
    <col min="2" max="3" width="12.42578125" customWidth="1"/>
  </cols>
  <sheetData>
    <row r="1" spans="1:5" x14ac:dyDescent="0.2">
      <c r="A1" s="59" t="s">
        <v>143</v>
      </c>
      <c r="B1" s="53"/>
      <c r="C1" s="53"/>
    </row>
    <row r="2" spans="1:5" ht="13.5" thickBot="1" x14ac:dyDescent="0.25">
      <c r="A2" s="59"/>
      <c r="B2" s="68" t="s">
        <v>124</v>
      </c>
    </row>
    <row r="3" spans="1:5" x14ac:dyDescent="0.2">
      <c r="A3" s="41"/>
      <c r="B3" s="45">
        <v>2004</v>
      </c>
    </row>
    <row r="4" spans="1:5" x14ac:dyDescent="0.2">
      <c r="A4" s="57" t="s">
        <v>57</v>
      </c>
      <c r="B4" s="38"/>
    </row>
    <row r="5" spans="1:5" x14ac:dyDescent="0.2">
      <c r="A5" s="37" t="s">
        <v>20</v>
      </c>
      <c r="B5" s="46">
        <f>IS!B14</f>
        <v>42.084000720000006</v>
      </c>
    </row>
    <row r="6" spans="1:5" x14ac:dyDescent="0.2">
      <c r="A6" s="47" t="s">
        <v>58</v>
      </c>
      <c r="B6" s="46">
        <f>BS!C11-BS!B11</f>
        <v>11.248868000000002</v>
      </c>
    </row>
    <row r="7" spans="1:5" x14ac:dyDescent="0.2">
      <c r="A7" s="114" t="s">
        <v>188</v>
      </c>
      <c r="B7" s="46">
        <f>BS!C6-BS!B6</f>
        <v>3.5289769999999976</v>
      </c>
    </row>
    <row r="8" spans="1:5" x14ac:dyDescent="0.2">
      <c r="A8" s="114" t="s">
        <v>189</v>
      </c>
      <c r="B8" s="46">
        <f>BS!C7-BS!B7</f>
        <v>-23.905545000000004</v>
      </c>
    </row>
    <row r="9" spans="1:5" x14ac:dyDescent="0.2">
      <c r="A9" s="114" t="s">
        <v>190</v>
      </c>
      <c r="B9" s="46">
        <f>BS!C8-BS!B8</f>
        <v>-10.587194999999999</v>
      </c>
    </row>
    <row r="10" spans="1:5" x14ac:dyDescent="0.2">
      <c r="A10" s="114" t="s">
        <v>191</v>
      </c>
      <c r="B10" s="46">
        <f>SUM(BS!B17:B21)+BS!B23+BS!B25-SUM(BS!C17:C21)-BS!C23-BS!C25</f>
        <v>37.717018800000126</v>
      </c>
      <c r="D10" s="20"/>
    </row>
    <row r="11" spans="1:5" x14ac:dyDescent="0.2">
      <c r="A11" s="57" t="s">
        <v>59</v>
      </c>
      <c r="B11" s="54">
        <f>SUM(B5:B10)</f>
        <v>60.086124520000126</v>
      </c>
      <c r="E11" s="3"/>
    </row>
    <row r="12" spans="1:5" x14ac:dyDescent="0.2">
      <c r="A12" s="34"/>
      <c r="B12" s="38"/>
    </row>
    <row r="13" spans="1:5" x14ac:dyDescent="0.2">
      <c r="A13" s="57" t="s">
        <v>60</v>
      </c>
      <c r="B13" s="38"/>
    </row>
    <row r="14" spans="1:5" x14ac:dyDescent="0.2">
      <c r="A14" s="37" t="s">
        <v>61</v>
      </c>
      <c r="B14" s="46">
        <f>BS!C10-BS!B10</f>
        <v>-26.176174000000003</v>
      </c>
    </row>
    <row r="15" spans="1:5" x14ac:dyDescent="0.2">
      <c r="A15" s="37" t="s">
        <v>62</v>
      </c>
      <c r="B15" s="38">
        <v>0</v>
      </c>
    </row>
    <row r="16" spans="1:5" x14ac:dyDescent="0.2">
      <c r="A16" s="57" t="s">
        <v>68</v>
      </c>
      <c r="B16" s="54">
        <f>B15+B14</f>
        <v>-26.176174000000003</v>
      </c>
    </row>
    <row r="17" spans="1:2" x14ac:dyDescent="0.2">
      <c r="A17" s="34"/>
      <c r="B17" s="38"/>
    </row>
    <row r="18" spans="1:2" x14ac:dyDescent="0.2">
      <c r="A18" s="57" t="s">
        <v>63</v>
      </c>
      <c r="B18" s="38"/>
    </row>
    <row r="19" spans="1:2" x14ac:dyDescent="0.2">
      <c r="A19" s="37" t="s">
        <v>64</v>
      </c>
      <c r="B19" s="38">
        <v>0</v>
      </c>
    </row>
    <row r="20" spans="1:2" x14ac:dyDescent="0.2">
      <c r="A20" s="37" t="s">
        <v>66</v>
      </c>
      <c r="B20" s="38">
        <v>0</v>
      </c>
    </row>
    <row r="21" spans="1:2" x14ac:dyDescent="0.2">
      <c r="A21" s="37" t="s">
        <v>65</v>
      </c>
      <c r="B21" s="38">
        <v>0</v>
      </c>
    </row>
    <row r="22" spans="1:2" x14ac:dyDescent="0.2">
      <c r="A22" s="37" t="s">
        <v>67</v>
      </c>
      <c r="B22" s="46">
        <f>-Data!E14*Data!K14/1000</f>
        <v>-17.918554200000003</v>
      </c>
    </row>
    <row r="23" spans="1:2" x14ac:dyDescent="0.2">
      <c r="A23" s="57" t="s">
        <v>69</v>
      </c>
      <c r="B23" s="54">
        <f>SUM(B19:B22)</f>
        <v>-17.918554200000003</v>
      </c>
    </row>
    <row r="24" spans="1:2" x14ac:dyDescent="0.2">
      <c r="A24" s="34"/>
      <c r="B24" s="38"/>
    </row>
    <row r="25" spans="1:2" ht="13.5" thickBot="1" x14ac:dyDescent="0.25">
      <c r="A25" s="39" t="s">
        <v>179</v>
      </c>
      <c r="B25" s="56">
        <f>B11+B16+B23</f>
        <v>15.991396320000121</v>
      </c>
    </row>
    <row r="32" spans="1:2" x14ac:dyDescent="0.2">
      <c r="A32" s="4"/>
      <c r="B32" s="20"/>
    </row>
    <row r="33" spans="1:2" x14ac:dyDescent="0.2">
      <c r="A33" s="4"/>
      <c r="B33" s="20"/>
    </row>
    <row r="36" spans="1:2" x14ac:dyDescent="0.2">
      <c r="A36" s="3"/>
      <c r="B36" s="22"/>
    </row>
    <row r="37" spans="1:2" x14ac:dyDescent="0.2">
      <c r="A37" s="3"/>
      <c r="B37" s="22"/>
    </row>
  </sheetData>
  <pageMargins left="0.7" right="0.7" top="0.75" bottom="0.75" header="0.3" footer="0.3"/>
  <pageSetup paperSize="0" orientation="portrait" horizontalDpi="0" verticalDpi="0" copies="0"/>
  <ignoredErrors>
    <ignoredError sqref="B1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K22" sqref="K22"/>
    </sheetView>
  </sheetViews>
  <sheetFormatPr defaultRowHeight="12.75" x14ac:dyDescent="0.2"/>
  <cols>
    <col min="1" max="1" width="15.42578125" style="4" bestFit="1" customWidth="1"/>
    <col min="2" max="7" width="13.28515625" style="4" customWidth="1"/>
    <col min="8" max="8" width="2.42578125" style="4" customWidth="1"/>
    <col min="9" max="9" width="12.140625" style="4" customWidth="1"/>
    <col min="10" max="10" width="2.42578125" style="4" customWidth="1"/>
    <col min="11" max="11" width="11.85546875" style="4" customWidth="1"/>
    <col min="12" max="12" width="2.85546875" style="4" customWidth="1"/>
    <col min="13" max="16384" width="9.140625" style="4"/>
  </cols>
  <sheetData>
    <row r="1" spans="1:13" x14ac:dyDescent="0.2">
      <c r="A1" s="72" t="s">
        <v>2</v>
      </c>
    </row>
    <row r="2" spans="1:13" x14ac:dyDescent="0.2">
      <c r="A2" s="10"/>
      <c r="B2" s="10"/>
      <c r="C2" s="10"/>
      <c r="D2" s="10"/>
      <c r="E2" s="10"/>
      <c r="F2" s="10"/>
      <c r="G2" s="7"/>
      <c r="I2" s="7"/>
      <c r="K2" s="7"/>
      <c r="M2" s="7"/>
    </row>
    <row r="3" spans="1:13" x14ac:dyDescent="0.2">
      <c r="B3" s="5" t="s">
        <v>4</v>
      </c>
      <c r="E3" s="3"/>
      <c r="F3" s="115" t="s">
        <v>3</v>
      </c>
      <c r="G3" s="115"/>
    </row>
    <row r="4" spans="1:13" x14ac:dyDescent="0.2">
      <c r="B4" s="5" t="s">
        <v>108</v>
      </c>
      <c r="C4" s="5" t="s">
        <v>4</v>
      </c>
      <c r="D4" s="5" t="s">
        <v>4</v>
      </c>
      <c r="E4" s="5" t="s">
        <v>5</v>
      </c>
      <c r="F4" s="115" t="s">
        <v>6</v>
      </c>
      <c r="G4" s="115"/>
      <c r="K4" s="3" t="s">
        <v>112</v>
      </c>
      <c r="M4" s="5" t="s">
        <v>72</v>
      </c>
    </row>
    <row r="5" spans="1:13" x14ac:dyDescent="0.2">
      <c r="B5" s="5" t="s">
        <v>109</v>
      </c>
      <c r="C5" s="5" t="s">
        <v>7</v>
      </c>
      <c r="D5" s="5" t="s">
        <v>8</v>
      </c>
      <c r="E5" s="5" t="s">
        <v>8</v>
      </c>
      <c r="F5" s="116" t="s">
        <v>9</v>
      </c>
      <c r="G5" s="116"/>
      <c r="I5" s="5"/>
      <c r="K5" s="69" t="s">
        <v>113</v>
      </c>
      <c r="M5" s="5" t="s">
        <v>162</v>
      </c>
    </row>
    <row r="6" spans="1:13" x14ac:dyDescent="0.2">
      <c r="B6" s="73" t="s">
        <v>10</v>
      </c>
      <c r="C6" s="73" t="s">
        <v>110</v>
      </c>
      <c r="D6" s="73" t="s">
        <v>11</v>
      </c>
      <c r="E6" s="73" t="s">
        <v>111</v>
      </c>
      <c r="F6" s="73" t="s">
        <v>12</v>
      </c>
      <c r="G6" s="73" t="s">
        <v>13</v>
      </c>
      <c r="I6" s="5" t="s">
        <v>107</v>
      </c>
      <c r="J6" s="58"/>
      <c r="K6" s="69" t="s">
        <v>119</v>
      </c>
      <c r="M6" s="5" t="s">
        <v>163</v>
      </c>
    </row>
    <row r="7" spans="1:13" x14ac:dyDescent="0.2">
      <c r="A7" s="7"/>
      <c r="B7" s="6" t="s">
        <v>117</v>
      </c>
      <c r="C7" s="6" t="s">
        <v>117</v>
      </c>
      <c r="D7" s="6" t="s">
        <v>118</v>
      </c>
      <c r="E7" s="6" t="s">
        <v>118</v>
      </c>
      <c r="F7" s="6" t="s">
        <v>118</v>
      </c>
      <c r="G7" s="6" t="s">
        <v>118</v>
      </c>
      <c r="I7" s="71" t="s">
        <v>0</v>
      </c>
      <c r="K7" s="71" t="s">
        <v>114</v>
      </c>
      <c r="M7" s="7"/>
    </row>
    <row r="9" spans="1:13" x14ac:dyDescent="0.2">
      <c r="A9" s="8">
        <v>1999</v>
      </c>
      <c r="B9" s="9">
        <v>45375</v>
      </c>
      <c r="C9" s="9">
        <f>B9*(1-32%)</f>
        <v>30854.999999999996</v>
      </c>
      <c r="D9" s="9">
        <f t="shared" ref="D9:D14" si="0">C9/K9</f>
        <v>2927.3288131695354</v>
      </c>
      <c r="E9" s="9">
        <v>1200</v>
      </c>
      <c r="F9" s="9">
        <v>22100</v>
      </c>
      <c r="G9" s="9">
        <v>20700</v>
      </c>
      <c r="K9" s="91">
        <v>10.540326</v>
      </c>
      <c r="M9" s="90">
        <v>0.32</v>
      </c>
    </row>
    <row r="10" spans="1:13" x14ac:dyDescent="0.2">
      <c r="A10" s="8">
        <v>2000</v>
      </c>
      <c r="B10" s="9">
        <v>40040</v>
      </c>
      <c r="C10" s="9">
        <f>B10*(1-32%)</f>
        <v>27227.199999999997</v>
      </c>
      <c r="D10" s="9">
        <f t="shared" si="0"/>
        <v>2583.1459102877839</v>
      </c>
      <c r="E10" s="9">
        <v>0</v>
      </c>
      <c r="F10" s="9">
        <v>20350</v>
      </c>
      <c r="G10" s="9">
        <v>18500</v>
      </c>
      <c r="I10" s="11">
        <f>B10/B9-1</f>
        <v>-0.11757575757575756</v>
      </c>
      <c r="K10" s="91">
        <v>10.540326</v>
      </c>
      <c r="M10" s="90">
        <v>0.32</v>
      </c>
    </row>
    <row r="11" spans="1:13" x14ac:dyDescent="0.2">
      <c r="A11" s="8">
        <v>2001</v>
      </c>
      <c r="B11" s="9">
        <v>43120</v>
      </c>
      <c r="C11" s="9">
        <f>B11*(1-32%)</f>
        <v>29321.599999999999</v>
      </c>
      <c r="D11" s="9">
        <f t="shared" si="0"/>
        <v>2781.8494418483829</v>
      </c>
      <c r="E11" s="9">
        <v>1200</v>
      </c>
      <c r="F11" s="9">
        <v>23750</v>
      </c>
      <c r="G11" s="9">
        <v>17375</v>
      </c>
      <c r="I11" s="11">
        <f>B11/B10-1</f>
        <v>7.6923076923076872E-2</v>
      </c>
      <c r="K11" s="91">
        <v>10.540326</v>
      </c>
      <c r="M11" s="90">
        <v>0.32</v>
      </c>
    </row>
    <row r="12" spans="1:13" x14ac:dyDescent="0.2">
      <c r="A12" s="8">
        <v>2002</v>
      </c>
      <c r="B12" s="9">
        <v>49870</v>
      </c>
      <c r="C12" s="9">
        <f>B12*(1-32%)</f>
        <v>33911.599999999999</v>
      </c>
      <c r="D12" s="9">
        <f t="shared" si="0"/>
        <v>3217.3198438074874</v>
      </c>
      <c r="E12" s="9">
        <v>1500</v>
      </c>
      <c r="F12" s="9">
        <v>27625</v>
      </c>
      <c r="G12" s="9">
        <v>22250</v>
      </c>
      <c r="I12" s="11">
        <f>B12/B11-1</f>
        <v>0.15653988868274582</v>
      </c>
      <c r="K12" s="91">
        <v>10.540326</v>
      </c>
      <c r="M12" s="90">
        <v>0.32</v>
      </c>
    </row>
    <row r="13" spans="1:13" x14ac:dyDescent="0.2">
      <c r="A13" s="8">
        <v>2003</v>
      </c>
      <c r="B13" s="9">
        <v>57320</v>
      </c>
      <c r="C13" s="9">
        <f>B13*(1-32%)</f>
        <v>38977.599999999999</v>
      </c>
      <c r="D13" s="9">
        <f t="shared" si="0"/>
        <v>3697.9501393030914</v>
      </c>
      <c r="E13" s="9">
        <v>1700</v>
      </c>
      <c r="F13" s="9">
        <v>24800</v>
      </c>
      <c r="G13" s="9">
        <v>18500</v>
      </c>
      <c r="I13" s="11">
        <f>B13/B12-1</f>
        <v>0.14938840986565061</v>
      </c>
      <c r="K13" s="91">
        <v>10.540326</v>
      </c>
      <c r="M13" s="90">
        <v>0.32</v>
      </c>
    </row>
    <row r="14" spans="1:13" x14ac:dyDescent="0.2">
      <c r="A14" s="4" t="s">
        <v>14</v>
      </c>
      <c r="B14" s="9">
        <v>58450</v>
      </c>
      <c r="C14" s="9">
        <f>B14*(1-M14)</f>
        <v>42084</v>
      </c>
      <c r="D14" s="9">
        <f t="shared" si="0"/>
        <v>3992.6658814917109</v>
      </c>
      <c r="E14" s="9">
        <v>1700</v>
      </c>
      <c r="F14" s="9">
        <v>26900</v>
      </c>
      <c r="G14" s="9">
        <v>24650</v>
      </c>
      <c r="I14" s="11">
        <f>B14/B13-1</f>
        <v>1.9713886950453618E-2</v>
      </c>
      <c r="K14" s="91">
        <v>10.540326</v>
      </c>
      <c r="M14" s="90">
        <v>0.28000000000000003</v>
      </c>
    </row>
    <row r="15" spans="1:13" x14ac:dyDescent="0.2">
      <c r="A15" s="7"/>
      <c r="B15" s="7"/>
      <c r="C15" s="7"/>
      <c r="D15" s="7"/>
      <c r="E15" s="7"/>
      <c r="F15" s="7"/>
      <c r="G15" s="7"/>
      <c r="I15" s="7"/>
      <c r="K15" s="7"/>
      <c r="M15" s="7"/>
    </row>
    <row r="17" spans="6:11" ht="13.5" thickBot="1" x14ac:dyDescent="0.25"/>
    <row r="18" spans="6:11" x14ac:dyDescent="0.2">
      <c r="F18" s="117" t="s">
        <v>123</v>
      </c>
      <c r="G18" s="118"/>
      <c r="H18" s="118"/>
      <c r="I18" s="118"/>
      <c r="J18" s="118"/>
      <c r="K18" s="119"/>
    </row>
    <row r="19" spans="6:11" x14ac:dyDescent="0.2">
      <c r="F19" s="37"/>
      <c r="G19" s="58"/>
      <c r="H19" s="58"/>
      <c r="I19" s="73" t="s">
        <v>107</v>
      </c>
      <c r="J19" s="58"/>
      <c r="K19" s="86" t="s">
        <v>21</v>
      </c>
    </row>
    <row r="20" spans="6:11" x14ac:dyDescent="0.2">
      <c r="F20" s="79"/>
      <c r="G20" s="7"/>
      <c r="H20" s="58"/>
      <c r="I20" s="6" t="s">
        <v>116</v>
      </c>
      <c r="J20" s="58"/>
      <c r="K20" s="87" t="s">
        <v>161</v>
      </c>
    </row>
    <row r="21" spans="6:11" x14ac:dyDescent="0.2">
      <c r="F21" s="37"/>
      <c r="G21" s="74" t="s">
        <v>115</v>
      </c>
      <c r="H21" s="58"/>
      <c r="I21" s="75">
        <f>(B14/B9)^(1/5)-1</f>
        <v>5.1946312288145835E-2</v>
      </c>
      <c r="J21" s="58"/>
      <c r="K21" s="88">
        <f>$B$14*(1+I21)^2/1000</f>
        <v>64.680246518095984</v>
      </c>
    </row>
    <row r="22" spans="6:11" x14ac:dyDescent="0.2">
      <c r="F22" s="37"/>
      <c r="G22" s="74" t="s">
        <v>120</v>
      </c>
      <c r="H22" s="58"/>
      <c r="I22" s="76">
        <v>0.15</v>
      </c>
      <c r="J22" s="58"/>
      <c r="K22" s="88">
        <f>$B$14*(1+I22)^2/1000</f>
        <v>77.30012499999998</v>
      </c>
    </row>
    <row r="23" spans="6:11" x14ac:dyDescent="0.2">
      <c r="F23" s="37"/>
      <c r="G23" s="74" t="s">
        <v>121</v>
      </c>
      <c r="H23" s="58"/>
      <c r="I23" s="76">
        <v>0.02</v>
      </c>
      <c r="J23" s="58"/>
      <c r="K23" s="88">
        <f>$B$14*(1+I23)^2/1000</f>
        <v>60.81138</v>
      </c>
    </row>
    <row r="24" spans="6:11" ht="13.5" thickBot="1" x14ac:dyDescent="0.25">
      <c r="F24" s="49"/>
      <c r="G24" s="29" t="s">
        <v>122</v>
      </c>
      <c r="H24" s="77"/>
      <c r="I24" s="78">
        <v>-0.1</v>
      </c>
      <c r="J24" s="77"/>
      <c r="K24" s="89">
        <f>$B$14*(1+I24)^2/1000</f>
        <v>47.344499999999996</v>
      </c>
    </row>
  </sheetData>
  <mergeCells count="4">
    <mergeCell ref="F3:G3"/>
    <mergeCell ref="F4:G4"/>
    <mergeCell ref="F5:G5"/>
    <mergeCell ref="F18:K18"/>
  </mergeCells>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C27" sqref="C27"/>
    </sheetView>
  </sheetViews>
  <sheetFormatPr defaultRowHeight="12.75" x14ac:dyDescent="0.2"/>
  <cols>
    <col min="1" max="1" width="40.85546875" bestFit="1" customWidth="1"/>
  </cols>
  <sheetData>
    <row r="1" spans="1:2" ht="13.5" thickBot="1" x14ac:dyDescent="0.25">
      <c r="A1" s="3" t="s">
        <v>145</v>
      </c>
    </row>
    <row r="2" spans="1:2" x14ac:dyDescent="0.2">
      <c r="A2" s="31" t="s">
        <v>146</v>
      </c>
      <c r="B2" s="33">
        <v>175</v>
      </c>
    </row>
    <row r="3" spans="1:2" x14ac:dyDescent="0.2">
      <c r="A3" s="37" t="s">
        <v>147</v>
      </c>
      <c r="B3" s="38">
        <v>10</v>
      </c>
    </row>
    <row r="4" spans="1:2" x14ac:dyDescent="0.2">
      <c r="A4" s="37" t="s">
        <v>148</v>
      </c>
      <c r="B4" s="38">
        <v>10</v>
      </c>
    </row>
    <row r="5" spans="1:2" ht="13.5" thickBot="1" x14ac:dyDescent="0.25">
      <c r="A5" s="49" t="s">
        <v>149</v>
      </c>
      <c r="B5" s="83">
        <v>36.200000000000003</v>
      </c>
    </row>
    <row r="8" spans="1:2" ht="13.5" thickBot="1" x14ac:dyDescent="0.25">
      <c r="A8" s="3" t="s">
        <v>150</v>
      </c>
    </row>
    <row r="9" spans="1:2" x14ac:dyDescent="0.2">
      <c r="A9" s="44" t="s">
        <v>151</v>
      </c>
      <c r="B9" s="33"/>
    </row>
    <row r="10" spans="1:2" x14ac:dyDescent="0.2">
      <c r="A10" s="37" t="s">
        <v>152</v>
      </c>
      <c r="B10" s="101">
        <v>25500</v>
      </c>
    </row>
    <row r="11" spans="1:2" x14ac:dyDescent="0.2">
      <c r="A11" s="37" t="s">
        <v>153</v>
      </c>
      <c r="B11" s="101">
        <v>24500</v>
      </c>
    </row>
    <row r="12" spans="1:2" x14ac:dyDescent="0.2">
      <c r="A12" s="102" t="s">
        <v>154</v>
      </c>
      <c r="B12" s="103">
        <f>B2*1000/B11</f>
        <v>7.1428571428571432</v>
      </c>
    </row>
    <row r="13" spans="1:2" x14ac:dyDescent="0.2">
      <c r="A13" s="34"/>
      <c r="B13" s="38"/>
    </row>
    <row r="14" spans="1:2" x14ac:dyDescent="0.2">
      <c r="A14" s="57" t="s">
        <v>155</v>
      </c>
      <c r="B14" s="38"/>
    </row>
    <row r="15" spans="1:2" x14ac:dyDescent="0.2">
      <c r="A15" s="37" t="s">
        <v>156</v>
      </c>
      <c r="B15" s="38">
        <f>B2</f>
        <v>175</v>
      </c>
    </row>
    <row r="16" spans="1:2" x14ac:dyDescent="0.2">
      <c r="A16" s="37" t="s">
        <v>157</v>
      </c>
      <c r="B16" s="100">
        <v>0.16</v>
      </c>
    </row>
    <row r="17" spans="1:2" ht="13.5" thickBot="1" x14ac:dyDescent="0.25">
      <c r="A17" s="49" t="s">
        <v>158</v>
      </c>
      <c r="B17" s="83">
        <v>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workbookViewId="0">
      <selection activeCell="O19" sqref="O19"/>
    </sheetView>
  </sheetViews>
  <sheetFormatPr defaultRowHeight="12.75" x14ac:dyDescent="0.2"/>
  <cols>
    <col min="1" max="1" width="16.7109375" bestFit="1" customWidth="1"/>
    <col min="2" max="2" width="10.7109375" bestFit="1" customWidth="1"/>
    <col min="3" max="3" width="11" customWidth="1"/>
    <col min="5" max="5" width="10" bestFit="1" customWidth="1"/>
    <col min="7" max="7" width="11" bestFit="1" customWidth="1"/>
    <col min="11" max="11" width="20.7109375" bestFit="1" customWidth="1"/>
    <col min="19" max="19" width="9.28515625" bestFit="1" customWidth="1"/>
    <col min="20" max="20" width="9.5703125" bestFit="1" customWidth="1"/>
    <col min="22" max="22" width="9.42578125" bestFit="1" customWidth="1"/>
    <col min="23" max="23" width="9.7109375" bestFit="1" customWidth="1"/>
  </cols>
  <sheetData>
    <row r="1" spans="1:23" x14ac:dyDescent="0.2">
      <c r="B1" s="70" t="s">
        <v>176</v>
      </c>
      <c r="C1" s="70" t="s">
        <v>66</v>
      </c>
      <c r="H1" s="113" t="s">
        <v>186</v>
      </c>
      <c r="S1" s="94" t="s">
        <v>0</v>
      </c>
      <c r="T1" s="94" t="s">
        <v>1</v>
      </c>
      <c r="U1" s="94"/>
      <c r="V1" s="94" t="s">
        <v>0</v>
      </c>
      <c r="W1" s="94" t="s">
        <v>1</v>
      </c>
    </row>
    <row r="2" spans="1:23" x14ac:dyDescent="0.2">
      <c r="A2" s="4" t="s">
        <v>16</v>
      </c>
      <c r="B2" s="2">
        <f>C2+Project!B12</f>
        <v>17.683183142857143</v>
      </c>
      <c r="C2" s="2">
        <f>Data!K14</f>
        <v>10.540326</v>
      </c>
      <c r="S2" s="95">
        <v>0</v>
      </c>
      <c r="T2" s="95">
        <v>0</v>
      </c>
      <c r="U2" s="94"/>
      <c r="V2" s="94">
        <f>C7</f>
        <v>28</v>
      </c>
      <c r="W2" s="94">
        <v>0</v>
      </c>
    </row>
    <row r="3" spans="1:23" x14ac:dyDescent="0.2">
      <c r="A3" t="s">
        <v>17</v>
      </c>
      <c r="B3" s="1"/>
      <c r="C3" s="1">
        <f>Project!B16</f>
        <v>0.16</v>
      </c>
      <c r="S3" s="95">
        <f>B14</f>
        <v>69.318077920000007</v>
      </c>
      <c r="T3" s="95">
        <f>B19</f>
        <v>2822.4</v>
      </c>
      <c r="U3" s="94"/>
      <c r="V3" s="95">
        <f>C14</f>
        <v>69.318077920000007</v>
      </c>
      <c r="W3" s="95">
        <f>C19</f>
        <v>2822.4000000000005</v>
      </c>
    </row>
    <row r="4" spans="1:23" x14ac:dyDescent="0.2">
      <c r="S4" s="95">
        <f>B41</f>
        <v>83.544499999999999</v>
      </c>
      <c r="T4" s="95">
        <f>B46</f>
        <v>3401.6522655479885</v>
      </c>
      <c r="U4" s="94"/>
      <c r="V4" s="95">
        <f>C41</f>
        <v>83.544499999999999</v>
      </c>
      <c r="W4" s="95">
        <f>C46</f>
        <v>3794.193841822349</v>
      </c>
    </row>
    <row r="5" spans="1:23" x14ac:dyDescent="0.2">
      <c r="A5" s="84" t="s">
        <v>159</v>
      </c>
      <c r="S5" s="95">
        <f>B6</f>
        <v>100.88024651809599</v>
      </c>
      <c r="T5" s="95">
        <f>B11</f>
        <v>4107.5058096861048</v>
      </c>
      <c r="U5" s="94"/>
      <c r="V5" s="95">
        <f>C6</f>
        <v>100.88024651809599</v>
      </c>
      <c r="W5" s="95">
        <f>C11</f>
        <v>4978.3827837041381</v>
      </c>
    </row>
    <row r="6" spans="1:23" x14ac:dyDescent="0.2">
      <c r="A6" s="13" t="s">
        <v>0</v>
      </c>
      <c r="B6" s="110">
        <f>Data!K21+Project!B5</f>
        <v>100.88024651809599</v>
      </c>
      <c r="C6" s="111">
        <f>Data!K21+Project!B5</f>
        <v>100.88024651809599</v>
      </c>
      <c r="S6" s="95">
        <f>B23</f>
        <v>113.50012499999998</v>
      </c>
      <c r="T6" s="95">
        <f>B28</f>
        <v>4621.3449999249478</v>
      </c>
      <c r="U6" s="94"/>
      <c r="V6" s="95">
        <f>C23</f>
        <v>113.50012499999998</v>
      </c>
      <c r="W6" s="95">
        <f>C28</f>
        <v>5840.4351060868503</v>
      </c>
    </row>
    <row r="7" spans="1:23" x14ac:dyDescent="0.2">
      <c r="A7" s="85" t="s">
        <v>160</v>
      </c>
      <c r="B7" s="51">
        <f>0</f>
        <v>0</v>
      </c>
      <c r="C7" s="112">
        <f>175*$C$3</f>
        <v>28</v>
      </c>
      <c r="S7" s="94"/>
      <c r="T7" s="94"/>
      <c r="U7" s="94"/>
      <c r="V7" s="94"/>
      <c r="W7" s="94"/>
    </row>
    <row r="8" spans="1:23" x14ac:dyDescent="0.2">
      <c r="A8" s="16" t="s">
        <v>18</v>
      </c>
      <c r="B8" s="51">
        <f>B6-B7</f>
        <v>100.88024651809599</v>
      </c>
      <c r="C8" s="112">
        <f>C6-C7</f>
        <v>72.880246518095987</v>
      </c>
      <c r="S8" s="94"/>
      <c r="T8" s="94"/>
      <c r="U8" s="94"/>
      <c r="V8" s="94"/>
      <c r="W8" s="94"/>
    </row>
    <row r="9" spans="1:23" x14ac:dyDescent="0.2">
      <c r="A9" s="16" t="s">
        <v>19</v>
      </c>
      <c r="B9" s="51">
        <f>B8*Data!$M$14</f>
        <v>28.24646902506688</v>
      </c>
      <c r="C9" s="112">
        <f>C8*Data!$M$14</f>
        <v>20.40646902506688</v>
      </c>
      <c r="S9" s="95">
        <f>S3</f>
        <v>69.318077920000007</v>
      </c>
      <c r="T9" s="95">
        <v>0</v>
      </c>
      <c r="U9" s="95"/>
      <c r="V9" s="95">
        <f>S4</f>
        <v>83.544499999999999</v>
      </c>
      <c r="W9" s="95">
        <v>0</v>
      </c>
    </row>
    <row r="10" spans="1:23" x14ac:dyDescent="0.2">
      <c r="A10" s="16" t="s">
        <v>20</v>
      </c>
      <c r="B10" s="51">
        <f>B8-B9</f>
        <v>72.6337774930291</v>
      </c>
      <c r="C10" s="112">
        <f>C8-C9</f>
        <v>52.473777493029104</v>
      </c>
      <c r="S10" s="95">
        <f>S9</f>
        <v>69.318077920000007</v>
      </c>
      <c r="T10" s="95">
        <f>T3</f>
        <v>2822.4</v>
      </c>
      <c r="U10" s="95"/>
      <c r="V10" s="95">
        <f>V9</f>
        <v>83.544499999999999</v>
      </c>
      <c r="W10" s="95">
        <f>C46</f>
        <v>3794.193841822349</v>
      </c>
    </row>
    <row r="11" spans="1:23" x14ac:dyDescent="0.2">
      <c r="A11" s="19" t="s">
        <v>1</v>
      </c>
      <c r="B11" s="92">
        <f>B10/B2*1000</f>
        <v>4107.5058096861048</v>
      </c>
      <c r="C11" s="93">
        <f>C10/C2*1000</f>
        <v>4978.3827837041381</v>
      </c>
      <c r="S11" s="95"/>
      <c r="T11" s="95"/>
      <c r="U11" s="95"/>
      <c r="V11" s="95"/>
      <c r="W11" s="95"/>
    </row>
    <row r="12" spans="1:23" x14ac:dyDescent="0.2">
      <c r="S12" s="95">
        <f>S5</f>
        <v>100.88024651809599</v>
      </c>
      <c r="T12" s="95">
        <v>0</v>
      </c>
      <c r="U12" s="95"/>
      <c r="V12" s="95">
        <f>S6</f>
        <v>113.50012499999998</v>
      </c>
      <c r="W12" s="95">
        <v>0</v>
      </c>
    </row>
    <row r="13" spans="1:23" x14ac:dyDescent="0.2">
      <c r="A13" s="84" t="s">
        <v>15</v>
      </c>
      <c r="S13" s="95">
        <f>S12</f>
        <v>100.88024651809599</v>
      </c>
      <c r="T13" s="95">
        <f>W5</f>
        <v>4978.3827837041381</v>
      </c>
      <c r="U13" s="95"/>
      <c r="V13" s="95">
        <f>V12</f>
        <v>113.50012499999998</v>
      </c>
      <c r="W13" s="95">
        <f>C28</f>
        <v>5840.4351060868503</v>
      </c>
    </row>
    <row r="14" spans="1:23" x14ac:dyDescent="0.2">
      <c r="A14" s="13" t="s">
        <v>0</v>
      </c>
      <c r="B14" s="14">
        <f>C7/(1-C2/B2)</f>
        <v>69.318077920000007</v>
      </c>
      <c r="C14" s="15">
        <f>C7/(1-C2/B2)</f>
        <v>69.318077920000007</v>
      </c>
      <c r="S14" s="94"/>
      <c r="T14" s="94"/>
      <c r="U14" s="94"/>
      <c r="V14" s="94"/>
      <c r="W14" s="94"/>
    </row>
    <row r="15" spans="1:23" x14ac:dyDescent="0.2">
      <c r="A15" s="85" t="s">
        <v>160</v>
      </c>
      <c r="B15" s="17">
        <f>0</f>
        <v>0</v>
      </c>
      <c r="C15" s="18">
        <f>175*$C$3</f>
        <v>28</v>
      </c>
      <c r="S15" s="94"/>
      <c r="T15" s="94"/>
      <c r="U15" s="94"/>
      <c r="V15" s="95">
        <f>B50</f>
        <v>47.344499999999996</v>
      </c>
      <c r="W15" s="94">
        <v>0</v>
      </c>
    </row>
    <row r="16" spans="1:23" x14ac:dyDescent="0.2">
      <c r="A16" s="16" t="s">
        <v>18</v>
      </c>
      <c r="B16" s="17">
        <f>B14-B15</f>
        <v>69.318077920000007</v>
      </c>
      <c r="C16" s="18">
        <f>C14-C15</f>
        <v>41.318077920000007</v>
      </c>
      <c r="S16" s="94"/>
      <c r="T16" s="94"/>
      <c r="U16" s="94"/>
      <c r="V16" s="95">
        <f>V15</f>
        <v>47.344499999999996</v>
      </c>
      <c r="W16" s="95">
        <f>B55</f>
        <v>1927.7094923811467</v>
      </c>
    </row>
    <row r="17" spans="1:7" x14ac:dyDescent="0.2">
      <c r="A17" s="16" t="s">
        <v>19</v>
      </c>
      <c r="B17" s="17">
        <f>B16*Data!$M$14</f>
        <v>19.409061817600005</v>
      </c>
      <c r="C17" s="18">
        <f>C16*Data!$M$14</f>
        <v>11.569061817600003</v>
      </c>
    </row>
    <row r="18" spans="1:7" x14ac:dyDescent="0.2">
      <c r="A18" s="16" t="s">
        <v>20</v>
      </c>
      <c r="B18" s="17">
        <f>B16-B17</f>
        <v>49.909016102400003</v>
      </c>
      <c r="C18" s="18">
        <f>C16-C17</f>
        <v>29.749016102400006</v>
      </c>
    </row>
    <row r="19" spans="1:7" x14ac:dyDescent="0.2">
      <c r="A19" s="19" t="s">
        <v>1</v>
      </c>
      <c r="B19" s="92">
        <f>B18/B2*1000</f>
        <v>2822.4</v>
      </c>
      <c r="C19" s="93">
        <f>C18/C2*1000</f>
        <v>2822.4000000000005</v>
      </c>
    </row>
    <row r="22" spans="1:7" x14ac:dyDescent="0.2">
      <c r="A22" s="84" t="s">
        <v>164</v>
      </c>
    </row>
    <row r="23" spans="1:7" x14ac:dyDescent="0.2">
      <c r="A23" s="13" t="s">
        <v>0</v>
      </c>
      <c r="B23" s="110">
        <f>Project!$B$5+Data!K22</f>
        <v>113.50012499999998</v>
      </c>
      <c r="C23" s="111">
        <f>Project!$B$5+Data!K22</f>
        <v>113.50012499999998</v>
      </c>
      <c r="G23" s="12"/>
    </row>
    <row r="24" spans="1:7" x14ac:dyDescent="0.2">
      <c r="A24" s="85" t="s">
        <v>160</v>
      </c>
      <c r="B24" s="51">
        <f>0</f>
        <v>0</v>
      </c>
      <c r="C24" s="112">
        <f>175*$C$3</f>
        <v>28</v>
      </c>
      <c r="G24" s="12"/>
    </row>
    <row r="25" spans="1:7" x14ac:dyDescent="0.2">
      <c r="A25" s="16" t="s">
        <v>18</v>
      </c>
      <c r="B25" s="51">
        <f>B23-B24</f>
        <v>113.50012499999998</v>
      </c>
      <c r="C25" s="112">
        <f>C23-C24</f>
        <v>85.500124999999983</v>
      </c>
    </row>
    <row r="26" spans="1:7" x14ac:dyDescent="0.2">
      <c r="A26" s="16" t="s">
        <v>19</v>
      </c>
      <c r="B26" s="51">
        <f>B25*Data!$M$14</f>
        <v>31.780034999999998</v>
      </c>
      <c r="C26" s="112">
        <f>C25*Data!$M$14</f>
        <v>23.940034999999998</v>
      </c>
    </row>
    <row r="27" spans="1:7" x14ac:dyDescent="0.2">
      <c r="A27" s="16" t="s">
        <v>20</v>
      </c>
      <c r="B27" s="51">
        <f>B25-B26</f>
        <v>81.720089999999985</v>
      </c>
      <c r="C27" s="112">
        <f>C25-C26</f>
        <v>61.560089999999988</v>
      </c>
    </row>
    <row r="28" spans="1:7" x14ac:dyDescent="0.2">
      <c r="A28" s="19" t="s">
        <v>1</v>
      </c>
      <c r="B28" s="92">
        <f>B27/B2*1000</f>
        <v>4621.3449999249478</v>
      </c>
      <c r="C28" s="93">
        <f>C27/C2*1000</f>
        <v>5840.4351060868503</v>
      </c>
    </row>
    <row r="31" spans="1:7" x14ac:dyDescent="0.2">
      <c r="A31" s="84" t="s">
        <v>165</v>
      </c>
    </row>
    <row r="32" spans="1:7" x14ac:dyDescent="0.2">
      <c r="A32" s="13" t="s">
        <v>0</v>
      </c>
      <c r="B32" s="110">
        <f>Project!$B$5+Data!$B$14/1000</f>
        <v>94.65</v>
      </c>
      <c r="C32" s="111">
        <f>Project!$B$5+Data!$B$14/1000</f>
        <v>94.65</v>
      </c>
    </row>
    <row r="33" spans="1:3" x14ac:dyDescent="0.2">
      <c r="A33" s="85" t="s">
        <v>160</v>
      </c>
      <c r="B33" s="51">
        <f>0</f>
        <v>0</v>
      </c>
      <c r="C33" s="112">
        <f>175*$C$3</f>
        <v>28</v>
      </c>
    </row>
    <row r="34" spans="1:3" x14ac:dyDescent="0.2">
      <c r="A34" s="16" t="s">
        <v>18</v>
      </c>
      <c r="B34" s="51">
        <f>B32-B33</f>
        <v>94.65</v>
      </c>
      <c r="C34" s="112">
        <f>C32-C33</f>
        <v>66.650000000000006</v>
      </c>
    </row>
    <row r="35" spans="1:3" x14ac:dyDescent="0.2">
      <c r="A35" s="16" t="s">
        <v>19</v>
      </c>
      <c r="B35" s="51">
        <f>B34*Data!$M$14</f>
        <v>26.502000000000002</v>
      </c>
      <c r="C35" s="112">
        <f>C34*Data!$M$14</f>
        <v>18.662000000000003</v>
      </c>
    </row>
    <row r="36" spans="1:3" x14ac:dyDescent="0.2">
      <c r="A36" s="16" t="s">
        <v>20</v>
      </c>
      <c r="B36" s="51">
        <f>B34-B35</f>
        <v>68.147999999999996</v>
      </c>
      <c r="C36" s="112">
        <f>C34-C35</f>
        <v>47.988</v>
      </c>
    </row>
    <row r="37" spans="1:3" x14ac:dyDescent="0.2">
      <c r="A37" s="19" t="s">
        <v>1</v>
      </c>
      <c r="B37" s="92">
        <f>B36/B2*1000</f>
        <v>3853.831035365788</v>
      </c>
      <c r="C37" s="93">
        <f>C36/C2*1000</f>
        <v>4552.8003593057747</v>
      </c>
    </row>
    <row r="40" spans="1:3" x14ac:dyDescent="0.2">
      <c r="A40" s="84" t="s">
        <v>166</v>
      </c>
    </row>
    <row r="41" spans="1:3" x14ac:dyDescent="0.2">
      <c r="A41" s="13" t="s">
        <v>0</v>
      </c>
      <c r="B41" s="110">
        <f>Project!$B$5+Data!$K$24</f>
        <v>83.544499999999999</v>
      </c>
      <c r="C41" s="111">
        <f>Project!$B$5+Data!$K$24</f>
        <v>83.544499999999999</v>
      </c>
    </row>
    <row r="42" spans="1:3" x14ac:dyDescent="0.2">
      <c r="A42" s="85" t="s">
        <v>160</v>
      </c>
      <c r="B42" s="51">
        <f>0</f>
        <v>0</v>
      </c>
      <c r="C42" s="112">
        <f>175*$C$3</f>
        <v>28</v>
      </c>
    </row>
    <row r="43" spans="1:3" x14ac:dyDescent="0.2">
      <c r="A43" s="16" t="s">
        <v>18</v>
      </c>
      <c r="B43" s="51">
        <f>B41-B42</f>
        <v>83.544499999999999</v>
      </c>
      <c r="C43" s="112">
        <f>C41-C42</f>
        <v>55.544499999999999</v>
      </c>
    </row>
    <row r="44" spans="1:3" x14ac:dyDescent="0.2">
      <c r="A44" s="16" t="s">
        <v>19</v>
      </c>
      <c r="B44" s="51">
        <f>B43*Data!$M$14</f>
        <v>23.392460000000003</v>
      </c>
      <c r="C44" s="112">
        <f>C43*Data!$M$14</f>
        <v>15.552460000000002</v>
      </c>
    </row>
    <row r="45" spans="1:3" x14ac:dyDescent="0.2">
      <c r="A45" s="16" t="s">
        <v>20</v>
      </c>
      <c r="B45" s="51">
        <f>B43-B44</f>
        <v>60.15204</v>
      </c>
      <c r="C45" s="112">
        <f>C43-C44</f>
        <v>39.992039999999996</v>
      </c>
    </row>
    <row r="46" spans="1:3" x14ac:dyDescent="0.2">
      <c r="A46" s="19" t="s">
        <v>1</v>
      </c>
      <c r="B46" s="92">
        <f>B45/B$2*1000</f>
        <v>3401.6522655479885</v>
      </c>
      <c r="C46" s="93">
        <f>C45/C$2*1000</f>
        <v>3794.193841822349</v>
      </c>
    </row>
    <row r="49" spans="1:3" x14ac:dyDescent="0.2">
      <c r="A49" s="84" t="s">
        <v>167</v>
      </c>
    </row>
    <row r="50" spans="1:3" x14ac:dyDescent="0.2">
      <c r="A50" s="13" t="s">
        <v>0</v>
      </c>
      <c r="B50" s="110">
        <f>Data!$K$24</f>
        <v>47.344499999999996</v>
      </c>
      <c r="C50" s="111">
        <f>Data!$K$24</f>
        <v>47.344499999999996</v>
      </c>
    </row>
    <row r="51" spans="1:3" x14ac:dyDescent="0.2">
      <c r="A51" s="85" t="s">
        <v>160</v>
      </c>
      <c r="B51" s="51">
        <f>0</f>
        <v>0</v>
      </c>
      <c r="C51" s="112">
        <f>175*$C$3</f>
        <v>28</v>
      </c>
    </row>
    <row r="52" spans="1:3" x14ac:dyDescent="0.2">
      <c r="A52" s="16" t="s">
        <v>18</v>
      </c>
      <c r="B52" s="51">
        <f>B50-B51</f>
        <v>47.344499999999996</v>
      </c>
      <c r="C52" s="112">
        <f>C50-C51</f>
        <v>19.344499999999996</v>
      </c>
    </row>
    <row r="53" spans="1:3" x14ac:dyDescent="0.2">
      <c r="A53" s="16" t="s">
        <v>19</v>
      </c>
      <c r="B53" s="51">
        <f>B52*Data!$M$14</f>
        <v>13.256460000000001</v>
      </c>
      <c r="C53" s="112">
        <f>C52*Data!$M$14</f>
        <v>5.4164599999999998</v>
      </c>
    </row>
    <row r="54" spans="1:3" x14ac:dyDescent="0.2">
      <c r="A54" s="16" t="s">
        <v>20</v>
      </c>
      <c r="B54" s="51">
        <f>B52-B53</f>
        <v>34.088039999999992</v>
      </c>
      <c r="C54" s="112">
        <f>C52-C53</f>
        <v>13.928039999999996</v>
      </c>
    </row>
    <row r="55" spans="1:3" x14ac:dyDescent="0.2">
      <c r="A55" s="19" t="s">
        <v>1</v>
      </c>
      <c r="B55" s="92">
        <f>B54/B$2*1000</f>
        <v>1927.7094923811467</v>
      </c>
      <c r="C55" s="93">
        <f>C54/C$2*1000</f>
        <v>1321.4050495212384</v>
      </c>
    </row>
  </sheetData>
  <phoneticPr fontId="2" type="noConversion"/>
  <pageMargins left="0.75" right="0.75" top="1" bottom="1" header="0.5" footer="0.5"/>
  <pageSetup scale="47" fitToHeight="2" orientation="portrait" r:id="rId1"/>
  <headerFooter alignWithMargins="0"/>
  <ignoredErrors>
    <ignoredError sqref="B9:C14 B25:C31 B34:C40 B43:C44 B53:C53 B42 B33 B24 B16:C22 B15"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B7" sqref="B7:B9"/>
    </sheetView>
  </sheetViews>
  <sheetFormatPr defaultRowHeight="12.75" x14ac:dyDescent="0.2"/>
  <cols>
    <col min="1" max="1" width="19" customWidth="1"/>
    <col min="2" max="2" width="13.85546875" customWidth="1"/>
  </cols>
  <sheetData>
    <row r="1" spans="1:5" x14ac:dyDescent="0.2">
      <c r="A1" s="3" t="s">
        <v>76</v>
      </c>
      <c r="E1" s="61" t="s">
        <v>169</v>
      </c>
    </row>
    <row r="2" spans="1:5" ht="13.5" thickBot="1" x14ac:dyDescent="0.25">
      <c r="E2" s="61" t="s">
        <v>187</v>
      </c>
    </row>
    <row r="3" spans="1:5" x14ac:dyDescent="0.2">
      <c r="A3" s="31" t="s">
        <v>71</v>
      </c>
      <c r="B3" s="97">
        <f>IS!B12</f>
        <v>58.450001000000007</v>
      </c>
    </row>
    <row r="4" spans="1:5" x14ac:dyDescent="0.2">
      <c r="A4" s="37" t="s">
        <v>72</v>
      </c>
      <c r="B4" s="100">
        <f>Data!M14</f>
        <v>0.28000000000000003</v>
      </c>
    </row>
    <row r="5" spans="1:5" x14ac:dyDescent="0.2">
      <c r="A5" s="105" t="s">
        <v>185</v>
      </c>
      <c r="B5" s="46">
        <f>B3*(1-B4)</f>
        <v>42.084000720000006</v>
      </c>
    </row>
    <row r="6" spans="1:5" x14ac:dyDescent="0.2">
      <c r="A6" s="34"/>
      <c r="B6" s="38"/>
    </row>
    <row r="7" spans="1:5" x14ac:dyDescent="0.2">
      <c r="A7" s="37" t="s">
        <v>168</v>
      </c>
      <c r="B7" s="46">
        <f>CF!B14</f>
        <v>-26.176174000000003</v>
      </c>
    </row>
    <row r="8" spans="1:5" x14ac:dyDescent="0.2">
      <c r="A8" s="37" t="s">
        <v>31</v>
      </c>
      <c r="B8" s="46">
        <f>BS!C11-BS!B11</f>
        <v>11.248868000000002</v>
      </c>
    </row>
    <row r="9" spans="1:5" x14ac:dyDescent="0.2">
      <c r="A9" s="37" t="s">
        <v>73</v>
      </c>
      <c r="B9" s="46">
        <f>B8+B7</f>
        <v>-14.927306000000002</v>
      </c>
    </row>
    <row r="10" spans="1:5" x14ac:dyDescent="0.2">
      <c r="A10" s="34"/>
      <c r="B10" s="46"/>
    </row>
    <row r="11" spans="1:5" x14ac:dyDescent="0.2">
      <c r="A11" s="37" t="s">
        <v>74</v>
      </c>
      <c r="B11" s="46">
        <f>SUM(CF!$B$7:$B$10)</f>
        <v>6.7532558000001188</v>
      </c>
    </row>
    <row r="12" spans="1:5" x14ac:dyDescent="0.2">
      <c r="A12" s="34"/>
      <c r="B12" s="38"/>
    </row>
    <row r="13" spans="1:5" ht="13.5" thickBot="1" x14ac:dyDescent="0.25">
      <c r="A13" s="39" t="s">
        <v>75</v>
      </c>
      <c r="B13" s="56">
        <f>B5+B9+B11</f>
        <v>33.909950520000123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B11" sqref="B11"/>
    </sheetView>
  </sheetViews>
  <sheetFormatPr defaultRowHeight="12.75" x14ac:dyDescent="0.2"/>
  <cols>
    <col min="1" max="1" width="31.5703125" bestFit="1" customWidth="1"/>
  </cols>
  <sheetData>
    <row r="1" spans="1:5" x14ac:dyDescent="0.2">
      <c r="A1" s="3" t="s">
        <v>77</v>
      </c>
      <c r="E1" s="61" t="s">
        <v>169</v>
      </c>
    </row>
    <row r="2" spans="1:5" ht="13.5" thickBot="1" x14ac:dyDescent="0.25"/>
    <row r="3" spans="1:5" x14ac:dyDescent="0.2">
      <c r="A3" s="31" t="s">
        <v>78</v>
      </c>
      <c r="B3" s="97">
        <f>IS!B14</f>
        <v>42.084000720000006</v>
      </c>
    </row>
    <row r="4" spans="1:5" x14ac:dyDescent="0.2">
      <c r="A4" s="34"/>
      <c r="B4" s="38"/>
    </row>
    <row r="5" spans="1:5" x14ac:dyDescent="0.2">
      <c r="A5" s="37" t="s">
        <v>168</v>
      </c>
      <c r="B5" s="46">
        <f>CF!B14</f>
        <v>-26.176174000000003</v>
      </c>
    </row>
    <row r="6" spans="1:5" x14ac:dyDescent="0.2">
      <c r="A6" s="37" t="s">
        <v>31</v>
      </c>
      <c r="B6" s="46">
        <f>BS!C11-BS!B11</f>
        <v>11.248868000000002</v>
      </c>
    </row>
    <row r="7" spans="1:5" x14ac:dyDescent="0.2">
      <c r="A7" s="37" t="s">
        <v>73</v>
      </c>
      <c r="B7" s="46">
        <f>B6+B5</f>
        <v>-14.927306000000002</v>
      </c>
    </row>
    <row r="8" spans="1:5" x14ac:dyDescent="0.2">
      <c r="A8" s="34"/>
      <c r="B8" s="46"/>
    </row>
    <row r="9" spans="1:5" x14ac:dyDescent="0.2">
      <c r="A9" s="37" t="s">
        <v>74</v>
      </c>
      <c r="B9" s="46">
        <f>SUM(CF!$B$7:$B$10)</f>
        <v>6.7532558000001188</v>
      </c>
    </row>
    <row r="10" spans="1:5" x14ac:dyDescent="0.2">
      <c r="A10" s="34"/>
      <c r="B10" s="38"/>
    </row>
    <row r="11" spans="1:5" ht="13.5" thickBot="1" x14ac:dyDescent="0.25">
      <c r="A11" s="39" t="s">
        <v>171</v>
      </c>
      <c r="B11" s="56">
        <f>B3+B7+B9</f>
        <v>33.909950520000123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BS</vt:lpstr>
      <vt:lpstr>IS</vt:lpstr>
      <vt:lpstr>CF</vt:lpstr>
      <vt:lpstr>Data</vt:lpstr>
      <vt:lpstr>Project</vt:lpstr>
      <vt:lpstr>Leverage</vt:lpstr>
      <vt:lpstr>FCF</vt:lpstr>
      <vt:lpstr>CADS DN</vt:lpstr>
      <vt:lpstr>Project CF</vt:lpstr>
    </vt:vector>
  </TitlesOfParts>
  <Company>FETP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thanhnx</dc:creator>
  <cp:lastModifiedBy>xthanh</cp:lastModifiedBy>
  <cp:lastPrinted>2010-04-16T07:01:44Z</cp:lastPrinted>
  <dcterms:created xsi:type="dcterms:W3CDTF">2006-10-25T09:30:31Z</dcterms:created>
  <dcterms:modified xsi:type="dcterms:W3CDTF">2013-05-07T06:44:41Z</dcterms:modified>
</cp:coreProperties>
</file>