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00" windowWidth="14580" windowHeight="8340" activeTab="0"/>
  </bookViews>
  <sheets>
    <sheet name="Financial" sheetId="1" r:id="rId1"/>
    <sheet name="Economic" sheetId="2" r:id="rId2"/>
    <sheet name="Distributive" sheetId="3" r:id="rId3"/>
  </sheets>
  <definedNames/>
  <calcPr fullCalcOnLoad="1"/>
</workbook>
</file>

<file path=xl/sharedStrings.xml><?xml version="1.0" encoding="utf-8"?>
<sst xmlns="http://schemas.openxmlformats.org/spreadsheetml/2006/main" count="474" uniqueCount="216">
  <si>
    <t>Installment Share (Expressed as a %  based on 10% annuity)</t>
  </si>
  <si>
    <t>VEC</t>
  </si>
  <si>
    <t>DỰ ÁN ĐƯỜNG CAO TỐC TP.HCM - LONG THÀNH - DẦU GIÂY</t>
  </si>
  <si>
    <t>Xây dựng</t>
  </si>
  <si>
    <t>Đất</t>
  </si>
  <si>
    <t>Đền bù giải tỏa</t>
  </si>
  <si>
    <t>Rò phá bom mìn</t>
  </si>
  <si>
    <t>Dịch vụ tư vấn</t>
  </si>
  <si>
    <t>Quản lý</t>
  </si>
  <si>
    <t>Chi phí cam kết tài trợ</t>
  </si>
  <si>
    <t>Tài trợ</t>
  </si>
  <si>
    <t>VEC (vốn chủ sở hữu)</t>
  </si>
  <si>
    <t>ADB (vốn vay)</t>
  </si>
  <si>
    <t>JBIC (vốn vay)</t>
  </si>
  <si>
    <t>Giải ngân</t>
  </si>
  <si>
    <t>Thông số vĩ mô</t>
  </si>
  <si>
    <t>Lạm phát USD</t>
  </si>
  <si>
    <t>Lạm phát VND</t>
  </si>
  <si>
    <t>Tỷ giá VND/USD</t>
  </si>
  <si>
    <t>Chỉ số giá VND</t>
  </si>
  <si>
    <t>Chỉ số giá USD</t>
  </si>
  <si>
    <t>Chi phí phải trả bằng USD</t>
  </si>
  <si>
    <t>Chi phí phải trả bằng VND</t>
  </si>
  <si>
    <t>Ngân lưu chi phí đầu tư, giá thực</t>
  </si>
  <si>
    <t>Cộng</t>
  </si>
  <si>
    <t>Ngân lưu theo giá danh nghĩa quy đổi ra USD</t>
  </si>
  <si>
    <t>Ngân lưu theo giá danh nghĩa quy đổi ra VND</t>
  </si>
  <si>
    <t>VEC (vốn chủ sở hữu) tài trợ rà phá bom mìn</t>
  </si>
  <si>
    <t>Khoản vay ADB</t>
  </si>
  <si>
    <t>Chệnh lệch lãi suất so với LIBOR</t>
  </si>
  <si>
    <t>LIBOR</t>
  </si>
  <si>
    <t>Lãi suất danh nghĩa</t>
  </si>
  <si>
    <t>Dự nợ đầu kỳ</t>
  </si>
  <si>
    <t>Lãi vay phải trả</t>
  </si>
  <si>
    <t>Lãi vay trong thời gian xây dựng</t>
  </si>
  <si>
    <t>Trả nợ gốc</t>
  </si>
  <si>
    <t>Dư nợ cuối kỳ</t>
  </si>
  <si>
    <t>Kỳ hạn</t>
  </si>
  <si>
    <t>Ân hạn (kể từ khi bắt đầu giải ngân)</t>
  </si>
  <si>
    <t>Số lần trả lãi và nợ gốc trong năm</t>
  </si>
  <si>
    <t>Tổng số lần trả nợ gốc</t>
  </si>
  <si>
    <t>Ngày đầu tiên trả nợ gốc</t>
  </si>
  <si>
    <t>Ngày đáo hạn</t>
  </si>
  <si>
    <t>Năm bắt đầu giải ngân</t>
  </si>
  <si>
    <t>Khoản vay JBIC</t>
  </si>
  <si>
    <t>PHÂN TÍCH</t>
  </si>
  <si>
    <t>Chi phí đầu tư theo giá thực</t>
  </si>
  <si>
    <t>Chi phí đầu tư theo giá danh nghĩa</t>
  </si>
  <si>
    <t>Ngân lưu chi phí đầu tư quy đổi, triệu USD</t>
  </si>
  <si>
    <t>Ngân lưu chi phí đầu tư quy đổi, tỷ VND</t>
  </si>
  <si>
    <t>Lãi suất thả nổi</t>
  </si>
  <si>
    <t>Chi phí đầu tư kế toán theo giá danh nghĩa quy đổi ra USD</t>
  </si>
  <si>
    <t>Chi phí đầu tư kế toán theo giá danh nghĩa quy đổi ra VND</t>
  </si>
  <si>
    <t>Khấu hao</t>
  </si>
  <si>
    <t>Lịch khấu hao</t>
  </si>
  <si>
    <t>Đầu tư TSCĐ</t>
  </si>
  <si>
    <t>Thời gian khấu hao TSCĐ</t>
  </si>
  <si>
    <t>Khấu hao đường thẳng</t>
  </si>
  <si>
    <t>Dự báo lượng xe</t>
  </si>
  <si>
    <t>Chiều dài đoạn TPHCM-Long Thành</t>
  </si>
  <si>
    <t>Chiều dài đường cao tốc</t>
  </si>
  <si>
    <t>Chiều dài đoạn Long Thành-Dầu Giây</t>
  </si>
  <si>
    <t>Xe con</t>
  </si>
  <si>
    <t>Hệ số quy đổi ra xe con (PCU)</t>
  </si>
  <si>
    <t>TPHCM-Long Thành</t>
  </si>
  <si>
    <t>Long Thành-Dầu Giây</t>
  </si>
  <si>
    <t>2013-20</t>
  </si>
  <si>
    <t>2021-25</t>
  </si>
  <si>
    <t>Số lượng PCU đoạn TPHCM-Long Thành</t>
  </si>
  <si>
    <t>Số lượng PCU đoạn Long Thành-Dầy Giây</t>
  </si>
  <si>
    <t>2031-</t>
  </si>
  <si>
    <t>2026-30</t>
  </si>
  <si>
    <t>Phí đường danh nghĩa (VND/PCU/km)</t>
  </si>
  <si>
    <t>Phí đường bao gồm VAT, giá 2007 (VND/PCU/km)</t>
  </si>
  <si>
    <t>VAT phí đường</t>
  </si>
  <si>
    <t>Doanh thu từ phí đường TP.HCM-Long Thành</t>
  </si>
  <si>
    <t>Doanh thu từ phí đường Long Thành-Dầu Giây</t>
  </si>
  <si>
    <t>Doanh thu từ phí đường (bao gồm VAT)</t>
  </si>
  <si>
    <t>- VAT</t>
  </si>
  <si>
    <t>Tổng doanh thu từ phí đường, không kể VAT</t>
  </si>
  <si>
    <t>Chi phí</t>
  </si>
  <si>
    <t>Chi phí duy tu 8 năm 1 lần bắt đầu từ 2020</t>
  </si>
  <si>
    <t>Quy đổi ra VND</t>
  </si>
  <si>
    <t>Ngân lưu nợ</t>
  </si>
  <si>
    <t>IRR</t>
  </si>
  <si>
    <t>Báo cáo kết quả hoạt động kinh doanh</t>
  </si>
  <si>
    <t>Doanh thu không kể VAT</t>
  </si>
  <si>
    <t>EBITDA</t>
  </si>
  <si>
    <t>EBIT</t>
  </si>
  <si>
    <t>EBT</t>
  </si>
  <si>
    <t>Thuế thu nhập DN</t>
  </si>
  <si>
    <t>NI</t>
  </si>
  <si>
    <t>Thuế TNDN</t>
  </si>
  <si>
    <t>Chi phí đầu tư</t>
  </si>
  <si>
    <t>Ngân lưu ròng dự án</t>
  </si>
  <si>
    <t>Ngân lưu nợ vay</t>
  </si>
  <si>
    <t>DSCR</t>
  </si>
  <si>
    <t>Tổng doanh thu từ phí đường, kẻ cả VAT</t>
  </si>
  <si>
    <t>- Chi phí duy tu 8 năm 1 lần bắt đầu từ 2020</t>
  </si>
  <si>
    <t>- Khấu hao</t>
  </si>
  <si>
    <t>- Chi phí lãi vay</t>
  </si>
  <si>
    <t>Chi phí vốn ngân sách</t>
  </si>
  <si>
    <t>Chi phí vốn ngân sách, danh nghĩa</t>
  </si>
  <si>
    <t>Chi phí vốn VEC</t>
  </si>
  <si>
    <t>NPV dự án</t>
  </si>
  <si>
    <t>NPV VEC</t>
  </si>
  <si>
    <t>Ngân lưu ròng VEC</t>
  </si>
  <si>
    <t>Ngân lưu ngân sách</t>
  </si>
  <si>
    <t>NPV ngân sách</t>
  </si>
  <si>
    <t>Ngân lưu danh nghĩa</t>
  </si>
  <si>
    <t>Ngân lưu thực</t>
  </si>
  <si>
    <t>Chi phí vốn nợ vay</t>
  </si>
  <si>
    <t>Chi phí vốn bình quân trọng số, WACC</t>
  </si>
  <si>
    <t>Chi phí vốn danh nghĩa</t>
  </si>
  <si>
    <t>Dự án</t>
  </si>
  <si>
    <t>Suất sinh lợi nội tại danh nghĩa</t>
  </si>
  <si>
    <t>Suất sinh lợi nội tại thực</t>
  </si>
  <si>
    <t>Giá trị hiện tại ròng</t>
  </si>
  <si>
    <t>DSCR tối thiểu kể từ 2020</t>
  </si>
  <si>
    <t>Min DSCR</t>
  </si>
  <si>
    <t>Tài sản cố định (không kể đất) đầu kỳ</t>
  </si>
  <si>
    <t>Tài sản cố định cuối kỳ (không kể đất)</t>
  </si>
  <si>
    <t>Chi phí vận hành, bảo trì và duy tu</t>
  </si>
  <si>
    <t>Chi phí bảo trì hàng năm</t>
  </si>
  <si>
    <t>- Chi phí bảo trì hàng năm</t>
  </si>
  <si>
    <t>Chi phí bảo trì hàng năm, giá 2007 (tỷ VND/năm)</t>
  </si>
  <si>
    <t>Chi phí duy tu 8 năm 1 lần bắt đầu từ 2020, giá 2007, tỷ VND/năm</t>
  </si>
  <si>
    <t>Chi phí thu lệ phí đường, VND/xe</t>
  </si>
  <si>
    <t>- Chi phí vận hành thu phí đường</t>
  </si>
  <si>
    <t>Chi phí vận hành thu phí đường</t>
  </si>
  <si>
    <t>Thu nhập chịu thuế</t>
  </si>
  <si>
    <t>Nợ gốc (không kể lãi trong t/g XD)</t>
  </si>
  <si>
    <t>Xe khách dưới 25 chỗ</t>
  </si>
  <si>
    <t>Xe khách trên 25 chỗ</t>
  </si>
  <si>
    <t>Xe tải 2 trục</t>
  </si>
  <si>
    <t>Xe tải 3 trục</t>
  </si>
  <si>
    <t>Xe kéo moóc</t>
  </si>
  <si>
    <t>Số năm chuyển lỗ</t>
  </si>
  <si>
    <t>Số năm miễn thuế</t>
  </si>
  <si>
    <t>Số năm giảm thuế 50%</t>
  </si>
  <si>
    <t>Thuế suất miễn thuế</t>
  </si>
  <si>
    <t>Thuế suất giảm thuế</t>
  </si>
  <si>
    <t>Số ngày trong năm</t>
  </si>
  <si>
    <t>Hệ số tỷ giá hối đoái kinh tế</t>
  </si>
  <si>
    <t>Hệ số lương kinh tế đối với lao động giản đơn</t>
  </si>
  <si>
    <t>Tỷ lệ chi phí lương lao động giản đơn/chi phí XD (VND)</t>
  </si>
  <si>
    <t>Tỷ lệ chi phí lương lao động giản đơn/chi phí bảo trì (VND)</t>
  </si>
  <si>
    <t>Tỷ lệ chi phí lương lao động giản đơn/chi phí duy tu (VND)</t>
  </si>
  <si>
    <t>Chi phí vận hành phương tiện (VND/xe/km)</t>
  </si>
  <si>
    <t>Đường cao tốc</t>
  </si>
  <si>
    <t>Đường hiện hữu</t>
  </si>
  <si>
    <t>Tiết kiệm chi phí vận hành phương tiện</t>
  </si>
  <si>
    <t>Thời gian tiết kiệm</t>
  </si>
  <si>
    <t>Tp.HCM-Long Thành</t>
  </si>
  <si>
    <t>Tỷ lệ lượng xe thay thế</t>
  </si>
  <si>
    <t>Tỷ lệ lượng xe phát sinh</t>
  </si>
  <si>
    <t>Chi phí vốn kinh tế, thực</t>
  </si>
  <si>
    <t>BẢNG THÔNG SỐ KINH TẾ</t>
  </si>
  <si>
    <t>BẢNG THÔNG SỐ TÀI CHÍNH</t>
  </si>
  <si>
    <t>Chênh lệch lương kinh tế và tài chính</t>
  </si>
  <si>
    <t>Chi phí lương LĐ phổ thông trong chi phí XD, tài chính</t>
  </si>
  <si>
    <t>Chi phí lương LĐ phổ thông trong chi phí XD, kinh tế</t>
  </si>
  <si>
    <t>Chi phí vận hành, bảo trì và duy tu kinh tế</t>
  </si>
  <si>
    <t>Chi phí quản lý thu phí</t>
  </si>
  <si>
    <t>Chi phí bảo trì hàng năm, kinh tế</t>
  </si>
  <si>
    <t>Chi phí duy tu 8 năm 1 lần bắt đầu từ 2020, kinh tế</t>
  </si>
  <si>
    <t>Lợi ích tiết kiệm chi phí vận hành thay thế</t>
  </si>
  <si>
    <t>Lợi ích tiết kiệm chi phí vận hành phát sinh</t>
  </si>
  <si>
    <t>Lợi ích tiết kiệm chi phí vận hành</t>
  </si>
  <si>
    <t>Lợi ích tiết kiệm thời gian thay thế</t>
  </si>
  <si>
    <t>Lợi ích tiết kiệm thời gian phát sinh</t>
  </si>
  <si>
    <t>Lợi ích tiết kiệm thời gian</t>
  </si>
  <si>
    <t>NGÂN LƯU KINH TẾ</t>
  </si>
  <si>
    <t>Tổng lợi ích</t>
  </si>
  <si>
    <t>Tổng chi phí</t>
  </si>
  <si>
    <t>Lợi ích giao thông</t>
  </si>
  <si>
    <t>Người đi đường</t>
  </si>
  <si>
    <t>Ngân lưu tài chính thực</t>
  </si>
  <si>
    <t>Ngân lưu ròng</t>
  </si>
  <si>
    <t>PHÂN PHỐI</t>
  </si>
  <si>
    <t>Chi phí duy tu</t>
  </si>
  <si>
    <t>Ngân lưu kinh tế thực</t>
  </si>
  <si>
    <t>Doanh thu phí giao thông</t>
  </si>
  <si>
    <t>Chênh lệch</t>
  </si>
  <si>
    <t>Lao động phổ thông</t>
  </si>
  <si>
    <t>Ngân sách</t>
  </si>
  <si>
    <t>Chi phí đầu tư theo giá tài chính năm 2007</t>
  </si>
  <si>
    <t>Điều chỉnh chi phí lương lao động không kỹ năng</t>
  </si>
  <si>
    <t>Chi phí xây dựng, giá tài chính</t>
  </si>
  <si>
    <t xml:space="preserve"> - Lương tài chính</t>
  </si>
  <si>
    <t>+ Lương kinh tế</t>
  </si>
  <si>
    <t>Chi phí xây dựng, giá kinh tế</t>
  </si>
  <si>
    <t>Chi phí đầu tư theo giá kinh tế (tỷ VND giá 2007)</t>
  </si>
  <si>
    <t>Chi phí ngoại thương</t>
  </si>
  <si>
    <t>Chi phí phi ngoại thương (tỷ VND)</t>
  </si>
  <si>
    <t>Chi phí ngoại thương (triệu USD)</t>
  </si>
  <si>
    <t>Chi phí phi ngoại thương</t>
  </si>
  <si>
    <t>Tổng chi phí đầu tư kinh tế (tỷ VND giá 2007)</t>
  </si>
  <si>
    <t>Số hành khách, tấn hàng bình quân</t>
  </si>
  <si>
    <t>Chi phí thời gian (VND/hành khách, tấn hàng/giờ)</t>
  </si>
  <si>
    <t>Giá trị kết thúc</t>
  </si>
  <si>
    <t>Thẩm định theo giá nội tệ trong nước tính bằng VNĐ</t>
  </si>
  <si>
    <t>PCL nền kinh tế
(Tỷ giá)</t>
  </si>
  <si>
    <t>PCL nền kinh tế
(Chi phí vốn)</t>
  </si>
  <si>
    <t>Chi phí quản lý</t>
  </si>
  <si>
    <t>Chi phí vốn thực</t>
  </si>
  <si>
    <t>PV</t>
  </si>
  <si>
    <t>Ngân lưu vào</t>
  </si>
  <si>
    <t>Ngân lưu ra</t>
  </si>
  <si>
    <t>Lợi ích kinh tế ròng, tính theo giá thực</t>
  </si>
  <si>
    <t>NPV kinh tế</t>
  </si>
  <si>
    <t>IRR kinh tế</t>
  </si>
  <si>
    <t>Chủ đầu tư (VEC)</t>
  </si>
  <si>
    <t>PV tài chính @ WACC</t>
  </si>
  <si>
    <t>PV tài chính @ ECOC</t>
  </si>
  <si>
    <t>PV kinh tế @ ECOC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</si>
</sst>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%"/>
    <numFmt numFmtId="176" formatCode="#,##0.0"/>
    <numFmt numFmtId="177" formatCode="#,##0.000"/>
    <numFmt numFmtId="178" formatCode="0.000%"/>
    <numFmt numFmtId="179" formatCode="#,##0.0000"/>
    <numFmt numFmtId="180" formatCode="0_);[Red]\(0\)"/>
    <numFmt numFmtId="181" formatCode="#,##0.0_);[Red]\(#,##0.0\)"/>
    <numFmt numFmtId="182" formatCode="#,##0.0000000000000_);[Red]\(#,##0.0000000000000\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u val="single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175" fontId="1" fillId="0" borderId="0" xfId="59" applyNumberFormat="1" applyFont="1" applyAlignment="1">
      <alignment/>
    </xf>
    <xf numFmtId="10" fontId="1" fillId="0" borderId="0" xfId="0" applyNumberFormat="1" applyFont="1" applyAlignment="1">
      <alignment/>
    </xf>
    <xf numFmtId="10" fontId="1" fillId="0" borderId="0" xfId="59" applyNumberFormat="1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horizontal="left" inden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5" fontId="1" fillId="0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9" fontId="1" fillId="0" borderId="0" xfId="59" applyFont="1" applyFill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 quotePrefix="1">
      <alignment horizontal="left" indent="1"/>
    </xf>
    <xf numFmtId="175" fontId="1" fillId="0" borderId="0" xfId="59" applyNumberFormat="1" applyFont="1" applyFill="1" applyAlignment="1">
      <alignment/>
    </xf>
    <xf numFmtId="175" fontId="1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4" fontId="1" fillId="33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left" indent="1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 indent="1"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4" fontId="6" fillId="33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38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right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0" xfId="0" applyNumberFormat="1" applyFont="1" applyFill="1" applyAlignment="1">
      <alignment horizontal="left" indent="1"/>
    </xf>
    <xf numFmtId="4" fontId="2" fillId="0" borderId="0" xfId="0" applyNumberFormat="1" applyFont="1" applyFill="1" applyAlignment="1">
      <alignment horizontal="left" indent="1"/>
    </xf>
    <xf numFmtId="0" fontId="7" fillId="0" borderId="0" xfId="0" applyFont="1" applyAlignment="1">
      <alignment/>
    </xf>
    <xf numFmtId="0" fontId="2" fillId="6" borderId="0" xfId="0" applyFont="1" applyFill="1" applyAlignment="1">
      <alignment horizontal="left" indent="1"/>
    </xf>
    <xf numFmtId="4" fontId="2" fillId="6" borderId="0" xfId="0" applyNumberFormat="1" applyFont="1" applyFill="1" applyAlignment="1">
      <alignment/>
    </xf>
    <xf numFmtId="181" fontId="0" fillId="0" borderId="0" xfId="0" applyNumberFormat="1" applyFont="1" applyBorder="1" applyAlignment="1">
      <alignment/>
    </xf>
    <xf numFmtId="181" fontId="0" fillId="0" borderId="19" xfId="0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181" fontId="0" fillId="0" borderId="20" xfId="0" applyNumberFormat="1" applyFont="1" applyBorder="1" applyAlignment="1">
      <alignment/>
    </xf>
    <xf numFmtId="0" fontId="43" fillId="0" borderId="0" xfId="0" applyFont="1" applyAlignment="1">
      <alignment horizontal="center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47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8" sqref="H228"/>
    </sheetView>
  </sheetViews>
  <sheetFormatPr defaultColWidth="9.140625" defaultRowHeight="12.75"/>
  <cols>
    <col min="1" max="1" width="37.7109375" style="2" customWidth="1"/>
    <col min="2" max="2" width="9.28125" style="18" bestFit="1" customWidth="1"/>
    <col min="3" max="4" width="9.28125" style="2" bestFit="1" customWidth="1"/>
    <col min="5" max="7" width="10.00390625" style="2" bestFit="1" customWidth="1"/>
    <col min="8" max="8" width="9.57421875" style="2" bestFit="1" customWidth="1"/>
    <col min="9" max="16384" width="9.140625" style="2" customWidth="1"/>
  </cols>
  <sheetData>
    <row r="1" spans="1:2" ht="9.75">
      <c r="A1" s="1" t="s">
        <v>2</v>
      </c>
      <c r="B1" s="17"/>
    </row>
    <row r="2" spans="2:37" ht="9.75">
      <c r="B2" s="18">
        <v>2007</v>
      </c>
      <c r="C2" s="2">
        <v>2008</v>
      </c>
      <c r="D2" s="2">
        <v>2009</v>
      </c>
      <c r="E2" s="2">
        <v>2010</v>
      </c>
      <c r="F2" s="2">
        <v>2011</v>
      </c>
      <c r="G2" s="2">
        <v>2012</v>
      </c>
      <c r="H2" s="2">
        <v>2013</v>
      </c>
      <c r="I2" s="2">
        <v>2014</v>
      </c>
      <c r="J2" s="2">
        <v>2015</v>
      </c>
      <c r="K2" s="2">
        <v>2016</v>
      </c>
      <c r="L2" s="2">
        <v>2017</v>
      </c>
      <c r="M2" s="2">
        <v>2018</v>
      </c>
      <c r="N2" s="2">
        <v>2019</v>
      </c>
      <c r="O2" s="2">
        <v>2020</v>
      </c>
      <c r="P2" s="2">
        <v>2021</v>
      </c>
      <c r="Q2" s="2">
        <v>2022</v>
      </c>
      <c r="R2" s="2">
        <v>2023</v>
      </c>
      <c r="S2" s="2">
        <v>2024</v>
      </c>
      <c r="T2" s="2">
        <v>2025</v>
      </c>
      <c r="U2" s="2">
        <v>2026</v>
      </c>
      <c r="V2" s="2">
        <v>2027</v>
      </c>
      <c r="W2" s="2">
        <v>2028</v>
      </c>
      <c r="X2" s="2">
        <v>2029</v>
      </c>
      <c r="Y2" s="2">
        <v>2030</v>
      </c>
      <c r="Z2" s="2">
        <v>2031</v>
      </c>
      <c r="AA2" s="2">
        <v>2032</v>
      </c>
      <c r="AB2" s="2">
        <v>2033</v>
      </c>
      <c r="AC2" s="2">
        <v>2034</v>
      </c>
      <c r="AD2" s="2">
        <v>2035</v>
      </c>
      <c r="AE2" s="2">
        <v>2036</v>
      </c>
      <c r="AF2" s="2">
        <v>2037</v>
      </c>
      <c r="AG2" s="2">
        <v>2038</v>
      </c>
      <c r="AH2" s="2">
        <v>2039</v>
      </c>
      <c r="AI2" s="2">
        <v>2040</v>
      </c>
      <c r="AJ2" s="2">
        <v>2041</v>
      </c>
      <c r="AK2" s="2">
        <v>2042</v>
      </c>
    </row>
    <row r="3" spans="1:37" ht="9.75">
      <c r="A3" s="1" t="s">
        <v>158</v>
      </c>
      <c r="B3" s="18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32</v>
      </c>
      <c r="AI3" s="2">
        <v>33</v>
      </c>
      <c r="AJ3" s="2">
        <v>34</v>
      </c>
      <c r="AK3" s="2">
        <v>35</v>
      </c>
    </row>
    <row r="4" spans="1:7" ht="9.75">
      <c r="A4" s="1" t="s">
        <v>15</v>
      </c>
      <c r="B4" s="17"/>
      <c r="C4" s="6"/>
      <c r="D4" s="6"/>
      <c r="E4" s="6"/>
      <c r="F4" s="6"/>
      <c r="G4" s="6"/>
    </row>
    <row r="5" spans="1:37" ht="9.75">
      <c r="A5" s="2" t="s">
        <v>17</v>
      </c>
      <c r="B5" s="23">
        <v>0.1085</v>
      </c>
      <c r="C5" s="6">
        <v>0.199</v>
      </c>
      <c r="D5" s="6">
        <v>0.068</v>
      </c>
      <c r="E5" s="6">
        <v>0.08</v>
      </c>
      <c r="F5" s="6">
        <v>0.07</v>
      </c>
      <c r="G5" s="6">
        <v>0.06</v>
      </c>
      <c r="H5" s="6">
        <v>0.05</v>
      </c>
      <c r="I5" s="6">
        <f aca="true" t="shared" si="0" ref="I5:AK5">$H$5</f>
        <v>0.05</v>
      </c>
      <c r="J5" s="6">
        <f t="shared" si="0"/>
        <v>0.05</v>
      </c>
      <c r="K5" s="6">
        <f t="shared" si="0"/>
        <v>0.05</v>
      </c>
      <c r="L5" s="6">
        <f t="shared" si="0"/>
        <v>0.05</v>
      </c>
      <c r="M5" s="6">
        <f t="shared" si="0"/>
        <v>0.05</v>
      </c>
      <c r="N5" s="6">
        <f t="shared" si="0"/>
        <v>0.05</v>
      </c>
      <c r="O5" s="6">
        <f t="shared" si="0"/>
        <v>0.05</v>
      </c>
      <c r="P5" s="6">
        <f t="shared" si="0"/>
        <v>0.05</v>
      </c>
      <c r="Q5" s="6">
        <f t="shared" si="0"/>
        <v>0.05</v>
      </c>
      <c r="R5" s="6">
        <f t="shared" si="0"/>
        <v>0.05</v>
      </c>
      <c r="S5" s="6">
        <f t="shared" si="0"/>
        <v>0.05</v>
      </c>
      <c r="T5" s="6">
        <f t="shared" si="0"/>
        <v>0.05</v>
      </c>
      <c r="U5" s="6">
        <f t="shared" si="0"/>
        <v>0.05</v>
      </c>
      <c r="V5" s="6">
        <f t="shared" si="0"/>
        <v>0.05</v>
      </c>
      <c r="W5" s="6">
        <f t="shared" si="0"/>
        <v>0.05</v>
      </c>
      <c r="X5" s="6">
        <f t="shared" si="0"/>
        <v>0.05</v>
      </c>
      <c r="Y5" s="6">
        <f t="shared" si="0"/>
        <v>0.05</v>
      </c>
      <c r="Z5" s="6">
        <f t="shared" si="0"/>
        <v>0.05</v>
      </c>
      <c r="AA5" s="6">
        <f t="shared" si="0"/>
        <v>0.05</v>
      </c>
      <c r="AB5" s="6">
        <f t="shared" si="0"/>
        <v>0.05</v>
      </c>
      <c r="AC5" s="6">
        <f t="shared" si="0"/>
        <v>0.05</v>
      </c>
      <c r="AD5" s="6">
        <f t="shared" si="0"/>
        <v>0.05</v>
      </c>
      <c r="AE5" s="6">
        <f t="shared" si="0"/>
        <v>0.05</v>
      </c>
      <c r="AF5" s="6">
        <f t="shared" si="0"/>
        <v>0.05</v>
      </c>
      <c r="AG5" s="6">
        <f t="shared" si="0"/>
        <v>0.05</v>
      </c>
      <c r="AH5" s="6">
        <f t="shared" si="0"/>
        <v>0.05</v>
      </c>
      <c r="AI5" s="6">
        <f t="shared" si="0"/>
        <v>0.05</v>
      </c>
      <c r="AJ5" s="6">
        <f t="shared" si="0"/>
        <v>0.05</v>
      </c>
      <c r="AK5" s="6">
        <f t="shared" si="0"/>
        <v>0.05</v>
      </c>
    </row>
    <row r="6" spans="1:37" ht="9.75">
      <c r="A6" s="2" t="s">
        <v>16</v>
      </c>
      <c r="C6" s="5">
        <v>0.008</v>
      </c>
      <c r="D6" s="5">
        <f aca="true" t="shared" si="1" ref="D6:AK6">$C$6</f>
        <v>0.008</v>
      </c>
      <c r="E6" s="5">
        <f t="shared" si="1"/>
        <v>0.008</v>
      </c>
      <c r="F6" s="5">
        <f t="shared" si="1"/>
        <v>0.008</v>
      </c>
      <c r="G6" s="5">
        <f t="shared" si="1"/>
        <v>0.008</v>
      </c>
      <c r="H6" s="5">
        <f t="shared" si="1"/>
        <v>0.008</v>
      </c>
      <c r="I6" s="5">
        <f t="shared" si="1"/>
        <v>0.008</v>
      </c>
      <c r="J6" s="5">
        <f t="shared" si="1"/>
        <v>0.008</v>
      </c>
      <c r="K6" s="5">
        <f t="shared" si="1"/>
        <v>0.008</v>
      </c>
      <c r="L6" s="5">
        <f t="shared" si="1"/>
        <v>0.008</v>
      </c>
      <c r="M6" s="5">
        <f t="shared" si="1"/>
        <v>0.008</v>
      </c>
      <c r="N6" s="5">
        <f t="shared" si="1"/>
        <v>0.008</v>
      </c>
      <c r="O6" s="5">
        <f t="shared" si="1"/>
        <v>0.008</v>
      </c>
      <c r="P6" s="5">
        <f t="shared" si="1"/>
        <v>0.008</v>
      </c>
      <c r="Q6" s="5">
        <f t="shared" si="1"/>
        <v>0.008</v>
      </c>
      <c r="R6" s="5">
        <f t="shared" si="1"/>
        <v>0.008</v>
      </c>
      <c r="S6" s="5">
        <f t="shared" si="1"/>
        <v>0.008</v>
      </c>
      <c r="T6" s="5">
        <f t="shared" si="1"/>
        <v>0.008</v>
      </c>
      <c r="U6" s="5">
        <f t="shared" si="1"/>
        <v>0.008</v>
      </c>
      <c r="V6" s="5">
        <f t="shared" si="1"/>
        <v>0.008</v>
      </c>
      <c r="W6" s="5">
        <f t="shared" si="1"/>
        <v>0.008</v>
      </c>
      <c r="X6" s="5">
        <f t="shared" si="1"/>
        <v>0.008</v>
      </c>
      <c r="Y6" s="5">
        <f t="shared" si="1"/>
        <v>0.008</v>
      </c>
      <c r="Z6" s="5">
        <f t="shared" si="1"/>
        <v>0.008</v>
      </c>
      <c r="AA6" s="5">
        <f t="shared" si="1"/>
        <v>0.008</v>
      </c>
      <c r="AB6" s="5">
        <f t="shared" si="1"/>
        <v>0.008</v>
      </c>
      <c r="AC6" s="5">
        <f t="shared" si="1"/>
        <v>0.008</v>
      </c>
      <c r="AD6" s="5">
        <f t="shared" si="1"/>
        <v>0.008</v>
      </c>
      <c r="AE6" s="5">
        <f t="shared" si="1"/>
        <v>0.008</v>
      </c>
      <c r="AF6" s="5">
        <f t="shared" si="1"/>
        <v>0.008</v>
      </c>
      <c r="AG6" s="5">
        <f t="shared" si="1"/>
        <v>0.008</v>
      </c>
      <c r="AH6" s="5">
        <f t="shared" si="1"/>
        <v>0.008</v>
      </c>
      <c r="AI6" s="5">
        <f t="shared" si="1"/>
        <v>0.008</v>
      </c>
      <c r="AJ6" s="5">
        <f t="shared" si="1"/>
        <v>0.008</v>
      </c>
      <c r="AK6" s="5">
        <f t="shared" si="1"/>
        <v>0.008</v>
      </c>
    </row>
    <row r="7" spans="1:25" ht="9.75">
      <c r="A7" s="2" t="s">
        <v>18</v>
      </c>
      <c r="B7" s="20">
        <v>16000</v>
      </c>
      <c r="C7" s="7">
        <v>16500</v>
      </c>
      <c r="D7" s="7">
        <v>17800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14" ht="9.75">
      <c r="A8" s="1" t="s">
        <v>23</v>
      </c>
      <c r="B8" s="1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9.75">
      <c r="A9" s="2" t="s">
        <v>21</v>
      </c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5" ht="9.75">
      <c r="A10" s="11" t="s">
        <v>3</v>
      </c>
      <c r="B10" s="16"/>
      <c r="C10" s="12">
        <v>0</v>
      </c>
      <c r="D10" s="12">
        <v>0.97</v>
      </c>
      <c r="E10" s="12">
        <v>2.92</v>
      </c>
      <c r="F10" s="12">
        <v>2.92</v>
      </c>
      <c r="G10" s="12">
        <v>2.92</v>
      </c>
      <c r="H10" s="12"/>
      <c r="I10" s="12"/>
      <c r="J10" s="12"/>
      <c r="K10" s="12"/>
      <c r="L10" s="12"/>
      <c r="M10" s="12"/>
      <c r="N10" s="12"/>
      <c r="O10" s="12"/>
    </row>
    <row r="11" spans="1:14" ht="9.75">
      <c r="A11" s="11" t="s">
        <v>4</v>
      </c>
      <c r="B11" s="16"/>
      <c r="C11" s="12">
        <v>3.02</v>
      </c>
      <c r="D11" s="12">
        <v>4.54</v>
      </c>
      <c r="E11" s="12">
        <v>0</v>
      </c>
      <c r="F11" s="12">
        <v>0</v>
      </c>
      <c r="G11" s="12">
        <v>0</v>
      </c>
      <c r="H11" s="12"/>
      <c r="I11" s="12"/>
      <c r="J11" s="12"/>
      <c r="K11" s="12"/>
      <c r="L11" s="12"/>
      <c r="M11" s="12"/>
      <c r="N11" s="12"/>
    </row>
    <row r="12" spans="1:14" ht="9.75">
      <c r="A12" s="11" t="s">
        <v>5</v>
      </c>
      <c r="B12" s="16"/>
      <c r="C12" s="12">
        <v>0.31</v>
      </c>
      <c r="D12" s="12">
        <v>0.31</v>
      </c>
      <c r="E12" s="12">
        <v>0.42</v>
      </c>
      <c r="F12" s="12">
        <v>0</v>
      </c>
      <c r="G12" s="12">
        <v>0</v>
      </c>
      <c r="H12" s="12"/>
      <c r="I12" s="12"/>
      <c r="J12" s="12"/>
      <c r="K12" s="12"/>
      <c r="L12" s="12"/>
      <c r="M12" s="12"/>
      <c r="N12" s="12"/>
    </row>
    <row r="13" spans="1:14" ht="9.75">
      <c r="A13" s="11" t="s">
        <v>6</v>
      </c>
      <c r="B13" s="16"/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  <c r="I13" s="12"/>
      <c r="J13" s="12"/>
      <c r="K13" s="12"/>
      <c r="L13" s="12"/>
      <c r="M13" s="12"/>
      <c r="N13" s="12"/>
    </row>
    <row r="14" spans="1:14" ht="9.75">
      <c r="A14" s="11" t="s">
        <v>7</v>
      </c>
      <c r="B14" s="16"/>
      <c r="C14" s="12">
        <v>1.19</v>
      </c>
      <c r="D14" s="12">
        <v>1.79</v>
      </c>
      <c r="E14" s="12">
        <v>3.58</v>
      </c>
      <c r="F14" s="12">
        <v>3.58</v>
      </c>
      <c r="G14" s="12">
        <v>1.79</v>
      </c>
      <c r="H14" s="12"/>
      <c r="I14" s="12"/>
      <c r="J14" s="12"/>
      <c r="K14" s="12"/>
      <c r="L14" s="12"/>
      <c r="M14" s="12"/>
      <c r="N14" s="12"/>
    </row>
    <row r="15" spans="1:14" ht="9.75">
      <c r="A15" s="11" t="s">
        <v>8</v>
      </c>
      <c r="B15" s="16"/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  <c r="I15" s="12"/>
      <c r="J15" s="12"/>
      <c r="K15" s="12"/>
      <c r="L15" s="12"/>
      <c r="M15" s="12"/>
      <c r="N15" s="12"/>
    </row>
    <row r="16" spans="1:14" ht="9.75">
      <c r="A16" s="11" t="s">
        <v>9</v>
      </c>
      <c r="B16" s="16"/>
      <c r="C16" s="12">
        <v>1.63</v>
      </c>
      <c r="D16" s="12">
        <v>0</v>
      </c>
      <c r="E16" s="12">
        <v>0</v>
      </c>
      <c r="F16" s="12">
        <v>0</v>
      </c>
      <c r="G16" s="12">
        <v>0</v>
      </c>
      <c r="H16" s="12"/>
      <c r="I16" s="12"/>
      <c r="J16" s="12"/>
      <c r="K16" s="12"/>
      <c r="L16" s="12"/>
      <c r="M16" s="12"/>
      <c r="N16" s="12"/>
    </row>
    <row r="17" spans="1:14" ht="9.75">
      <c r="A17" s="11" t="s">
        <v>24</v>
      </c>
      <c r="B17" s="16"/>
      <c r="C17" s="12">
        <f>SUM(C10:C16)</f>
        <v>6.1499999999999995</v>
      </c>
      <c r="D17" s="12">
        <f>SUM(D10:D16)</f>
        <v>7.609999999999999</v>
      </c>
      <c r="E17" s="12">
        <f>SUM(E10:E16)</f>
        <v>6.92</v>
      </c>
      <c r="F17" s="12">
        <f>SUM(F10:F16)</f>
        <v>6.5</v>
      </c>
      <c r="G17" s="12">
        <f>SUM(G10:G16)</f>
        <v>4.71</v>
      </c>
      <c r="H17" s="12"/>
      <c r="I17" s="12"/>
      <c r="J17" s="12"/>
      <c r="K17" s="12"/>
      <c r="L17" s="12"/>
      <c r="M17" s="12"/>
      <c r="N17" s="12"/>
    </row>
    <row r="18" spans="1:14" ht="9.75">
      <c r="A18" s="2" t="s">
        <v>22</v>
      </c>
      <c r="B18" s="1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9.75">
      <c r="A19" s="11" t="s">
        <v>3</v>
      </c>
      <c r="B19" s="16"/>
      <c r="C19" s="12">
        <v>0</v>
      </c>
      <c r="D19" s="12">
        <v>753.88</v>
      </c>
      <c r="E19" s="12">
        <v>2261.64</v>
      </c>
      <c r="F19" s="12">
        <v>2261.64</v>
      </c>
      <c r="G19" s="12">
        <v>2261.64</v>
      </c>
      <c r="H19" s="12"/>
      <c r="I19" s="12"/>
      <c r="J19" s="12"/>
      <c r="K19" s="12"/>
      <c r="L19" s="12"/>
      <c r="M19" s="12"/>
      <c r="N19" s="12"/>
    </row>
    <row r="20" spans="1:14" ht="9.75">
      <c r="A20" s="11" t="s">
        <v>4</v>
      </c>
      <c r="B20" s="16"/>
      <c r="C20" s="12">
        <v>798.89</v>
      </c>
      <c r="D20" s="12">
        <v>1198.34</v>
      </c>
      <c r="E20" s="12">
        <v>0</v>
      </c>
      <c r="F20" s="12">
        <v>0</v>
      </c>
      <c r="G20" s="12">
        <v>0</v>
      </c>
      <c r="H20" s="12"/>
      <c r="I20" s="12"/>
      <c r="J20" s="12"/>
      <c r="K20" s="12"/>
      <c r="L20" s="12"/>
      <c r="M20" s="12"/>
      <c r="N20" s="12"/>
    </row>
    <row r="21" spans="1:14" ht="9.75">
      <c r="A21" s="11" t="s">
        <v>5</v>
      </c>
      <c r="B21" s="16"/>
      <c r="C21" s="12">
        <v>94.73</v>
      </c>
      <c r="D21" s="12">
        <v>94.73</v>
      </c>
      <c r="E21" s="12">
        <v>126.3</v>
      </c>
      <c r="F21" s="12">
        <v>0</v>
      </c>
      <c r="G21" s="12">
        <v>0</v>
      </c>
      <c r="H21" s="12"/>
      <c r="I21" s="12"/>
      <c r="J21" s="12"/>
      <c r="K21" s="12"/>
      <c r="L21" s="12"/>
      <c r="M21" s="12"/>
      <c r="N21" s="12"/>
    </row>
    <row r="22" spans="1:14" ht="9.75">
      <c r="A22" s="11" t="s">
        <v>6</v>
      </c>
      <c r="B22" s="16"/>
      <c r="C22" s="12">
        <v>7.43</v>
      </c>
      <c r="D22" s="12">
        <v>0</v>
      </c>
      <c r="E22" s="12">
        <v>0</v>
      </c>
      <c r="F22" s="12">
        <v>0</v>
      </c>
      <c r="G22" s="12">
        <v>0</v>
      </c>
      <c r="H22" s="12"/>
      <c r="I22" s="12"/>
      <c r="J22" s="12"/>
      <c r="K22" s="12"/>
      <c r="L22" s="12"/>
      <c r="M22" s="12"/>
      <c r="N22" s="12"/>
    </row>
    <row r="23" spans="1:14" ht="9.75">
      <c r="A23" s="11" t="s">
        <v>7</v>
      </c>
      <c r="B23" s="16"/>
      <c r="C23" s="12">
        <v>11.64</v>
      </c>
      <c r="D23" s="12">
        <v>17.47</v>
      </c>
      <c r="E23" s="12">
        <v>34.93</v>
      </c>
      <c r="F23" s="12">
        <v>34.93</v>
      </c>
      <c r="G23" s="12">
        <v>17.47</v>
      </c>
      <c r="H23" s="12"/>
      <c r="I23" s="12"/>
      <c r="J23" s="12"/>
      <c r="K23" s="12"/>
      <c r="L23" s="12"/>
      <c r="M23" s="12"/>
      <c r="N23" s="12"/>
    </row>
    <row r="24" spans="1:14" ht="9.75">
      <c r="A24" s="11" t="s">
        <v>8</v>
      </c>
      <c r="B24" s="16"/>
      <c r="C24" s="12">
        <v>32.68</v>
      </c>
      <c r="D24" s="12">
        <v>32.68</v>
      </c>
      <c r="E24" s="12">
        <v>32.68</v>
      </c>
      <c r="F24" s="12">
        <v>32.68</v>
      </c>
      <c r="G24" s="12">
        <v>32.68</v>
      </c>
      <c r="H24" s="12"/>
      <c r="I24" s="12"/>
      <c r="J24" s="12"/>
      <c r="K24" s="12"/>
      <c r="L24" s="12"/>
      <c r="M24" s="12"/>
      <c r="N24" s="12"/>
    </row>
    <row r="25" spans="1:14" ht="9.75">
      <c r="A25" s="11" t="s">
        <v>9</v>
      </c>
      <c r="B25" s="16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  <c r="I25" s="12"/>
      <c r="J25" s="12"/>
      <c r="K25" s="12"/>
      <c r="L25" s="12"/>
      <c r="M25" s="12"/>
      <c r="N25" s="12"/>
    </row>
    <row r="26" spans="1:14" ht="9.75">
      <c r="A26" s="11" t="s">
        <v>24</v>
      </c>
      <c r="B26" s="16"/>
      <c r="C26" s="12">
        <f>SUM(C19:C25)</f>
        <v>945.3699999999999</v>
      </c>
      <c r="D26" s="12">
        <f>SUM(D19:D25)</f>
        <v>2097.0999999999995</v>
      </c>
      <c r="E26" s="12">
        <f>SUM(E19:E25)</f>
        <v>2455.5499999999997</v>
      </c>
      <c r="F26" s="12">
        <f>SUM(F19:F25)</f>
        <v>2329.2499999999995</v>
      </c>
      <c r="G26" s="12">
        <f>SUM(G19:G25)</f>
        <v>2311.7899999999995</v>
      </c>
      <c r="H26" s="12"/>
      <c r="I26" s="12"/>
      <c r="J26" s="12"/>
      <c r="K26" s="12"/>
      <c r="L26" s="12"/>
      <c r="M26" s="12"/>
      <c r="N26" s="12"/>
    </row>
    <row r="27" spans="1:7" ht="9.75">
      <c r="A27" s="1" t="s">
        <v>14</v>
      </c>
      <c r="B27" s="16"/>
      <c r="D27" s="10"/>
      <c r="E27" s="10"/>
      <c r="F27" s="10"/>
      <c r="G27" s="10"/>
    </row>
    <row r="28" spans="1:7" ht="9.75">
      <c r="A28" s="2" t="s">
        <v>27</v>
      </c>
      <c r="C28" s="12"/>
      <c r="D28" s="10"/>
      <c r="E28" s="10"/>
      <c r="F28" s="10"/>
      <c r="G28" s="10"/>
    </row>
    <row r="29" spans="1:6" ht="9.75">
      <c r="A29" s="2" t="s">
        <v>12</v>
      </c>
      <c r="B29" s="19"/>
      <c r="C29" s="3"/>
      <c r="D29" s="3"/>
      <c r="E29" s="3"/>
      <c r="F29" s="3"/>
    </row>
    <row r="30" spans="1:14" ht="9.75">
      <c r="A30" s="11" t="s">
        <v>3</v>
      </c>
      <c r="B30" s="36">
        <f aca="true" t="shared" si="2" ref="B30:B37">SUM(C30:G30)</f>
        <v>133.514</v>
      </c>
      <c r="C30" s="10">
        <v>0</v>
      </c>
      <c r="D30" s="10">
        <v>13.348</v>
      </c>
      <c r="E30" s="10">
        <v>40.055</v>
      </c>
      <c r="F30" s="10">
        <v>40.056</v>
      </c>
      <c r="G30" s="10">
        <v>40.055</v>
      </c>
      <c r="I30" s="36"/>
      <c r="J30" s="10"/>
      <c r="K30" s="10"/>
      <c r="L30" s="10"/>
      <c r="M30" s="10"/>
      <c r="N30" s="10"/>
    </row>
    <row r="31" spans="1:14" ht="9.75">
      <c r="A31" s="11" t="s">
        <v>4</v>
      </c>
      <c r="B31" s="36">
        <f t="shared" si="2"/>
        <v>151.919</v>
      </c>
      <c r="C31" s="10">
        <v>61.097</v>
      </c>
      <c r="D31" s="10">
        <v>90.822</v>
      </c>
      <c r="E31" s="10">
        <v>0</v>
      </c>
      <c r="F31" s="10">
        <v>0</v>
      </c>
      <c r="G31" s="10">
        <v>0</v>
      </c>
      <c r="I31" s="36"/>
      <c r="J31" s="10"/>
      <c r="K31" s="10"/>
      <c r="L31" s="10"/>
      <c r="M31" s="10"/>
      <c r="N31" s="10"/>
    </row>
    <row r="32" spans="1:14" ht="9.75">
      <c r="A32" s="11" t="s">
        <v>5</v>
      </c>
      <c r="B32" s="36">
        <f t="shared" si="2"/>
        <v>23.915</v>
      </c>
      <c r="C32" s="10">
        <v>7.196</v>
      </c>
      <c r="D32" s="10">
        <v>7.13</v>
      </c>
      <c r="E32" s="10">
        <v>9.589</v>
      </c>
      <c r="F32" s="10">
        <v>0</v>
      </c>
      <c r="G32" s="10">
        <v>0</v>
      </c>
      <c r="I32" s="36"/>
      <c r="J32" s="10"/>
      <c r="K32" s="10"/>
      <c r="L32" s="10"/>
      <c r="M32" s="10"/>
      <c r="N32" s="10"/>
    </row>
    <row r="33" spans="1:14" ht="9.75">
      <c r="A33" s="11" t="s">
        <v>6</v>
      </c>
      <c r="B33" s="36">
        <f t="shared" si="2"/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I33" s="36"/>
      <c r="J33" s="10"/>
      <c r="K33" s="10"/>
      <c r="L33" s="10"/>
      <c r="M33" s="10"/>
      <c r="N33" s="10"/>
    </row>
    <row r="34" spans="1:14" ht="9.75">
      <c r="A34" s="11" t="s">
        <v>7</v>
      </c>
      <c r="B34" s="36">
        <f t="shared" si="2"/>
        <v>13.933</v>
      </c>
      <c r="C34" s="10">
        <v>1.378</v>
      </c>
      <c r="D34" s="10">
        <v>2.068</v>
      </c>
      <c r="E34" s="10">
        <v>4.168</v>
      </c>
      <c r="F34" s="10">
        <v>4.201</v>
      </c>
      <c r="G34" s="10">
        <v>2.118</v>
      </c>
      <c r="I34" s="36"/>
      <c r="J34" s="10"/>
      <c r="K34" s="10"/>
      <c r="L34" s="10"/>
      <c r="M34" s="10"/>
      <c r="N34" s="10"/>
    </row>
    <row r="35" spans="1:14" ht="9.75">
      <c r="A35" s="11" t="s">
        <v>8</v>
      </c>
      <c r="B35" s="36">
        <f t="shared" si="2"/>
        <v>11.892999999999999</v>
      </c>
      <c r="C35" s="10">
        <v>2.375</v>
      </c>
      <c r="D35" s="10">
        <v>2.351</v>
      </c>
      <c r="E35" s="10">
        <v>2.37</v>
      </c>
      <c r="F35" s="10">
        <v>2.389</v>
      </c>
      <c r="G35" s="10">
        <v>2.408</v>
      </c>
      <c r="I35" s="36"/>
      <c r="J35" s="10"/>
      <c r="K35" s="10"/>
      <c r="L35" s="10"/>
      <c r="M35" s="10"/>
      <c r="N35" s="10"/>
    </row>
    <row r="36" spans="1:14" ht="9.75">
      <c r="A36" s="11" t="s">
        <v>9</v>
      </c>
      <c r="B36" s="36">
        <f t="shared" si="2"/>
        <v>0.617</v>
      </c>
      <c r="C36" s="10">
        <v>0.617</v>
      </c>
      <c r="D36" s="10">
        <v>0</v>
      </c>
      <c r="E36" s="10">
        <v>0</v>
      </c>
      <c r="F36" s="10">
        <v>0</v>
      </c>
      <c r="G36" s="10">
        <v>0</v>
      </c>
      <c r="I36" s="36"/>
      <c r="J36" s="10"/>
      <c r="K36" s="10"/>
      <c r="L36" s="10"/>
      <c r="M36" s="10"/>
      <c r="N36" s="10"/>
    </row>
    <row r="37" spans="1:14" ht="9.75">
      <c r="A37" s="11" t="s">
        <v>24</v>
      </c>
      <c r="B37" s="36">
        <f t="shared" si="2"/>
        <v>335.791</v>
      </c>
      <c r="C37" s="10">
        <f>SUM(C30:C36)</f>
        <v>72.66300000000001</v>
      </c>
      <c r="D37" s="10">
        <f>SUM(D30:D36)</f>
        <v>115.719</v>
      </c>
      <c r="E37" s="10">
        <f>SUM(E30:E36)</f>
        <v>56.181999999999995</v>
      </c>
      <c r="F37" s="10">
        <f>SUM(F30:F36)</f>
        <v>46.646</v>
      </c>
      <c r="G37" s="10">
        <f>SUM(G30:G36)</f>
        <v>44.581</v>
      </c>
      <c r="I37" s="36"/>
      <c r="J37" s="10"/>
      <c r="K37" s="10"/>
      <c r="L37" s="10"/>
      <c r="M37" s="10"/>
      <c r="N37" s="10"/>
    </row>
    <row r="38" spans="1:14" ht="9.75">
      <c r="A38" s="2" t="s">
        <v>13</v>
      </c>
      <c r="B38" s="36"/>
      <c r="C38" s="10"/>
      <c r="D38" s="10"/>
      <c r="E38" s="10"/>
      <c r="F38" s="10"/>
      <c r="G38" s="10"/>
      <c r="I38" s="10"/>
      <c r="J38" s="10"/>
      <c r="K38" s="10"/>
      <c r="L38" s="10"/>
      <c r="M38" s="10"/>
      <c r="N38" s="10"/>
    </row>
    <row r="39" spans="1:14" ht="9.75">
      <c r="A39" s="11" t="s">
        <v>3</v>
      </c>
      <c r="B39" s="36">
        <f aca="true" t="shared" si="3" ref="B39:B46">SUM(C39:G39)</f>
        <v>426.709</v>
      </c>
      <c r="C39" s="10">
        <v>0</v>
      </c>
      <c r="D39" s="10">
        <v>41.872</v>
      </c>
      <c r="E39" s="10">
        <v>126.94</v>
      </c>
      <c r="F39" s="10">
        <v>128.275</v>
      </c>
      <c r="G39" s="10">
        <v>129.622</v>
      </c>
      <c r="I39" s="10"/>
      <c r="J39" s="10"/>
      <c r="K39" s="10"/>
      <c r="L39" s="10"/>
      <c r="M39" s="10"/>
      <c r="N39" s="10"/>
    </row>
    <row r="40" spans="1:14" ht="9.75">
      <c r="A40" s="11" t="s">
        <v>4</v>
      </c>
      <c r="B40" s="36">
        <f t="shared" si="3"/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I40" s="10"/>
      <c r="J40" s="10"/>
      <c r="K40" s="10"/>
      <c r="L40" s="10"/>
      <c r="M40" s="10"/>
      <c r="N40" s="10"/>
    </row>
    <row r="41" spans="1:14" ht="9.75">
      <c r="A41" s="11" t="s">
        <v>5</v>
      </c>
      <c r="B41" s="36">
        <f t="shared" si="3"/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I41" s="10"/>
      <c r="J41" s="10"/>
      <c r="K41" s="10"/>
      <c r="L41" s="10"/>
      <c r="M41" s="10"/>
      <c r="N41" s="10"/>
    </row>
    <row r="42" spans="1:14" ht="9.75">
      <c r="A42" s="11" t="s">
        <v>6</v>
      </c>
      <c r="B42" s="36">
        <f t="shared" si="3"/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I42" s="10"/>
      <c r="J42" s="10"/>
      <c r="K42" s="10"/>
      <c r="L42" s="10"/>
      <c r="M42" s="10"/>
      <c r="N42" s="10"/>
    </row>
    <row r="43" spans="1:14" ht="9.75">
      <c r="A43" s="11" t="s">
        <v>7</v>
      </c>
      <c r="B43" s="36">
        <f t="shared" si="3"/>
        <v>6.787</v>
      </c>
      <c r="C43" s="10">
        <v>0.667</v>
      </c>
      <c r="D43" s="10">
        <v>1.008</v>
      </c>
      <c r="E43" s="10">
        <v>2.032</v>
      </c>
      <c r="F43" s="10">
        <v>2.048</v>
      </c>
      <c r="G43" s="10">
        <v>1.032</v>
      </c>
      <c r="I43" s="10"/>
      <c r="J43" s="10"/>
      <c r="K43" s="10"/>
      <c r="L43" s="10"/>
      <c r="M43" s="10"/>
      <c r="N43" s="10"/>
    </row>
    <row r="44" spans="1:14" ht="9.75">
      <c r="A44" s="11" t="s">
        <v>8</v>
      </c>
      <c r="B44" s="36">
        <f t="shared" si="3"/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I44" s="10"/>
      <c r="J44" s="10"/>
      <c r="K44" s="10"/>
      <c r="L44" s="10"/>
      <c r="M44" s="10"/>
      <c r="N44" s="10"/>
    </row>
    <row r="45" spans="1:14" ht="9.75">
      <c r="A45" s="11" t="s">
        <v>9</v>
      </c>
      <c r="B45" s="36">
        <f t="shared" si="3"/>
        <v>1.026</v>
      </c>
      <c r="C45" s="10">
        <v>1.026</v>
      </c>
      <c r="D45" s="10">
        <v>0</v>
      </c>
      <c r="E45" s="10">
        <v>0</v>
      </c>
      <c r="F45" s="10">
        <v>0</v>
      </c>
      <c r="G45" s="10">
        <v>0</v>
      </c>
      <c r="I45" s="10"/>
      <c r="J45" s="10"/>
      <c r="K45" s="10"/>
      <c r="L45" s="10"/>
      <c r="M45" s="10"/>
      <c r="N45" s="10"/>
    </row>
    <row r="46" spans="1:14" ht="9.75">
      <c r="A46" s="11" t="s">
        <v>24</v>
      </c>
      <c r="B46" s="36">
        <f t="shared" si="3"/>
        <v>434.52200000000005</v>
      </c>
      <c r="C46" s="10">
        <f>SUM(C39:C45)</f>
        <v>1.693</v>
      </c>
      <c r="D46" s="10">
        <f>SUM(D39:D45)</f>
        <v>42.88</v>
      </c>
      <c r="E46" s="10">
        <f>SUM(E39:E45)</f>
        <v>128.972</v>
      </c>
      <c r="F46" s="10">
        <f>SUM(F39:F45)</f>
        <v>130.323</v>
      </c>
      <c r="G46" s="10">
        <f>SUM(G39:G45)</f>
        <v>130.65400000000002</v>
      </c>
      <c r="I46" s="10"/>
      <c r="J46" s="10"/>
      <c r="K46" s="10"/>
      <c r="L46" s="10"/>
      <c r="M46" s="10"/>
      <c r="N46" s="10"/>
    </row>
    <row r="47" spans="1:7" ht="9.75">
      <c r="A47" s="11"/>
      <c r="B47" s="36"/>
      <c r="C47" s="10"/>
      <c r="D47" s="36"/>
      <c r="E47" s="10"/>
      <c r="F47" s="10"/>
      <c r="G47" s="10"/>
    </row>
    <row r="48" spans="1:14" ht="9.75">
      <c r="A48" s="13" t="s">
        <v>28</v>
      </c>
      <c r="C48" s="12"/>
      <c r="D48" s="12"/>
      <c r="E48" s="12"/>
      <c r="F48" s="12"/>
      <c r="G48" s="12"/>
      <c r="J48" s="10"/>
      <c r="K48" s="10"/>
      <c r="L48" s="10"/>
      <c r="M48" s="10"/>
      <c r="N48" s="10"/>
    </row>
    <row r="49" spans="1:14" ht="9.75">
      <c r="A49" s="2" t="s">
        <v>131</v>
      </c>
      <c r="B49" s="36">
        <f>B37</f>
        <v>335.791</v>
      </c>
      <c r="E49" s="12"/>
      <c r="F49" s="12"/>
      <c r="G49" s="12"/>
      <c r="J49" s="10"/>
      <c r="K49" s="10"/>
      <c r="L49" s="10"/>
      <c r="M49" s="10"/>
      <c r="N49" s="10"/>
    </row>
    <row r="50" spans="1:14" ht="9.75">
      <c r="A50" s="2" t="s">
        <v>37</v>
      </c>
      <c r="B50" s="20">
        <v>25</v>
      </c>
      <c r="E50" s="12"/>
      <c r="F50" s="12"/>
      <c r="G50" s="12"/>
      <c r="J50" s="10"/>
      <c r="K50" s="10"/>
      <c r="L50" s="10"/>
      <c r="M50" s="10"/>
      <c r="N50" s="10"/>
    </row>
    <row r="51" spans="1:14" ht="9.75">
      <c r="A51" s="2" t="s">
        <v>38</v>
      </c>
      <c r="B51" s="18">
        <v>5</v>
      </c>
      <c r="E51" s="12"/>
      <c r="F51" s="12"/>
      <c r="G51" s="12"/>
      <c r="J51" s="10"/>
      <c r="K51" s="10"/>
      <c r="L51" s="10"/>
      <c r="M51" s="10"/>
      <c r="N51" s="10"/>
    </row>
    <row r="52" spans="1:14" ht="9.75">
      <c r="A52" s="2" t="s">
        <v>39</v>
      </c>
      <c r="B52" s="20">
        <v>1</v>
      </c>
      <c r="E52" s="12"/>
      <c r="F52" s="12"/>
      <c r="G52" s="12"/>
      <c r="J52" s="10"/>
      <c r="K52" s="10"/>
      <c r="L52" s="10"/>
      <c r="M52" s="10"/>
      <c r="N52" s="10"/>
    </row>
    <row r="53" spans="1:14" ht="9.75">
      <c r="A53" s="2" t="s">
        <v>40</v>
      </c>
      <c r="B53" s="20">
        <f>COUPNUM(B54,B55,B52,1)+1</f>
        <v>20</v>
      </c>
      <c r="E53" s="12"/>
      <c r="F53" s="12"/>
      <c r="G53" s="12"/>
      <c r="J53" s="10"/>
      <c r="K53" s="10"/>
      <c r="L53" s="10"/>
      <c r="M53" s="10"/>
      <c r="N53" s="10"/>
    </row>
    <row r="54" spans="1:14" ht="9.75">
      <c r="A54" s="2" t="s">
        <v>41</v>
      </c>
      <c r="B54" s="21">
        <v>41639</v>
      </c>
      <c r="E54" s="12"/>
      <c r="F54" s="12"/>
      <c r="G54" s="12"/>
      <c r="J54" s="10"/>
      <c r="K54" s="10"/>
      <c r="L54" s="10"/>
      <c r="M54" s="10"/>
      <c r="N54" s="10"/>
    </row>
    <row r="55" spans="1:10" ht="9.75">
      <c r="A55" s="2" t="s">
        <v>42</v>
      </c>
      <c r="B55" s="21">
        <v>48579</v>
      </c>
      <c r="J55" s="10"/>
    </row>
    <row r="56" spans="1:2" ht="9.75">
      <c r="A56" s="2" t="s">
        <v>43</v>
      </c>
      <c r="B56" s="18">
        <v>2008</v>
      </c>
    </row>
    <row r="57" spans="1:2" ht="9.75">
      <c r="A57" s="2" t="s">
        <v>0</v>
      </c>
      <c r="B57" s="22">
        <v>0.1</v>
      </c>
    </row>
    <row r="58" spans="1:27" ht="9.75">
      <c r="A58" s="2" t="s">
        <v>30</v>
      </c>
      <c r="B58" s="23">
        <v>0.0416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" ht="9.75">
      <c r="A59" s="2" t="s">
        <v>29</v>
      </c>
      <c r="B59" s="23">
        <v>0.002</v>
      </c>
    </row>
    <row r="60" spans="1:2" ht="9.75">
      <c r="A60" s="13" t="s">
        <v>44</v>
      </c>
      <c r="B60" s="16"/>
    </row>
    <row r="61" spans="1:2" ht="9.75">
      <c r="A61" s="2" t="s">
        <v>131</v>
      </c>
      <c r="B61" s="36">
        <f>B46</f>
        <v>434.52200000000005</v>
      </c>
    </row>
    <row r="62" spans="1:2" ht="9.75">
      <c r="A62" s="2" t="s">
        <v>37</v>
      </c>
      <c r="B62" s="20">
        <v>30</v>
      </c>
    </row>
    <row r="63" spans="1:2" ht="9.75">
      <c r="A63" s="2" t="s">
        <v>38</v>
      </c>
      <c r="B63" s="18">
        <v>10</v>
      </c>
    </row>
    <row r="64" spans="1:2" ht="9.75">
      <c r="A64" s="2" t="s">
        <v>39</v>
      </c>
      <c r="B64" s="20">
        <v>1</v>
      </c>
    </row>
    <row r="65" spans="1:2" ht="9.75">
      <c r="A65" s="2" t="s">
        <v>40</v>
      </c>
      <c r="B65" s="20">
        <f>COUPNUM(B66,B67,B64,1)+1</f>
        <v>20</v>
      </c>
    </row>
    <row r="66" spans="1:2" ht="9.75">
      <c r="A66" s="2" t="s">
        <v>41</v>
      </c>
      <c r="B66" s="21">
        <v>43465</v>
      </c>
    </row>
    <row r="67" spans="1:2" ht="9.75">
      <c r="A67" s="2" t="s">
        <v>42</v>
      </c>
      <c r="B67" s="21">
        <v>50405</v>
      </c>
    </row>
    <row r="68" spans="1:2" ht="9.75">
      <c r="A68" s="2" t="s">
        <v>43</v>
      </c>
      <c r="B68" s="18">
        <v>2008</v>
      </c>
    </row>
    <row r="69" spans="1:2" ht="9.75">
      <c r="A69" s="2" t="s">
        <v>0</v>
      </c>
      <c r="B69" s="22">
        <v>0.1</v>
      </c>
    </row>
    <row r="70" spans="1:2" ht="9.75">
      <c r="A70" s="2" t="s">
        <v>31</v>
      </c>
      <c r="B70" s="23">
        <v>0.014</v>
      </c>
    </row>
    <row r="71" spans="1:14" ht="9.75">
      <c r="A71" s="13" t="s">
        <v>57</v>
      </c>
      <c r="B71" s="16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9.75">
      <c r="A72" s="15" t="s">
        <v>56</v>
      </c>
      <c r="B72" s="20">
        <v>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9.75">
      <c r="A73" s="13" t="s">
        <v>60</v>
      </c>
      <c r="B73" s="24">
        <f>B74+B75</f>
        <v>55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9.75">
      <c r="A74" s="15" t="s">
        <v>59</v>
      </c>
      <c r="B74" s="24">
        <v>23.9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9.75">
      <c r="A75" s="15" t="s">
        <v>61</v>
      </c>
      <c r="B75" s="24">
        <f>55-23.9</f>
        <v>31.1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9.75">
      <c r="A76" s="13" t="s">
        <v>58</v>
      </c>
      <c r="B76" s="16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9.75">
      <c r="A77" s="15" t="s">
        <v>64</v>
      </c>
      <c r="B77" s="16"/>
      <c r="C77" s="12"/>
      <c r="D77" s="41" t="s">
        <v>66</v>
      </c>
      <c r="E77" s="41" t="s">
        <v>67</v>
      </c>
      <c r="F77" s="41" t="s">
        <v>71</v>
      </c>
      <c r="G77" s="41" t="s">
        <v>70</v>
      </c>
      <c r="H77" s="18"/>
      <c r="I77" s="18"/>
      <c r="J77" s="18"/>
      <c r="K77" s="18"/>
      <c r="L77" s="12"/>
      <c r="M77" s="12"/>
      <c r="N77" s="12"/>
    </row>
    <row r="78" spans="1:14" ht="9.75">
      <c r="A78" s="38" t="s">
        <v>62</v>
      </c>
      <c r="B78" s="16"/>
      <c r="C78" s="6"/>
      <c r="D78" s="6">
        <v>0.085</v>
      </c>
      <c r="E78" s="6">
        <v>0.064</v>
      </c>
      <c r="F78" s="6">
        <v>0</v>
      </c>
      <c r="G78" s="6">
        <v>0</v>
      </c>
      <c r="H78" s="7">
        <v>3913</v>
      </c>
      <c r="I78" s="7"/>
      <c r="J78" s="7"/>
      <c r="K78" s="7"/>
      <c r="L78" s="12"/>
      <c r="M78" s="12"/>
      <c r="N78" s="12"/>
    </row>
    <row r="79" spans="1:14" ht="9.75">
      <c r="A79" s="38" t="s">
        <v>132</v>
      </c>
      <c r="B79" s="16"/>
      <c r="C79" s="6"/>
      <c r="D79" s="6">
        <f>$D$78</f>
        <v>0.085</v>
      </c>
      <c r="E79" s="6">
        <f>$E$78</f>
        <v>0.064</v>
      </c>
      <c r="F79" s="6">
        <f>$F$78</f>
        <v>0</v>
      </c>
      <c r="G79" s="6">
        <f>$G$78</f>
        <v>0</v>
      </c>
      <c r="H79" s="7">
        <v>4534</v>
      </c>
      <c r="I79" s="7"/>
      <c r="J79" s="7"/>
      <c r="K79" s="7"/>
      <c r="L79" s="12"/>
      <c r="M79" s="12"/>
      <c r="N79" s="12"/>
    </row>
    <row r="80" spans="1:14" ht="9.75">
      <c r="A80" s="38" t="s">
        <v>133</v>
      </c>
      <c r="B80" s="16"/>
      <c r="C80" s="6"/>
      <c r="D80" s="6">
        <f>$D$78</f>
        <v>0.085</v>
      </c>
      <c r="E80" s="6">
        <f>$E$78</f>
        <v>0.064</v>
      </c>
      <c r="F80" s="6">
        <f>$F$78</f>
        <v>0</v>
      </c>
      <c r="G80" s="6">
        <f>$G$78</f>
        <v>0</v>
      </c>
      <c r="H80" s="7">
        <v>1828</v>
      </c>
      <c r="I80" s="7"/>
      <c r="J80" s="7"/>
      <c r="K80" s="7"/>
      <c r="L80" s="12"/>
      <c r="M80" s="12"/>
      <c r="N80" s="12"/>
    </row>
    <row r="81" spans="1:14" ht="9.75">
      <c r="A81" s="38" t="s">
        <v>134</v>
      </c>
      <c r="B81" s="16"/>
      <c r="C81" s="6"/>
      <c r="D81" s="6">
        <f>$D$78</f>
        <v>0.085</v>
      </c>
      <c r="E81" s="6">
        <f>$E$78</f>
        <v>0.064</v>
      </c>
      <c r="F81" s="6">
        <f>$F$78</f>
        <v>0</v>
      </c>
      <c r="G81" s="6">
        <f>$G$78</f>
        <v>0</v>
      </c>
      <c r="H81" s="7">
        <v>2795</v>
      </c>
      <c r="I81" s="7"/>
      <c r="J81" s="7"/>
      <c r="K81" s="7"/>
      <c r="L81" s="12"/>
      <c r="M81" s="12"/>
      <c r="N81" s="12"/>
    </row>
    <row r="82" spans="1:14" ht="9.75">
      <c r="A82" s="38" t="s">
        <v>135</v>
      </c>
      <c r="B82" s="16"/>
      <c r="C82" s="6"/>
      <c r="D82" s="6">
        <f>$D$78</f>
        <v>0.085</v>
      </c>
      <c r="E82" s="6">
        <f>$E$78</f>
        <v>0.064</v>
      </c>
      <c r="F82" s="6">
        <f>$F$78</f>
        <v>0</v>
      </c>
      <c r="G82" s="6">
        <f>$G$78</f>
        <v>0</v>
      </c>
      <c r="H82" s="7">
        <v>2301</v>
      </c>
      <c r="I82" s="7"/>
      <c r="J82" s="7"/>
      <c r="K82" s="7"/>
      <c r="L82" s="12"/>
      <c r="M82" s="12"/>
      <c r="N82" s="12"/>
    </row>
    <row r="83" spans="1:14" ht="9.75">
      <c r="A83" s="38" t="s">
        <v>136</v>
      </c>
      <c r="B83" s="16"/>
      <c r="C83" s="6"/>
      <c r="D83" s="6">
        <f>$D$78</f>
        <v>0.085</v>
      </c>
      <c r="E83" s="6">
        <f>$E$78</f>
        <v>0.064</v>
      </c>
      <c r="F83" s="6">
        <f>$F$78</f>
        <v>0</v>
      </c>
      <c r="G83" s="6">
        <f>$G$78</f>
        <v>0</v>
      </c>
      <c r="H83" s="7">
        <v>1830</v>
      </c>
      <c r="I83" s="7"/>
      <c r="J83" s="7"/>
      <c r="K83" s="7"/>
      <c r="L83" s="12"/>
      <c r="M83" s="12"/>
      <c r="N83" s="12"/>
    </row>
    <row r="84" spans="1:14" ht="9.75">
      <c r="A84" s="15" t="s">
        <v>65</v>
      </c>
      <c r="B84" s="16"/>
      <c r="C84" s="12"/>
      <c r="D84" s="6"/>
      <c r="E84" s="6"/>
      <c r="F84" s="6"/>
      <c r="G84" s="6"/>
      <c r="H84" s="12"/>
      <c r="I84" s="12"/>
      <c r="J84" s="12"/>
      <c r="K84" s="12"/>
      <c r="L84" s="12"/>
      <c r="M84" s="12"/>
      <c r="N84" s="12"/>
    </row>
    <row r="85" spans="1:14" ht="9.75">
      <c r="A85" s="38" t="s">
        <v>62</v>
      </c>
      <c r="B85" s="16"/>
      <c r="C85" s="6"/>
      <c r="D85" s="6">
        <v>0.081</v>
      </c>
      <c r="E85" s="6">
        <v>0.066</v>
      </c>
      <c r="F85" s="6">
        <v>0.056</v>
      </c>
      <c r="G85" s="6">
        <v>0</v>
      </c>
      <c r="H85" s="7">
        <v>1874</v>
      </c>
      <c r="I85" s="7"/>
      <c r="J85" s="7"/>
      <c r="K85" s="7"/>
      <c r="L85" s="12"/>
      <c r="M85" s="12"/>
      <c r="N85" s="12"/>
    </row>
    <row r="86" spans="1:14" ht="9.75">
      <c r="A86" s="38" t="s">
        <v>132</v>
      </c>
      <c r="B86" s="16"/>
      <c r="C86" s="6"/>
      <c r="D86" s="6">
        <f>$D$85</f>
        <v>0.081</v>
      </c>
      <c r="E86" s="6">
        <f>$E$85</f>
        <v>0.066</v>
      </c>
      <c r="F86" s="6">
        <f>$F$85</f>
        <v>0.056</v>
      </c>
      <c r="G86" s="6">
        <f>$G$85</f>
        <v>0</v>
      </c>
      <c r="H86" s="7">
        <v>2770</v>
      </c>
      <c r="I86" s="7"/>
      <c r="J86" s="7"/>
      <c r="K86" s="7"/>
      <c r="L86" s="12"/>
      <c r="M86" s="12"/>
      <c r="N86" s="12"/>
    </row>
    <row r="87" spans="1:14" ht="9.75">
      <c r="A87" s="38" t="s">
        <v>133</v>
      </c>
      <c r="B87" s="16"/>
      <c r="C87" s="6"/>
      <c r="D87" s="6">
        <f>$D$85</f>
        <v>0.081</v>
      </c>
      <c r="E87" s="6">
        <f>$E$85</f>
        <v>0.066</v>
      </c>
      <c r="F87" s="6">
        <f>$F$85</f>
        <v>0.056</v>
      </c>
      <c r="G87" s="6">
        <f>$G$85</f>
        <v>0</v>
      </c>
      <c r="H87" s="7">
        <v>1273</v>
      </c>
      <c r="I87" s="7"/>
      <c r="J87" s="7"/>
      <c r="K87" s="7"/>
      <c r="L87" s="12"/>
      <c r="M87" s="12"/>
      <c r="N87" s="12"/>
    </row>
    <row r="88" spans="1:14" ht="9.75">
      <c r="A88" s="38" t="s">
        <v>134</v>
      </c>
      <c r="B88" s="16"/>
      <c r="C88" s="6"/>
      <c r="D88" s="6">
        <f>$D$85</f>
        <v>0.081</v>
      </c>
      <c r="E88" s="6">
        <f>$E$85</f>
        <v>0.066</v>
      </c>
      <c r="F88" s="6">
        <f>$F$85</f>
        <v>0.056</v>
      </c>
      <c r="G88" s="6">
        <f>$G$85</f>
        <v>0</v>
      </c>
      <c r="H88" s="7">
        <v>2075</v>
      </c>
      <c r="I88" s="7"/>
      <c r="J88" s="7"/>
      <c r="K88" s="7"/>
      <c r="L88" s="12"/>
      <c r="M88" s="12"/>
      <c r="N88" s="12"/>
    </row>
    <row r="89" spans="1:14" ht="9.75">
      <c r="A89" s="38" t="s">
        <v>135</v>
      </c>
      <c r="B89" s="16"/>
      <c r="C89" s="6"/>
      <c r="D89" s="6">
        <f>$D$85</f>
        <v>0.081</v>
      </c>
      <c r="E89" s="6">
        <f>$E$85</f>
        <v>0.066</v>
      </c>
      <c r="F89" s="6">
        <f>$F$85</f>
        <v>0.056</v>
      </c>
      <c r="G89" s="6">
        <f>$G$85</f>
        <v>0</v>
      </c>
      <c r="H89" s="7">
        <v>2149</v>
      </c>
      <c r="I89" s="7"/>
      <c r="J89" s="7"/>
      <c r="K89" s="7"/>
      <c r="L89" s="12"/>
      <c r="M89" s="12"/>
      <c r="N89" s="12"/>
    </row>
    <row r="90" spans="1:14" ht="9.75">
      <c r="A90" s="38" t="s">
        <v>136</v>
      </c>
      <c r="B90" s="16"/>
      <c r="C90" s="6"/>
      <c r="D90" s="6">
        <f>$D$85</f>
        <v>0.081</v>
      </c>
      <c r="E90" s="6">
        <f>$E$85</f>
        <v>0.066</v>
      </c>
      <c r="F90" s="6">
        <f>$F$85</f>
        <v>0.056</v>
      </c>
      <c r="G90" s="6">
        <f>$G$85</f>
        <v>0</v>
      </c>
      <c r="H90" s="7">
        <v>1337</v>
      </c>
      <c r="I90" s="7"/>
      <c r="J90" s="7"/>
      <c r="K90" s="7"/>
      <c r="L90" s="12"/>
      <c r="M90" s="12"/>
      <c r="N90" s="12"/>
    </row>
    <row r="91" spans="1:14" ht="9.75">
      <c r="A91" s="39" t="s">
        <v>63</v>
      </c>
      <c r="B91" s="1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9.75">
      <c r="A92" s="38" t="s">
        <v>62</v>
      </c>
      <c r="B92" s="16">
        <v>1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9.75">
      <c r="A93" s="38" t="s">
        <v>132</v>
      </c>
      <c r="B93" s="16">
        <v>2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9.75">
      <c r="A94" s="38" t="s">
        <v>133</v>
      </c>
      <c r="B94" s="16">
        <v>3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9.75">
      <c r="A95" s="38" t="s">
        <v>134</v>
      </c>
      <c r="B95" s="16">
        <v>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9.75">
      <c r="A96" s="38" t="s">
        <v>135</v>
      </c>
      <c r="B96" s="16">
        <v>2.5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9.75">
      <c r="A97" s="38" t="s">
        <v>136</v>
      </c>
      <c r="B97" s="16">
        <v>3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9.75">
      <c r="A98" s="39" t="s">
        <v>73</v>
      </c>
      <c r="B98" s="20">
        <v>900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9.75">
      <c r="A99" s="39" t="s">
        <v>74</v>
      </c>
      <c r="B99" s="28">
        <v>0.1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9.75">
      <c r="A100" s="40" t="s">
        <v>80</v>
      </c>
      <c r="B100" s="16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9.75">
      <c r="A101" s="38" t="s">
        <v>127</v>
      </c>
      <c r="B101" s="16">
        <v>1000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9.75">
      <c r="A102" s="11" t="s">
        <v>125</v>
      </c>
      <c r="B102" s="16">
        <f>3000*B73*$B$7/10^9</f>
        <v>2.64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9.75">
      <c r="A103" s="11" t="s">
        <v>126</v>
      </c>
      <c r="B103" s="16">
        <f>0.25*B73*$B$7/1000</f>
        <v>220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9.75">
      <c r="A104" s="15" t="s">
        <v>92</v>
      </c>
      <c r="B104" s="28">
        <v>0.25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9.75">
      <c r="A105" s="2" t="s">
        <v>138</v>
      </c>
      <c r="B105" s="2">
        <v>2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9.75">
      <c r="A106" s="2" t="s">
        <v>140</v>
      </c>
      <c r="B106" s="42">
        <v>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9.75">
      <c r="A107" s="15" t="s">
        <v>139</v>
      </c>
      <c r="B107" s="20">
        <v>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9.75">
      <c r="A108" s="15" t="s">
        <v>141</v>
      </c>
      <c r="B108" s="32">
        <f>B104*0.5</f>
        <v>0.125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9.75">
      <c r="A109" s="15" t="s">
        <v>137</v>
      </c>
      <c r="B109" s="20">
        <v>5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ht="9.75">
      <c r="A110" s="15" t="s">
        <v>102</v>
      </c>
      <c r="B110" s="32">
        <v>0.1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9.75">
      <c r="A111" s="15" t="s">
        <v>103</v>
      </c>
      <c r="B111" s="32">
        <v>0.12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9.75">
      <c r="A112" s="15" t="s">
        <v>118</v>
      </c>
      <c r="B112" s="16">
        <v>1.2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9.75">
      <c r="A113" s="11"/>
      <c r="B113" s="16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s="27" customFormat="1" ht="9.75">
      <c r="A114" s="34" t="s">
        <v>45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1:14" ht="9.75">
      <c r="A115" s="13" t="s">
        <v>15</v>
      </c>
      <c r="B115" s="16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37" ht="9.75">
      <c r="A116" s="11" t="s">
        <v>19</v>
      </c>
      <c r="B116" s="25">
        <v>1</v>
      </c>
      <c r="C116" s="9">
        <f aca="true" t="shared" si="4" ref="C116:AK116">B116*(1+C5)</f>
        <v>1.199</v>
      </c>
      <c r="D116" s="9">
        <f t="shared" si="4"/>
        <v>1.2805320000000002</v>
      </c>
      <c r="E116" s="9">
        <f t="shared" si="4"/>
        <v>1.3829745600000003</v>
      </c>
      <c r="F116" s="9">
        <f t="shared" si="4"/>
        <v>1.4797827792000005</v>
      </c>
      <c r="G116" s="9">
        <f t="shared" si="4"/>
        <v>1.5685697459520005</v>
      </c>
      <c r="H116" s="9">
        <f t="shared" si="4"/>
        <v>1.6469982332496005</v>
      </c>
      <c r="I116" s="9">
        <f t="shared" si="4"/>
        <v>1.7293481449120807</v>
      </c>
      <c r="J116" s="9">
        <f t="shared" si="4"/>
        <v>1.8158155521576849</v>
      </c>
      <c r="K116" s="9">
        <f t="shared" si="4"/>
        <v>1.906606329765569</v>
      </c>
      <c r="L116" s="9">
        <f t="shared" si="4"/>
        <v>2.0019366462538475</v>
      </c>
      <c r="M116" s="9">
        <f t="shared" si="4"/>
        <v>2.1020334785665398</v>
      </c>
      <c r="N116" s="9">
        <f t="shared" si="4"/>
        <v>2.207135152494867</v>
      </c>
      <c r="O116" s="9">
        <f t="shared" si="4"/>
        <v>2.3174919101196103</v>
      </c>
      <c r="P116" s="9">
        <f t="shared" si="4"/>
        <v>2.433366505625591</v>
      </c>
      <c r="Q116" s="9">
        <f t="shared" si="4"/>
        <v>2.555034830906871</v>
      </c>
      <c r="R116" s="9">
        <f t="shared" si="4"/>
        <v>2.6827865724522146</v>
      </c>
      <c r="S116" s="9">
        <f t="shared" si="4"/>
        <v>2.8169259010748253</v>
      </c>
      <c r="T116" s="9">
        <f t="shared" si="4"/>
        <v>2.9577721961285666</v>
      </c>
      <c r="U116" s="9">
        <f t="shared" si="4"/>
        <v>3.105660805934995</v>
      </c>
      <c r="V116" s="9">
        <f t="shared" si="4"/>
        <v>3.260943846231745</v>
      </c>
      <c r="W116" s="9">
        <f t="shared" si="4"/>
        <v>3.423991038543332</v>
      </c>
      <c r="X116" s="9">
        <f t="shared" si="4"/>
        <v>3.595190590470499</v>
      </c>
      <c r="Y116" s="9">
        <f t="shared" si="4"/>
        <v>3.774950119994024</v>
      </c>
      <c r="Z116" s="9">
        <f t="shared" si="4"/>
        <v>3.9636976259937255</v>
      </c>
      <c r="AA116" s="9">
        <f t="shared" si="4"/>
        <v>4.161882507293412</v>
      </c>
      <c r="AB116" s="9">
        <f t="shared" si="4"/>
        <v>4.369976632658083</v>
      </c>
      <c r="AC116" s="9">
        <f t="shared" si="4"/>
        <v>4.588475464290987</v>
      </c>
      <c r="AD116" s="9">
        <f t="shared" si="4"/>
        <v>4.817899237505537</v>
      </c>
      <c r="AE116" s="9">
        <f t="shared" si="4"/>
        <v>5.058794199380814</v>
      </c>
      <c r="AF116" s="9">
        <f t="shared" si="4"/>
        <v>5.311733909349855</v>
      </c>
      <c r="AG116" s="9">
        <f t="shared" si="4"/>
        <v>5.5773206048173485</v>
      </c>
      <c r="AH116" s="9">
        <f t="shared" si="4"/>
        <v>5.856186635058216</v>
      </c>
      <c r="AI116" s="9">
        <f t="shared" si="4"/>
        <v>6.148995966811127</v>
      </c>
      <c r="AJ116" s="9">
        <f t="shared" si="4"/>
        <v>6.456445765151684</v>
      </c>
      <c r="AK116" s="9">
        <f t="shared" si="4"/>
        <v>6.779268053409268</v>
      </c>
    </row>
    <row r="117" spans="1:37" ht="9.75">
      <c r="A117" s="11" t="s">
        <v>20</v>
      </c>
      <c r="B117" s="25">
        <v>1</v>
      </c>
      <c r="C117" s="9">
        <f aca="true" t="shared" si="5" ref="C117:AK117">B117*(1+C6)</f>
        <v>1.008</v>
      </c>
      <c r="D117" s="9">
        <f t="shared" si="5"/>
        <v>1.016064</v>
      </c>
      <c r="E117" s="9">
        <f t="shared" si="5"/>
        <v>1.0241925120000002</v>
      </c>
      <c r="F117" s="9">
        <f t="shared" si="5"/>
        <v>1.0323860520960002</v>
      </c>
      <c r="G117" s="9">
        <f t="shared" si="5"/>
        <v>1.0406451405127681</v>
      </c>
      <c r="H117" s="9">
        <f t="shared" si="5"/>
        <v>1.0489703016368703</v>
      </c>
      <c r="I117" s="9">
        <f t="shared" si="5"/>
        <v>1.0573620640499652</v>
      </c>
      <c r="J117" s="9">
        <f t="shared" si="5"/>
        <v>1.065820960562365</v>
      </c>
      <c r="K117" s="9">
        <f t="shared" si="5"/>
        <v>1.074347528246864</v>
      </c>
      <c r="L117" s="9">
        <f t="shared" si="5"/>
        <v>1.082942308472839</v>
      </c>
      <c r="M117" s="9">
        <f t="shared" si="5"/>
        <v>1.0916058469406216</v>
      </c>
      <c r="N117" s="9">
        <f t="shared" si="5"/>
        <v>1.1003386937161466</v>
      </c>
      <c r="O117" s="9">
        <f t="shared" si="5"/>
        <v>1.1091414032658757</v>
      </c>
      <c r="P117" s="9">
        <f t="shared" si="5"/>
        <v>1.1180145344920027</v>
      </c>
      <c r="Q117" s="9">
        <f t="shared" si="5"/>
        <v>1.1269586507679388</v>
      </c>
      <c r="R117" s="9">
        <f t="shared" si="5"/>
        <v>1.1359743199740824</v>
      </c>
      <c r="S117" s="9">
        <f t="shared" si="5"/>
        <v>1.145062114533875</v>
      </c>
      <c r="T117" s="9">
        <f t="shared" si="5"/>
        <v>1.1542226114501462</v>
      </c>
      <c r="U117" s="9">
        <f t="shared" si="5"/>
        <v>1.1634563923417474</v>
      </c>
      <c r="V117" s="9">
        <f t="shared" si="5"/>
        <v>1.1727640434804814</v>
      </c>
      <c r="W117" s="9">
        <f t="shared" si="5"/>
        <v>1.1821461558283253</v>
      </c>
      <c r="X117" s="9">
        <f t="shared" si="5"/>
        <v>1.1916033250749518</v>
      </c>
      <c r="Y117" s="9">
        <f t="shared" si="5"/>
        <v>1.2011361516755514</v>
      </c>
      <c r="Z117" s="9">
        <f t="shared" si="5"/>
        <v>1.2107452408889559</v>
      </c>
      <c r="AA117" s="9">
        <f t="shared" si="5"/>
        <v>1.2204312028160675</v>
      </c>
      <c r="AB117" s="9">
        <f t="shared" si="5"/>
        <v>1.230194652438596</v>
      </c>
      <c r="AC117" s="9">
        <f t="shared" si="5"/>
        <v>1.2400362096581048</v>
      </c>
      <c r="AD117" s="9">
        <f t="shared" si="5"/>
        <v>1.2499564993353696</v>
      </c>
      <c r="AE117" s="9">
        <f t="shared" si="5"/>
        <v>1.2599561513300526</v>
      </c>
      <c r="AF117" s="9">
        <f t="shared" si="5"/>
        <v>1.270035800540693</v>
      </c>
      <c r="AG117" s="9">
        <f t="shared" si="5"/>
        <v>1.2801960869450186</v>
      </c>
      <c r="AH117" s="9">
        <f t="shared" si="5"/>
        <v>1.2904376556405788</v>
      </c>
      <c r="AI117" s="9">
        <f t="shared" si="5"/>
        <v>1.3007611568857034</v>
      </c>
      <c r="AJ117" s="9">
        <f t="shared" si="5"/>
        <v>1.311167246140789</v>
      </c>
      <c r="AK117" s="9">
        <f t="shared" si="5"/>
        <v>1.3216565841099153</v>
      </c>
    </row>
    <row r="118" spans="1:37" ht="9.75">
      <c r="A118" s="11" t="s">
        <v>18</v>
      </c>
      <c r="B118" s="20">
        <f>B7</f>
        <v>16000</v>
      </c>
      <c r="C118" s="20">
        <f>C7</f>
        <v>16500</v>
      </c>
      <c r="D118" s="20">
        <f>D7</f>
        <v>17800</v>
      </c>
      <c r="E118" s="7">
        <f aca="true" t="shared" si="6" ref="E118:AK118">D118*(1+E5)/(1+E6)</f>
        <v>19071.428571428572</v>
      </c>
      <c r="F118" s="7">
        <f t="shared" si="6"/>
        <v>20244.472789115647</v>
      </c>
      <c r="G118" s="7">
        <f t="shared" si="6"/>
        <v>21288.83051236368</v>
      </c>
      <c r="H118" s="7">
        <f t="shared" si="6"/>
        <v>22175.8651170455</v>
      </c>
      <c r="I118" s="7">
        <f t="shared" si="6"/>
        <v>23099.8594969224</v>
      </c>
      <c r="J118" s="7">
        <f t="shared" si="6"/>
        <v>24062.353642627502</v>
      </c>
      <c r="K118" s="7">
        <f t="shared" si="6"/>
        <v>25064.951711070313</v>
      </c>
      <c r="L118" s="7">
        <f t="shared" si="6"/>
        <v>26109.324699031575</v>
      </c>
      <c r="M118" s="7">
        <f t="shared" si="6"/>
        <v>27197.21322815789</v>
      </c>
      <c r="N118" s="7">
        <f t="shared" si="6"/>
        <v>28330.4304459978</v>
      </c>
      <c r="O118" s="7">
        <f t="shared" si="6"/>
        <v>29510.86504791438</v>
      </c>
      <c r="P118" s="7">
        <f t="shared" si="6"/>
        <v>30740.484424910814</v>
      </c>
      <c r="Q118" s="7">
        <f t="shared" si="6"/>
        <v>32021.33794261543</v>
      </c>
      <c r="R118" s="7">
        <f t="shared" si="6"/>
        <v>33355.560356891074</v>
      </c>
      <c r="S118" s="7">
        <f t="shared" si="6"/>
        <v>34745.37537176153</v>
      </c>
      <c r="T118" s="7">
        <f t="shared" si="6"/>
        <v>36193.09934558493</v>
      </c>
      <c r="U118" s="7">
        <f t="shared" si="6"/>
        <v>37701.14515165097</v>
      </c>
      <c r="V118" s="7">
        <f t="shared" si="6"/>
        <v>39272.02619963643</v>
      </c>
      <c r="W118" s="7">
        <f t="shared" si="6"/>
        <v>40908.36062462128</v>
      </c>
      <c r="X118" s="7">
        <f t="shared" si="6"/>
        <v>42612.87565064717</v>
      </c>
      <c r="Y118" s="7">
        <f t="shared" si="6"/>
        <v>44388.4121360908</v>
      </c>
      <c r="Z118" s="7">
        <f t="shared" si="6"/>
        <v>46237.92930842792</v>
      </c>
      <c r="AA118" s="7">
        <f t="shared" si="6"/>
        <v>48164.509696279085</v>
      </c>
      <c r="AB118" s="7">
        <f t="shared" si="6"/>
        <v>50171.36426695738</v>
      </c>
      <c r="AC118" s="7">
        <f t="shared" si="6"/>
        <v>52261.837778080604</v>
      </c>
      <c r="AD118" s="7">
        <f t="shared" si="6"/>
        <v>54439.414352167296</v>
      </c>
      <c r="AE118" s="7">
        <f t="shared" si="6"/>
        <v>56707.72328350761</v>
      </c>
      <c r="AF118" s="7">
        <f t="shared" si="6"/>
        <v>59070.54508698709</v>
      </c>
      <c r="AG118" s="7">
        <f t="shared" si="6"/>
        <v>61531.81779894489</v>
      </c>
      <c r="AH118" s="7">
        <f t="shared" si="6"/>
        <v>64095.643540567595</v>
      </c>
      <c r="AI118" s="7">
        <f t="shared" si="6"/>
        <v>66766.29535475791</v>
      </c>
      <c r="AJ118" s="7">
        <f t="shared" si="6"/>
        <v>69548.22432787283</v>
      </c>
      <c r="AK118" s="7">
        <f t="shared" si="6"/>
        <v>72446.06700820087</v>
      </c>
    </row>
    <row r="119" spans="1:14" ht="9.75">
      <c r="A119" s="1" t="s">
        <v>46</v>
      </c>
      <c r="B119" s="16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0" ht="9.75">
      <c r="A120" s="11" t="s">
        <v>48</v>
      </c>
      <c r="B120" s="16">
        <f>SUM(C120:G120)</f>
        <v>665.58125</v>
      </c>
      <c r="C120" s="12">
        <f>SUM(C10:C16)+SUM(C19:C25)/$B$118*1000</f>
        <v>65.235625</v>
      </c>
      <c r="D120" s="12">
        <f>SUM(D10:D16)+SUM(D19:D25)/$B$118*1000</f>
        <v>138.67874999999998</v>
      </c>
      <c r="E120" s="12">
        <f>SUM(E10:E16)+SUM(E19:E25)/$B$118*1000</f>
        <v>160.39187499999997</v>
      </c>
      <c r="F120" s="12">
        <f>SUM(F10:F16)+SUM(F19:F25)/$B$118*1000</f>
        <v>152.07812499999997</v>
      </c>
      <c r="G120" s="12">
        <f>SUM(G10:G16)+SUM(G19:G25)/$B$118*1000</f>
        <v>149.19687499999998</v>
      </c>
      <c r="J120" s="9"/>
    </row>
    <row r="121" spans="1:7" ht="9.75">
      <c r="A121" s="11" t="s">
        <v>49</v>
      </c>
      <c r="B121" s="16">
        <f>SUM(C121:G121)</f>
        <v>10649.3</v>
      </c>
      <c r="C121" s="12">
        <f>SUM(C19:C25)+SUM(C10:C16)*$B$118/1000</f>
        <v>1043.77</v>
      </c>
      <c r="D121" s="12">
        <f>SUM(D19:D25)+SUM(D10:D16)*$B$118/1000</f>
        <v>2218.8599999999997</v>
      </c>
      <c r="E121" s="12">
        <f>SUM(E19:E25)+SUM(E10:E16)*$B$118/1000</f>
        <v>2566.2699999999995</v>
      </c>
      <c r="F121" s="12">
        <f>SUM(F19:F25)+SUM(F10:F16)*$B$118/1000</f>
        <v>2433.2499999999995</v>
      </c>
      <c r="G121" s="12">
        <f>SUM(G19:G25)+SUM(G10:G16)*$B$118/1000</f>
        <v>2387.1499999999996</v>
      </c>
    </row>
    <row r="122" spans="1:7" ht="9.75">
      <c r="A122" s="1" t="s">
        <v>47</v>
      </c>
      <c r="B122" s="16"/>
      <c r="C122" s="12"/>
      <c r="D122" s="12"/>
      <c r="E122" s="12"/>
      <c r="F122" s="12"/>
      <c r="G122" s="12"/>
    </row>
    <row r="123" spans="1:7" ht="9.75">
      <c r="A123" s="2" t="s">
        <v>21</v>
      </c>
      <c r="B123" s="16"/>
      <c r="C123" s="12"/>
      <c r="D123" s="12"/>
      <c r="E123" s="12"/>
      <c r="F123" s="12"/>
      <c r="G123" s="12"/>
    </row>
    <row r="124" spans="1:7" ht="9.75">
      <c r="A124" s="11" t="s">
        <v>3</v>
      </c>
      <c r="B124" s="16"/>
      <c r="C124" s="12">
        <f aca="true" t="shared" si="7" ref="C124:G131">C10*C$117</f>
        <v>0</v>
      </c>
      <c r="D124" s="12">
        <f t="shared" si="7"/>
        <v>0.98558208</v>
      </c>
      <c r="E124" s="12">
        <f t="shared" si="7"/>
        <v>2.9906421350400003</v>
      </c>
      <c r="F124" s="12">
        <f t="shared" si="7"/>
        <v>3.0145672721203205</v>
      </c>
      <c r="G124" s="12">
        <f t="shared" si="7"/>
        <v>3.038683810297283</v>
      </c>
    </row>
    <row r="125" spans="1:7" ht="9.75">
      <c r="A125" s="11" t="s">
        <v>4</v>
      </c>
      <c r="B125" s="16"/>
      <c r="C125" s="12">
        <f t="shared" si="7"/>
        <v>3.04416</v>
      </c>
      <c r="D125" s="12">
        <f t="shared" si="7"/>
        <v>4.612930560000001</v>
      </c>
      <c r="E125" s="12">
        <f t="shared" si="7"/>
        <v>0</v>
      </c>
      <c r="F125" s="12">
        <f t="shared" si="7"/>
        <v>0</v>
      </c>
      <c r="G125" s="12">
        <f t="shared" si="7"/>
        <v>0</v>
      </c>
    </row>
    <row r="126" spans="1:7" ht="9.75">
      <c r="A126" s="11" t="s">
        <v>5</v>
      </c>
      <c r="B126" s="16"/>
      <c r="C126" s="12">
        <f t="shared" si="7"/>
        <v>0.31248</v>
      </c>
      <c r="D126" s="12">
        <f t="shared" si="7"/>
        <v>0.31497984</v>
      </c>
      <c r="E126" s="12">
        <f t="shared" si="7"/>
        <v>0.43016085504000007</v>
      </c>
      <c r="F126" s="12">
        <f t="shared" si="7"/>
        <v>0</v>
      </c>
      <c r="G126" s="12">
        <f t="shared" si="7"/>
        <v>0</v>
      </c>
    </row>
    <row r="127" spans="1:7" ht="9.75">
      <c r="A127" s="11" t="s">
        <v>6</v>
      </c>
      <c r="B127" s="16"/>
      <c r="C127" s="12">
        <f t="shared" si="7"/>
        <v>0</v>
      </c>
      <c r="D127" s="12">
        <f t="shared" si="7"/>
        <v>0</v>
      </c>
      <c r="E127" s="12">
        <f t="shared" si="7"/>
        <v>0</v>
      </c>
      <c r="F127" s="12">
        <f t="shared" si="7"/>
        <v>0</v>
      </c>
      <c r="G127" s="12">
        <f t="shared" si="7"/>
        <v>0</v>
      </c>
    </row>
    <row r="128" spans="1:7" ht="9.75">
      <c r="A128" s="11" t="s">
        <v>7</v>
      </c>
      <c r="B128" s="16"/>
      <c r="C128" s="12">
        <f t="shared" si="7"/>
        <v>1.19952</v>
      </c>
      <c r="D128" s="12">
        <f t="shared" si="7"/>
        <v>1.8187545600000001</v>
      </c>
      <c r="E128" s="12">
        <f t="shared" si="7"/>
        <v>3.6666091929600007</v>
      </c>
      <c r="F128" s="12">
        <f t="shared" si="7"/>
        <v>3.695942066503681</v>
      </c>
      <c r="G128" s="12">
        <f t="shared" si="7"/>
        <v>1.862754801517855</v>
      </c>
    </row>
    <row r="129" spans="1:7" ht="9.75">
      <c r="A129" s="11" t="s">
        <v>8</v>
      </c>
      <c r="B129" s="16"/>
      <c r="C129" s="12">
        <f t="shared" si="7"/>
        <v>0</v>
      </c>
      <c r="D129" s="12">
        <f t="shared" si="7"/>
        <v>0</v>
      </c>
      <c r="E129" s="12">
        <f t="shared" si="7"/>
        <v>0</v>
      </c>
      <c r="F129" s="12">
        <f t="shared" si="7"/>
        <v>0</v>
      </c>
      <c r="G129" s="12">
        <f t="shared" si="7"/>
        <v>0</v>
      </c>
    </row>
    <row r="130" spans="1:7" ht="9.75">
      <c r="A130" s="11" t="s">
        <v>9</v>
      </c>
      <c r="B130" s="16"/>
      <c r="C130" s="12">
        <f t="shared" si="7"/>
        <v>1.6430399999999998</v>
      </c>
      <c r="D130" s="12">
        <f t="shared" si="7"/>
        <v>0</v>
      </c>
      <c r="E130" s="12">
        <f t="shared" si="7"/>
        <v>0</v>
      </c>
      <c r="F130" s="12">
        <f t="shared" si="7"/>
        <v>0</v>
      </c>
      <c r="G130" s="12">
        <f t="shared" si="7"/>
        <v>0</v>
      </c>
    </row>
    <row r="131" spans="1:7" ht="9.75">
      <c r="A131" s="11" t="s">
        <v>24</v>
      </c>
      <c r="B131" s="16"/>
      <c r="C131" s="12">
        <f t="shared" si="7"/>
        <v>6.199199999999999</v>
      </c>
      <c r="D131" s="12">
        <f t="shared" si="7"/>
        <v>7.73224704</v>
      </c>
      <c r="E131" s="12">
        <f t="shared" si="7"/>
        <v>7.087412183040001</v>
      </c>
      <c r="F131" s="12">
        <f t="shared" si="7"/>
        <v>6.710509338624002</v>
      </c>
      <c r="G131" s="12">
        <f t="shared" si="7"/>
        <v>4.901438611815138</v>
      </c>
    </row>
    <row r="132" spans="1:7" ht="9.75">
      <c r="A132" s="2" t="s">
        <v>22</v>
      </c>
      <c r="B132" s="16"/>
      <c r="C132" s="12"/>
      <c r="D132" s="12"/>
      <c r="E132" s="12"/>
      <c r="F132" s="12"/>
      <c r="G132" s="12"/>
    </row>
    <row r="133" spans="1:7" ht="9.75">
      <c r="A133" s="11" t="s">
        <v>3</v>
      </c>
      <c r="B133" s="16"/>
      <c r="C133" s="12">
        <f aca="true" t="shared" si="8" ref="C133:G140">C19*C$116</f>
        <v>0</v>
      </c>
      <c r="D133" s="12">
        <f t="shared" si="8"/>
        <v>965.3674641600002</v>
      </c>
      <c r="E133" s="12">
        <f t="shared" si="8"/>
        <v>3127.7905838784004</v>
      </c>
      <c r="F133" s="12">
        <f t="shared" si="8"/>
        <v>3346.735924749889</v>
      </c>
      <c r="G133" s="12">
        <f t="shared" si="8"/>
        <v>3547.540080234882</v>
      </c>
    </row>
    <row r="134" spans="1:7" ht="9.75">
      <c r="A134" s="11" t="s">
        <v>4</v>
      </c>
      <c r="B134" s="16"/>
      <c r="C134" s="12">
        <f t="shared" si="8"/>
        <v>957.8691100000001</v>
      </c>
      <c r="D134" s="12">
        <f t="shared" si="8"/>
        <v>1534.5127168800002</v>
      </c>
      <c r="E134" s="12">
        <f t="shared" si="8"/>
        <v>0</v>
      </c>
      <c r="F134" s="12">
        <f t="shared" si="8"/>
        <v>0</v>
      </c>
      <c r="G134" s="12">
        <f t="shared" si="8"/>
        <v>0</v>
      </c>
    </row>
    <row r="135" spans="1:7" ht="9.75">
      <c r="A135" s="11" t="s">
        <v>5</v>
      </c>
      <c r="B135" s="16"/>
      <c r="C135" s="12">
        <f t="shared" si="8"/>
        <v>113.58127000000002</v>
      </c>
      <c r="D135" s="12">
        <f t="shared" si="8"/>
        <v>121.30479636000003</v>
      </c>
      <c r="E135" s="12">
        <f t="shared" si="8"/>
        <v>174.66968692800003</v>
      </c>
      <c r="F135" s="12">
        <f t="shared" si="8"/>
        <v>0</v>
      </c>
      <c r="G135" s="12">
        <f t="shared" si="8"/>
        <v>0</v>
      </c>
    </row>
    <row r="136" spans="1:7" ht="9.75">
      <c r="A136" s="11" t="s">
        <v>6</v>
      </c>
      <c r="B136" s="16"/>
      <c r="C136" s="12">
        <f t="shared" si="8"/>
        <v>8.908570000000001</v>
      </c>
      <c r="D136" s="12">
        <f t="shared" si="8"/>
        <v>0</v>
      </c>
      <c r="E136" s="12">
        <f t="shared" si="8"/>
        <v>0</v>
      </c>
      <c r="F136" s="12">
        <f t="shared" si="8"/>
        <v>0</v>
      </c>
      <c r="G136" s="12">
        <f t="shared" si="8"/>
        <v>0</v>
      </c>
    </row>
    <row r="137" spans="1:7" ht="9.75">
      <c r="A137" s="11" t="s">
        <v>7</v>
      </c>
      <c r="B137" s="16"/>
      <c r="C137" s="12">
        <f t="shared" si="8"/>
        <v>13.956360000000002</v>
      </c>
      <c r="D137" s="12">
        <f t="shared" si="8"/>
        <v>22.370894040000003</v>
      </c>
      <c r="E137" s="12">
        <f t="shared" si="8"/>
        <v>48.30730138080001</v>
      </c>
      <c r="F137" s="12">
        <f t="shared" si="8"/>
        <v>51.68881247745602</v>
      </c>
      <c r="G137" s="12">
        <f t="shared" si="8"/>
        <v>27.40291346178145</v>
      </c>
    </row>
    <row r="138" spans="1:7" ht="9.75">
      <c r="A138" s="11" t="s">
        <v>8</v>
      </c>
      <c r="B138" s="16"/>
      <c r="C138" s="12">
        <f t="shared" si="8"/>
        <v>39.18332</v>
      </c>
      <c r="D138" s="12">
        <f t="shared" si="8"/>
        <v>41.84778576000001</v>
      </c>
      <c r="E138" s="12">
        <f t="shared" si="8"/>
        <v>45.19560862080001</v>
      </c>
      <c r="F138" s="12">
        <f t="shared" si="8"/>
        <v>48.359301224256015</v>
      </c>
      <c r="G138" s="12">
        <f t="shared" si="8"/>
        <v>51.26085929771138</v>
      </c>
    </row>
    <row r="139" spans="1:7" ht="9.75">
      <c r="A139" s="11" t="s">
        <v>9</v>
      </c>
      <c r="B139" s="16"/>
      <c r="C139" s="12">
        <f t="shared" si="8"/>
        <v>0</v>
      </c>
      <c r="D139" s="12">
        <f t="shared" si="8"/>
        <v>0</v>
      </c>
      <c r="E139" s="12">
        <f t="shared" si="8"/>
        <v>0</v>
      </c>
      <c r="F139" s="12">
        <f t="shared" si="8"/>
        <v>0</v>
      </c>
      <c r="G139" s="12">
        <f t="shared" si="8"/>
        <v>0</v>
      </c>
    </row>
    <row r="140" spans="1:7" ht="9.75">
      <c r="A140" s="11" t="s">
        <v>24</v>
      </c>
      <c r="B140" s="16"/>
      <c r="C140" s="12">
        <f t="shared" si="8"/>
        <v>1133.4986299999998</v>
      </c>
      <c r="D140" s="12">
        <f t="shared" si="8"/>
        <v>2685.4036572</v>
      </c>
      <c r="E140" s="12">
        <f t="shared" si="8"/>
        <v>3395.9631808080003</v>
      </c>
      <c r="F140" s="12">
        <f t="shared" si="8"/>
        <v>3446.7840384516003</v>
      </c>
      <c r="G140" s="12">
        <f t="shared" si="8"/>
        <v>3626.2038529943743</v>
      </c>
    </row>
    <row r="141" spans="1:7" ht="9.75">
      <c r="A141" s="1" t="s">
        <v>25</v>
      </c>
      <c r="B141" s="16"/>
      <c r="C141" s="12"/>
      <c r="D141" s="12"/>
      <c r="E141" s="12"/>
      <c r="F141" s="12"/>
      <c r="G141" s="12"/>
    </row>
    <row r="142" spans="1:7" ht="9.75">
      <c r="A142" s="11" t="s">
        <v>3</v>
      </c>
      <c r="B142" s="16">
        <f aca="true" t="shared" si="9" ref="B142:B149">SUM(C142:G142)</f>
        <v>560.2221967275667</v>
      </c>
      <c r="C142" s="12">
        <f aca="true" t="shared" si="10" ref="C142:G149">C124+C133*1000/C$118</f>
        <v>0</v>
      </c>
      <c r="D142" s="12">
        <f t="shared" si="10"/>
        <v>55.21970928000001</v>
      </c>
      <c r="E142" s="12">
        <f t="shared" si="10"/>
        <v>166.99464278784</v>
      </c>
      <c r="F142" s="12">
        <f t="shared" si="10"/>
        <v>168.33059993014277</v>
      </c>
      <c r="G142" s="12">
        <f t="shared" si="10"/>
        <v>169.6772447295839</v>
      </c>
    </row>
    <row r="143" spans="1:7" ht="9.75">
      <c r="A143" s="11" t="s">
        <v>4</v>
      </c>
      <c r="B143" s="16">
        <f t="shared" si="9"/>
        <v>151.91834349333334</v>
      </c>
      <c r="C143" s="12">
        <f t="shared" si="10"/>
        <v>61.096833333333336</v>
      </c>
      <c r="D143" s="12">
        <f t="shared" si="10"/>
        <v>90.82151016</v>
      </c>
      <c r="E143" s="12">
        <f t="shared" si="10"/>
        <v>0</v>
      </c>
      <c r="F143" s="12">
        <f t="shared" si="10"/>
        <v>0</v>
      </c>
      <c r="G143" s="12">
        <f t="shared" si="10"/>
        <v>0</v>
      </c>
    </row>
    <row r="144" spans="1:7" ht="9.75">
      <c r="A144" s="11" t="s">
        <v>5</v>
      </c>
      <c r="B144" s="16">
        <f t="shared" si="9"/>
        <v>23.91492040437334</v>
      </c>
      <c r="C144" s="12">
        <f t="shared" si="10"/>
        <v>7.196193333333334</v>
      </c>
      <c r="D144" s="12">
        <f t="shared" si="10"/>
        <v>7.129856040000002</v>
      </c>
      <c r="E144" s="12">
        <f t="shared" si="10"/>
        <v>9.588871031040002</v>
      </c>
      <c r="F144" s="12">
        <f t="shared" si="10"/>
        <v>0</v>
      </c>
      <c r="G144" s="12">
        <f t="shared" si="10"/>
        <v>0</v>
      </c>
    </row>
    <row r="145" spans="1:7" ht="9.75">
      <c r="A145" s="11" t="s">
        <v>6</v>
      </c>
      <c r="B145" s="16">
        <f t="shared" si="9"/>
        <v>0.5399133333333335</v>
      </c>
      <c r="C145" s="12">
        <f t="shared" si="10"/>
        <v>0.5399133333333335</v>
      </c>
      <c r="D145" s="12">
        <f t="shared" si="10"/>
        <v>0</v>
      </c>
      <c r="E145" s="12">
        <f t="shared" si="10"/>
        <v>0</v>
      </c>
      <c r="F145" s="12">
        <f t="shared" si="10"/>
        <v>0</v>
      </c>
      <c r="G145" s="12">
        <f t="shared" si="10"/>
        <v>0</v>
      </c>
    </row>
    <row r="146" spans="1:7" ht="9.75">
      <c r="A146" s="11" t="s">
        <v>7</v>
      </c>
      <c r="B146" s="16">
        <f t="shared" si="9"/>
        <v>20.71960713579334</v>
      </c>
      <c r="C146" s="12">
        <f t="shared" si="10"/>
        <v>2.04536</v>
      </c>
      <c r="D146" s="12">
        <f t="shared" si="10"/>
        <v>3.0755463600000006</v>
      </c>
      <c r="E146" s="12">
        <f t="shared" si="10"/>
        <v>6.199576306560001</v>
      </c>
      <c r="F146" s="12">
        <f t="shared" si="10"/>
        <v>6.249172917012482</v>
      </c>
      <c r="G146" s="12">
        <f t="shared" si="10"/>
        <v>3.1499515522208568</v>
      </c>
    </row>
    <row r="147" spans="1:7" ht="9.75">
      <c r="A147" s="11" t="s">
        <v>8</v>
      </c>
      <c r="B147" s="16">
        <f t="shared" si="9"/>
        <v>11.892194487773459</v>
      </c>
      <c r="C147" s="12">
        <f t="shared" si="10"/>
        <v>2.374746666666667</v>
      </c>
      <c r="D147" s="12">
        <f t="shared" si="10"/>
        <v>2.3509992000000004</v>
      </c>
      <c r="E147" s="12">
        <f t="shared" si="10"/>
        <v>2.3698071936000003</v>
      </c>
      <c r="F147" s="12">
        <f t="shared" si="10"/>
        <v>2.3887656511488005</v>
      </c>
      <c r="G147" s="12">
        <f t="shared" si="10"/>
        <v>2.407875776357991</v>
      </c>
    </row>
    <row r="148" spans="1:7" ht="9.75">
      <c r="A148" s="11" t="s">
        <v>9</v>
      </c>
      <c r="B148" s="16">
        <f t="shared" si="9"/>
        <v>1.6430399999999998</v>
      </c>
      <c r="C148" s="12">
        <f t="shared" si="10"/>
        <v>1.6430399999999998</v>
      </c>
      <c r="D148" s="12">
        <f t="shared" si="10"/>
        <v>0</v>
      </c>
      <c r="E148" s="12">
        <f t="shared" si="10"/>
        <v>0</v>
      </c>
      <c r="F148" s="12">
        <f t="shared" si="10"/>
        <v>0</v>
      </c>
      <c r="G148" s="12">
        <f t="shared" si="10"/>
        <v>0</v>
      </c>
    </row>
    <row r="149" spans="1:7" ht="9.75">
      <c r="A149" s="11" t="s">
        <v>24</v>
      </c>
      <c r="B149" s="16">
        <f t="shared" si="9"/>
        <v>770.8502155821734</v>
      </c>
      <c r="C149" s="12">
        <f t="shared" si="10"/>
        <v>74.89608666666666</v>
      </c>
      <c r="D149" s="12">
        <f t="shared" si="10"/>
        <v>158.59762103999998</v>
      </c>
      <c r="E149" s="12">
        <f t="shared" si="10"/>
        <v>185.15289731904</v>
      </c>
      <c r="F149" s="12">
        <f t="shared" si="10"/>
        <v>176.968538498304</v>
      </c>
      <c r="G149" s="12">
        <f t="shared" si="10"/>
        <v>175.2350720581627</v>
      </c>
    </row>
    <row r="150" spans="1:7" ht="9.75">
      <c r="A150" s="1" t="s">
        <v>26</v>
      </c>
      <c r="B150" s="16"/>
      <c r="C150" s="12"/>
      <c r="D150" s="12"/>
      <c r="E150" s="12"/>
      <c r="F150" s="12"/>
      <c r="G150" s="12"/>
    </row>
    <row r="151" spans="1:7" ht="9.75">
      <c r="A151" s="11" t="s">
        <v>3</v>
      </c>
      <c r="B151" s="16">
        <f aca="true" t="shared" si="11" ref="B151:B158">SUM(C151:G151)</f>
        <v>11187.731581637772</v>
      </c>
      <c r="C151" s="12">
        <f aca="true" t="shared" si="12" ref="C151:G158">C133+C124*C$118/1000</f>
        <v>0</v>
      </c>
      <c r="D151" s="12">
        <f t="shared" si="12"/>
        <v>982.9108251840001</v>
      </c>
      <c r="E151" s="12">
        <f t="shared" si="12"/>
        <v>3184.8264017395204</v>
      </c>
      <c r="F151" s="12">
        <f t="shared" si="12"/>
        <v>3407.764249861287</v>
      </c>
      <c r="G151" s="12">
        <f t="shared" si="12"/>
        <v>3612.2301048529644</v>
      </c>
    </row>
    <row r="152" spans="1:7" ht="9.75">
      <c r="A152" s="11" t="s">
        <v>4</v>
      </c>
      <c r="B152" s="16">
        <f t="shared" si="11"/>
        <v>2624.7206308480004</v>
      </c>
      <c r="C152" s="12">
        <f t="shared" si="12"/>
        <v>1008.0977500000001</v>
      </c>
      <c r="D152" s="12">
        <f t="shared" si="12"/>
        <v>1616.6228808480002</v>
      </c>
      <c r="E152" s="12">
        <f t="shared" si="12"/>
        <v>0</v>
      </c>
      <c r="F152" s="12">
        <f t="shared" si="12"/>
        <v>0</v>
      </c>
      <c r="G152" s="12">
        <f t="shared" si="12"/>
        <v>0</v>
      </c>
    </row>
    <row r="153" spans="1:7" ht="9.75">
      <c r="A153" s="11" t="s">
        <v>5</v>
      </c>
      <c r="B153" s="16">
        <f t="shared" si="11"/>
        <v>428.52209646112004</v>
      </c>
      <c r="C153" s="12">
        <f t="shared" si="12"/>
        <v>118.73719000000001</v>
      </c>
      <c r="D153" s="12">
        <f t="shared" si="12"/>
        <v>126.91143751200002</v>
      </c>
      <c r="E153" s="12">
        <f t="shared" si="12"/>
        <v>182.87346894912002</v>
      </c>
      <c r="F153" s="12">
        <f t="shared" si="12"/>
        <v>0</v>
      </c>
      <c r="G153" s="12">
        <f t="shared" si="12"/>
        <v>0</v>
      </c>
    </row>
    <row r="154" spans="1:7" ht="9.75">
      <c r="A154" s="11" t="s">
        <v>6</v>
      </c>
      <c r="B154" s="16">
        <f t="shared" si="11"/>
        <v>8.908570000000001</v>
      </c>
      <c r="C154" s="12">
        <f t="shared" si="12"/>
        <v>8.908570000000001</v>
      </c>
      <c r="D154" s="12">
        <f t="shared" si="12"/>
        <v>0</v>
      </c>
      <c r="E154" s="12">
        <f t="shared" si="12"/>
        <v>0</v>
      </c>
      <c r="F154" s="12">
        <f t="shared" si="12"/>
        <v>0</v>
      </c>
      <c r="G154" s="12">
        <f t="shared" si="12"/>
        <v>0</v>
      </c>
    </row>
    <row r="155" spans="1:7" ht="9.75">
      <c r="A155" s="11" t="s">
        <v>7</v>
      </c>
      <c r="B155" s="16">
        <f t="shared" si="11"/>
        <v>400.2979377020044</v>
      </c>
      <c r="C155" s="12">
        <f t="shared" si="12"/>
        <v>33.74844</v>
      </c>
      <c r="D155" s="12">
        <f t="shared" si="12"/>
        <v>54.744725208000006</v>
      </c>
      <c r="E155" s="12">
        <f t="shared" si="12"/>
        <v>118.23477670368003</v>
      </c>
      <c r="F155" s="12">
        <f t="shared" si="12"/>
        <v>126.51121107293764</v>
      </c>
      <c r="G155" s="12">
        <f t="shared" si="12"/>
        <v>67.0587847173867</v>
      </c>
    </row>
    <row r="156" spans="1:7" ht="9.75">
      <c r="A156" s="11" t="s">
        <v>8</v>
      </c>
      <c r="B156" s="16">
        <f t="shared" si="11"/>
        <v>225.8468749027674</v>
      </c>
      <c r="C156" s="12">
        <f t="shared" si="12"/>
        <v>39.18332</v>
      </c>
      <c r="D156" s="12">
        <f t="shared" si="12"/>
        <v>41.84778576000001</v>
      </c>
      <c r="E156" s="12">
        <f t="shared" si="12"/>
        <v>45.19560862080001</v>
      </c>
      <c r="F156" s="12">
        <f t="shared" si="12"/>
        <v>48.359301224256015</v>
      </c>
      <c r="G156" s="12">
        <f t="shared" si="12"/>
        <v>51.26085929771138</v>
      </c>
    </row>
    <row r="157" spans="1:7" ht="9.75">
      <c r="A157" s="11" t="s">
        <v>9</v>
      </c>
      <c r="B157" s="16">
        <f t="shared" si="11"/>
        <v>27.110159999999997</v>
      </c>
      <c r="C157" s="12">
        <f t="shared" si="12"/>
        <v>27.110159999999997</v>
      </c>
      <c r="D157" s="12">
        <f t="shared" si="12"/>
        <v>0</v>
      </c>
      <c r="E157" s="12">
        <f t="shared" si="12"/>
        <v>0</v>
      </c>
      <c r="F157" s="12">
        <f t="shared" si="12"/>
        <v>0</v>
      </c>
      <c r="G157" s="12">
        <f t="shared" si="12"/>
        <v>0</v>
      </c>
    </row>
    <row r="158" spans="1:7" ht="9.75">
      <c r="A158" s="11" t="s">
        <v>24</v>
      </c>
      <c r="B158" s="16">
        <f t="shared" si="11"/>
        <v>14903.137851551663</v>
      </c>
      <c r="C158" s="12">
        <f t="shared" si="12"/>
        <v>1235.78543</v>
      </c>
      <c r="D158" s="12">
        <f t="shared" si="12"/>
        <v>2823.037654512</v>
      </c>
      <c r="E158" s="12">
        <f t="shared" si="12"/>
        <v>3531.1302560131203</v>
      </c>
      <c r="F158" s="12">
        <f t="shared" si="12"/>
        <v>3582.6347621584805</v>
      </c>
      <c r="G158" s="12">
        <f t="shared" si="12"/>
        <v>3730.5497488680617</v>
      </c>
    </row>
    <row r="159" ht="9.75">
      <c r="A159" s="1" t="s">
        <v>28</v>
      </c>
    </row>
    <row r="160" spans="1:27" ht="9.75">
      <c r="A160" s="11" t="s">
        <v>50</v>
      </c>
      <c r="C160" s="5">
        <f aca="true" t="shared" si="13" ref="C160:AA160">$B$58+$B$59</f>
        <v>0.0436</v>
      </c>
      <c r="D160" s="5">
        <f t="shared" si="13"/>
        <v>0.0436</v>
      </c>
      <c r="E160" s="5">
        <f t="shared" si="13"/>
        <v>0.0436</v>
      </c>
      <c r="F160" s="5">
        <f t="shared" si="13"/>
        <v>0.0436</v>
      </c>
      <c r="G160" s="5">
        <f t="shared" si="13"/>
        <v>0.0436</v>
      </c>
      <c r="H160" s="5">
        <f t="shared" si="13"/>
        <v>0.0436</v>
      </c>
      <c r="I160" s="5">
        <f t="shared" si="13"/>
        <v>0.0436</v>
      </c>
      <c r="J160" s="5">
        <f t="shared" si="13"/>
        <v>0.0436</v>
      </c>
      <c r="K160" s="5">
        <f t="shared" si="13"/>
        <v>0.0436</v>
      </c>
      <c r="L160" s="5">
        <f t="shared" si="13"/>
        <v>0.0436</v>
      </c>
      <c r="M160" s="5">
        <f t="shared" si="13"/>
        <v>0.0436</v>
      </c>
      <c r="N160" s="5">
        <f t="shared" si="13"/>
        <v>0.0436</v>
      </c>
      <c r="O160" s="5">
        <f t="shared" si="13"/>
        <v>0.0436</v>
      </c>
      <c r="P160" s="5">
        <f t="shared" si="13"/>
        <v>0.0436</v>
      </c>
      <c r="Q160" s="5">
        <f t="shared" si="13"/>
        <v>0.0436</v>
      </c>
      <c r="R160" s="5">
        <f t="shared" si="13"/>
        <v>0.0436</v>
      </c>
      <c r="S160" s="5">
        <f t="shared" si="13"/>
        <v>0.0436</v>
      </c>
      <c r="T160" s="5">
        <f t="shared" si="13"/>
        <v>0.0436</v>
      </c>
      <c r="U160" s="5">
        <f t="shared" si="13"/>
        <v>0.0436</v>
      </c>
      <c r="V160" s="5">
        <f t="shared" si="13"/>
        <v>0.0436</v>
      </c>
      <c r="W160" s="5">
        <f t="shared" si="13"/>
        <v>0.0436</v>
      </c>
      <c r="X160" s="5">
        <f t="shared" si="13"/>
        <v>0.0436</v>
      </c>
      <c r="Y160" s="5">
        <f t="shared" si="13"/>
        <v>0.0436</v>
      </c>
      <c r="Z160" s="5">
        <f t="shared" si="13"/>
        <v>0.0436</v>
      </c>
      <c r="AA160" s="5">
        <f t="shared" si="13"/>
        <v>0.0436</v>
      </c>
    </row>
    <row r="161" spans="1:27" ht="9.75">
      <c r="A161" s="11" t="s">
        <v>32</v>
      </c>
      <c r="C161" s="9">
        <v>0</v>
      </c>
      <c r="D161" s="9">
        <f aca="true" t="shared" si="14" ref="D161:AA161">C166</f>
        <v>72.66300000000001</v>
      </c>
      <c r="E161" s="9">
        <f t="shared" si="14"/>
        <v>191.5501068</v>
      </c>
      <c r="F161" s="9">
        <f t="shared" si="14"/>
        <v>256.08369145648</v>
      </c>
      <c r="G161" s="9">
        <f t="shared" si="14"/>
        <v>313.8949404039825</v>
      </c>
      <c r="H161" s="9">
        <f t="shared" si="14"/>
        <v>372.16175980559615</v>
      </c>
      <c r="I161" s="9">
        <f t="shared" si="14"/>
        <v>365.6639551247001</v>
      </c>
      <c r="J161" s="9">
        <f t="shared" si="14"/>
        <v>358.5163699757145</v>
      </c>
      <c r="K161" s="9">
        <f t="shared" si="14"/>
        <v>350.6540263118303</v>
      </c>
      <c r="L161" s="9">
        <f t="shared" si="14"/>
        <v>342.00544828155773</v>
      </c>
      <c r="M161" s="9">
        <f t="shared" si="14"/>
        <v>332.49201244825787</v>
      </c>
      <c r="N161" s="9">
        <f t="shared" si="14"/>
        <v>322.02723303162804</v>
      </c>
      <c r="O161" s="9">
        <f t="shared" si="14"/>
        <v>310.5159756733352</v>
      </c>
      <c r="P161" s="9">
        <f t="shared" si="14"/>
        <v>297.8535925792131</v>
      </c>
      <c r="Q161" s="9">
        <f t="shared" si="14"/>
        <v>283.9249711756788</v>
      </c>
      <c r="R161" s="9">
        <f t="shared" si="14"/>
        <v>268.60348763179104</v>
      </c>
      <c r="S161" s="9">
        <f t="shared" si="14"/>
        <v>251.7498557335145</v>
      </c>
      <c r="T161" s="9">
        <f t="shared" si="14"/>
        <v>233.21086064541032</v>
      </c>
      <c r="U161" s="9">
        <f t="shared" si="14"/>
        <v>212.81796604849572</v>
      </c>
      <c r="V161" s="9">
        <f t="shared" si="14"/>
        <v>190.38578199188964</v>
      </c>
      <c r="W161" s="9">
        <f t="shared" si="14"/>
        <v>165.71037952962297</v>
      </c>
      <c r="X161" s="9">
        <f t="shared" si="14"/>
        <v>138.5674368211296</v>
      </c>
      <c r="Y161" s="9">
        <f t="shared" si="14"/>
        <v>108.71019984178692</v>
      </c>
      <c r="Z161" s="9">
        <f t="shared" si="14"/>
        <v>75.86723916450995</v>
      </c>
      <c r="AA161" s="9">
        <f t="shared" si="14"/>
        <v>39.739982419505296</v>
      </c>
    </row>
    <row r="162" spans="1:27" ht="9.75">
      <c r="A162" s="11" t="s">
        <v>14</v>
      </c>
      <c r="C162" s="9">
        <f>C37</f>
        <v>72.66300000000001</v>
      </c>
      <c r="D162" s="9">
        <f>D37</f>
        <v>115.719</v>
      </c>
      <c r="E162" s="9">
        <f>E37</f>
        <v>56.181999999999995</v>
      </c>
      <c r="F162" s="9">
        <f>F37</f>
        <v>46.646</v>
      </c>
      <c r="G162" s="9">
        <f>G37</f>
        <v>44.581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</row>
    <row r="163" spans="1:27" ht="9.75">
      <c r="A163" s="11" t="s">
        <v>33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f aca="true" t="shared" si="15" ref="H163:AA163">H160*H161</f>
        <v>16.226252727523992</v>
      </c>
      <c r="I163" s="9">
        <f t="shared" si="15"/>
        <v>15.942948443436926</v>
      </c>
      <c r="J163" s="9">
        <f t="shared" si="15"/>
        <v>15.631313730941152</v>
      </c>
      <c r="K163" s="9">
        <f t="shared" si="15"/>
        <v>15.288515547195802</v>
      </c>
      <c r="L163" s="9">
        <f t="shared" si="15"/>
        <v>14.911437545075916</v>
      </c>
      <c r="M163" s="9">
        <f t="shared" si="15"/>
        <v>14.496651742744042</v>
      </c>
      <c r="N163" s="9">
        <f t="shared" si="15"/>
        <v>14.040387360178983</v>
      </c>
      <c r="O163" s="9">
        <f t="shared" si="15"/>
        <v>13.538496539357416</v>
      </c>
      <c r="P163" s="9">
        <f t="shared" si="15"/>
        <v>12.986416636453692</v>
      </c>
      <c r="Q163" s="9">
        <f t="shared" si="15"/>
        <v>12.379128743259596</v>
      </c>
      <c r="R163" s="9">
        <f t="shared" si="15"/>
        <v>11.711112060746089</v>
      </c>
      <c r="S163" s="9">
        <f t="shared" si="15"/>
        <v>10.976293709981231</v>
      </c>
      <c r="T163" s="9">
        <f t="shared" si="15"/>
        <v>10.16799352413989</v>
      </c>
      <c r="U163" s="9">
        <f t="shared" si="15"/>
        <v>9.278863319714413</v>
      </c>
      <c r="V163" s="9">
        <f t="shared" si="15"/>
        <v>8.300820094846388</v>
      </c>
      <c r="W163" s="9">
        <f t="shared" si="15"/>
        <v>7.224972547491562</v>
      </c>
      <c r="X163" s="9">
        <f t="shared" si="15"/>
        <v>6.041540245401251</v>
      </c>
      <c r="Y163" s="9">
        <f t="shared" si="15"/>
        <v>4.739764713101909</v>
      </c>
      <c r="Z163" s="9">
        <f t="shared" si="15"/>
        <v>3.307811627572634</v>
      </c>
      <c r="AA163" s="9">
        <f t="shared" si="15"/>
        <v>1.7326632334904308</v>
      </c>
    </row>
    <row r="164" spans="1:27" ht="9.75">
      <c r="A164" s="11" t="s">
        <v>34</v>
      </c>
      <c r="B164" s="16">
        <f>SUM(C164:G164)</f>
        <v>36.370759805596165</v>
      </c>
      <c r="C164" s="9">
        <f>C161*C160</f>
        <v>0</v>
      </c>
      <c r="D164" s="9">
        <f>D161*D160</f>
        <v>3.1681068000000003</v>
      </c>
      <c r="E164" s="9">
        <f>E161*E160</f>
        <v>8.35158465648</v>
      </c>
      <c r="F164" s="9">
        <f>F161*F160</f>
        <v>11.165248947502528</v>
      </c>
      <c r="G164" s="9">
        <f>G161*G160</f>
        <v>13.685819401613637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</row>
    <row r="165" spans="1:30" ht="9.75">
      <c r="A165" s="11" t="s">
        <v>35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f>$G$166*$B$57/((1+$B$57)^$B$53-1)</f>
        <v>6.497804680896013</v>
      </c>
      <c r="I165" s="9">
        <f aca="true" t="shared" si="16" ref="I165:Z165">IF(I3-5&gt;$B$53,"",H165*(1+$B$57))</f>
        <v>7.147585148985614</v>
      </c>
      <c r="J165" s="9">
        <f t="shared" si="16"/>
        <v>7.862343663884176</v>
      </c>
      <c r="K165" s="9">
        <f t="shared" si="16"/>
        <v>8.648578030272594</v>
      </c>
      <c r="L165" s="9">
        <f t="shared" si="16"/>
        <v>9.513435833299853</v>
      </c>
      <c r="M165" s="9">
        <f t="shared" si="16"/>
        <v>10.46477941662984</v>
      </c>
      <c r="N165" s="9">
        <f t="shared" si="16"/>
        <v>11.511257358292825</v>
      </c>
      <c r="O165" s="9">
        <f t="shared" si="16"/>
        <v>12.66238309412211</v>
      </c>
      <c r="P165" s="9">
        <f t="shared" si="16"/>
        <v>13.928621403534322</v>
      </c>
      <c r="Q165" s="9">
        <f t="shared" si="16"/>
        <v>15.321483543887755</v>
      </c>
      <c r="R165" s="9">
        <f t="shared" si="16"/>
        <v>16.853631898276532</v>
      </c>
      <c r="S165" s="9">
        <f t="shared" si="16"/>
        <v>18.538995088104187</v>
      </c>
      <c r="T165" s="9">
        <f t="shared" si="16"/>
        <v>20.39289459691461</v>
      </c>
      <c r="U165" s="9">
        <f t="shared" si="16"/>
        <v>22.432184056606072</v>
      </c>
      <c r="V165" s="9">
        <f t="shared" si="16"/>
        <v>24.675402462266682</v>
      </c>
      <c r="W165" s="9">
        <f t="shared" si="16"/>
        <v>27.14294270849335</v>
      </c>
      <c r="X165" s="9">
        <f t="shared" si="16"/>
        <v>29.857236979342687</v>
      </c>
      <c r="Y165" s="9">
        <f t="shared" si="16"/>
        <v>32.842960677276956</v>
      </c>
      <c r="Z165" s="9">
        <f t="shared" si="16"/>
        <v>36.12725674500466</v>
      </c>
      <c r="AA165" s="9">
        <f>IF(AA3-5&gt;$B$53,"",Z165*(1+$B$57))</f>
        <v>39.739982419505125</v>
      </c>
      <c r="AB165" s="9">
        <f>IF(AB3-5&gt;$B$53,"",ROUND(AA165*(1+$B$57),3))</f>
      </c>
      <c r="AC165" s="9">
        <f>IF(AC3-5&gt;$B$53,"",ROUND(AB165*(1+$B$57),3))</f>
      </c>
      <c r="AD165" s="9">
        <f>IF(AD3-5&gt;$B$53,"",ROUND(AC165*(1+$B$57),3))</f>
      </c>
    </row>
    <row r="166" spans="1:27" ht="9.75">
      <c r="A166" s="11" t="s">
        <v>36</v>
      </c>
      <c r="C166" s="9">
        <f aca="true" t="shared" si="17" ref="C166:AA166">C161+C162-C165+C164</f>
        <v>72.66300000000001</v>
      </c>
      <c r="D166" s="9">
        <f t="shared" si="17"/>
        <v>191.5501068</v>
      </c>
      <c r="E166" s="9">
        <f t="shared" si="17"/>
        <v>256.08369145648</v>
      </c>
      <c r="F166" s="9">
        <f t="shared" si="17"/>
        <v>313.8949404039825</v>
      </c>
      <c r="G166" s="37">
        <f t="shared" si="17"/>
        <v>372.16175980559615</v>
      </c>
      <c r="H166" s="9">
        <f t="shared" si="17"/>
        <v>365.6639551247001</v>
      </c>
      <c r="I166" s="9">
        <f t="shared" si="17"/>
        <v>358.5163699757145</v>
      </c>
      <c r="J166" s="9">
        <f t="shared" si="17"/>
        <v>350.6540263118303</v>
      </c>
      <c r="K166" s="9">
        <f t="shared" si="17"/>
        <v>342.00544828155773</v>
      </c>
      <c r="L166" s="9">
        <f t="shared" si="17"/>
        <v>332.49201244825787</v>
      </c>
      <c r="M166" s="9">
        <f t="shared" si="17"/>
        <v>322.02723303162804</v>
      </c>
      <c r="N166" s="9">
        <f t="shared" si="17"/>
        <v>310.5159756733352</v>
      </c>
      <c r="O166" s="9">
        <f t="shared" si="17"/>
        <v>297.8535925792131</v>
      </c>
      <c r="P166" s="9">
        <f t="shared" si="17"/>
        <v>283.9249711756788</v>
      </c>
      <c r="Q166" s="9">
        <f t="shared" si="17"/>
        <v>268.60348763179104</v>
      </c>
      <c r="R166" s="9">
        <f t="shared" si="17"/>
        <v>251.7498557335145</v>
      </c>
      <c r="S166" s="9">
        <f t="shared" si="17"/>
        <v>233.21086064541032</v>
      </c>
      <c r="T166" s="9">
        <f t="shared" si="17"/>
        <v>212.81796604849572</v>
      </c>
      <c r="U166" s="9">
        <f t="shared" si="17"/>
        <v>190.38578199188964</v>
      </c>
      <c r="V166" s="9">
        <f t="shared" si="17"/>
        <v>165.71037952962297</v>
      </c>
      <c r="W166" s="9">
        <f t="shared" si="17"/>
        <v>138.5674368211296</v>
      </c>
      <c r="X166" s="9">
        <f t="shared" si="17"/>
        <v>108.71019984178692</v>
      </c>
      <c r="Y166" s="9">
        <f t="shared" si="17"/>
        <v>75.86723916450995</v>
      </c>
      <c r="Z166" s="9">
        <f t="shared" si="17"/>
        <v>39.739982419505296</v>
      </c>
      <c r="AA166" s="9">
        <f t="shared" si="17"/>
        <v>1.7053025658242404E-13</v>
      </c>
    </row>
    <row r="167" spans="1:27" ht="9.75">
      <c r="A167" s="14" t="s">
        <v>82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9.75">
      <c r="A168" s="11" t="s">
        <v>33</v>
      </c>
      <c r="B168" s="30" t="s">
        <v>84</v>
      </c>
      <c r="C168" s="12">
        <f aca="true" t="shared" si="18" ref="C168:AA168">C163*C$118/1000</f>
        <v>0</v>
      </c>
      <c r="D168" s="12">
        <f t="shared" si="18"/>
        <v>0</v>
      </c>
      <c r="E168" s="12">
        <f t="shared" si="18"/>
        <v>0</v>
      </c>
      <c r="F168" s="12">
        <f t="shared" si="18"/>
        <v>0</v>
      </c>
      <c r="G168" s="12">
        <f t="shared" si="18"/>
        <v>0</v>
      </c>
      <c r="H168" s="12">
        <f t="shared" si="18"/>
        <v>359.83119184066373</v>
      </c>
      <c r="I168" s="12">
        <f t="shared" si="18"/>
        <v>368.2798690100706</v>
      </c>
      <c r="J168" s="12">
        <f t="shared" si="18"/>
        <v>376.1261988927651</v>
      </c>
      <c r="K168" s="12">
        <f t="shared" si="18"/>
        <v>383.20590392441045</v>
      </c>
      <c r="L168" s="12">
        <f t="shared" si="18"/>
        <v>389.3275645937174</v>
      </c>
      <c r="M168" s="12">
        <f t="shared" si="18"/>
        <v>394.2685285417564</v>
      </c>
      <c r="N168" s="12">
        <f t="shared" si="18"/>
        <v>397.77021754241736</v>
      </c>
      <c r="O168" s="12">
        <f t="shared" si="18"/>
        <v>399.5327443246326</v>
      </c>
      <c r="P168" s="12">
        <f t="shared" si="18"/>
        <v>399.2087383483074</v>
      </c>
      <c r="Q168" s="12">
        <f t="shared" si="18"/>
        <v>396.3962649230598</v>
      </c>
      <c r="R168" s="12">
        <f t="shared" si="18"/>
        <v>390.6307051885312</v>
      </c>
      <c r="S168" s="12">
        <f t="shared" si="18"/>
        <v>381.3754451440029</v>
      </c>
      <c r="T168" s="12">
        <f t="shared" si="18"/>
        <v>368.01119976445926</v>
      </c>
      <c r="U168" s="12">
        <f t="shared" si="18"/>
        <v>349.82377285888305</v>
      </c>
      <c r="V168" s="12">
        <f t="shared" si="18"/>
        <v>325.9900242432759</v>
      </c>
      <c r="W168" s="12">
        <f t="shared" si="18"/>
        <v>295.5617824757735</v>
      </c>
      <c r="X168" s="12">
        <f t="shared" si="18"/>
        <v>257.4474032156639</v>
      </c>
      <c r="Y168" s="12">
        <f t="shared" si="18"/>
        <v>210.39062951326773</v>
      </c>
      <c r="Z168" s="12">
        <f t="shared" si="18"/>
        <v>152.94636020129934</v>
      </c>
      <c r="AA168" s="12">
        <f t="shared" si="18"/>
        <v>83.45287510983613</v>
      </c>
    </row>
    <row r="169" spans="1:27" ht="9.75">
      <c r="A169" s="11" t="s">
        <v>83</v>
      </c>
      <c r="B169" s="23">
        <f>IRR(C169:AA169)</f>
        <v>0.09115436524028397</v>
      </c>
      <c r="C169" s="12">
        <f aca="true" t="shared" si="19" ref="C169:AA169">(C162-C163-C165)*C$118/1000</f>
        <v>1198.9395000000002</v>
      </c>
      <c r="D169" s="12">
        <f t="shared" si="19"/>
        <v>2059.7982</v>
      </c>
      <c r="E169" s="12">
        <f t="shared" si="19"/>
        <v>1071.471</v>
      </c>
      <c r="F169" s="12">
        <f t="shared" si="19"/>
        <v>944.3236777210885</v>
      </c>
      <c r="G169" s="12">
        <f t="shared" si="19"/>
        <v>949.0773530716851</v>
      </c>
      <c r="H169" s="12">
        <f t="shared" si="19"/>
        <v>-503.9256320011206</v>
      </c>
      <c r="I169" s="12">
        <f t="shared" si="19"/>
        <v>-533.3880816939275</v>
      </c>
      <c r="J169" s="12">
        <f t="shared" si="19"/>
        <v>-565.3126925930177</v>
      </c>
      <c r="K169" s="12">
        <f t="shared" si="19"/>
        <v>-599.9820946226166</v>
      </c>
      <c r="L169" s="12">
        <f t="shared" si="19"/>
        <v>-637.7169497687454</v>
      </c>
      <c r="M169" s="12">
        <f t="shared" si="19"/>
        <v>-678.8813657214758</v>
      </c>
      <c r="N169" s="12">
        <f t="shared" si="19"/>
        <v>-723.8890934775126</v>
      </c>
      <c r="O169" s="12">
        <f t="shared" si="19"/>
        <v>-773.2106230002627</v>
      </c>
      <c r="P169" s="12">
        <f t="shared" si="19"/>
        <v>-827.3813076641336</v>
      </c>
      <c r="Q169" s="12">
        <f t="shared" si="19"/>
        <v>-887.0106672641107</v>
      </c>
      <c r="R169" s="12">
        <f t="shared" si="19"/>
        <v>-952.7930412043188</v>
      </c>
      <c r="S169" s="12">
        <f t="shared" si="19"/>
        <v>-1025.5197884954262</v>
      </c>
      <c r="T169" s="12">
        <f t="shared" si="19"/>
        <v>-1106.0932598546317</v>
      </c>
      <c r="U169" s="12">
        <f t="shared" si="19"/>
        <v>-1195.5428000455395</v>
      </c>
      <c r="V169" s="12">
        <f t="shared" si="19"/>
        <v>-1295.0430762279861</v>
      </c>
      <c r="W169" s="12">
        <f t="shared" si="19"/>
        <v>-1405.9350712082542</v>
      </c>
      <c r="X169" s="12">
        <f t="shared" si="19"/>
        <v>-1529.7501298882983</v>
      </c>
      <c r="Y169" s="12">
        <f t="shared" si="19"/>
        <v>-1668.2375038256612</v>
      </c>
      <c r="Z169" s="12">
        <f t="shared" si="19"/>
        <v>-1823.3959036842505</v>
      </c>
      <c r="AA169" s="12">
        <f t="shared" si="19"/>
        <v>-1997.509643684051</v>
      </c>
    </row>
    <row r="170" ht="9.75">
      <c r="A170" s="1" t="s">
        <v>44</v>
      </c>
    </row>
    <row r="171" spans="1:32" ht="9.75">
      <c r="A171" s="2" t="s">
        <v>32</v>
      </c>
      <c r="C171" s="9">
        <v>0</v>
      </c>
      <c r="D171" s="9">
        <f aca="true" t="shared" si="20" ref="D171:AF171">C176</f>
        <v>1.693</v>
      </c>
      <c r="E171" s="9">
        <f t="shared" si="20"/>
        <v>44.596702</v>
      </c>
      <c r="F171" s="9">
        <f t="shared" si="20"/>
        <v>174.193055828</v>
      </c>
      <c r="G171" s="9">
        <f t="shared" si="20"/>
        <v>306.95475860959203</v>
      </c>
      <c r="H171" s="9">
        <f t="shared" si="20"/>
        <v>441.90612523012635</v>
      </c>
      <c r="I171" s="9">
        <f t="shared" si="20"/>
        <v>441.90612523012635</v>
      </c>
      <c r="J171" s="9">
        <f t="shared" si="20"/>
        <v>441.90612523012635</v>
      </c>
      <c r="K171" s="9">
        <f t="shared" si="20"/>
        <v>441.90612523012635</v>
      </c>
      <c r="L171" s="9">
        <f t="shared" si="20"/>
        <v>441.90612523012635</v>
      </c>
      <c r="M171" s="9">
        <f t="shared" si="20"/>
        <v>441.90612523012635</v>
      </c>
      <c r="N171" s="9">
        <f t="shared" si="20"/>
        <v>434.19061009891874</v>
      </c>
      <c r="O171" s="9">
        <f t="shared" si="20"/>
        <v>425.7035434545904</v>
      </c>
      <c r="P171" s="9">
        <f t="shared" si="20"/>
        <v>416.3677701458291</v>
      </c>
      <c r="Q171" s="9">
        <f t="shared" si="20"/>
        <v>406.09841950619176</v>
      </c>
      <c r="R171" s="9">
        <f t="shared" si="20"/>
        <v>394.8021338025907</v>
      </c>
      <c r="S171" s="9">
        <f t="shared" si="20"/>
        <v>382.37621952862946</v>
      </c>
      <c r="T171" s="9">
        <f t="shared" si="20"/>
        <v>368.70771382727213</v>
      </c>
      <c r="U171" s="9">
        <f t="shared" si="20"/>
        <v>353.67235755577906</v>
      </c>
      <c r="V171" s="9">
        <f t="shared" si="20"/>
        <v>337.1334656571367</v>
      </c>
      <c r="W171" s="9">
        <f t="shared" si="20"/>
        <v>318.9406845686301</v>
      </c>
      <c r="X171" s="9">
        <f t="shared" si="20"/>
        <v>298.92862537127286</v>
      </c>
      <c r="Y171" s="9">
        <f t="shared" si="20"/>
        <v>276.91536025417986</v>
      </c>
      <c r="Z171" s="9">
        <f t="shared" si="20"/>
        <v>252.70076862537758</v>
      </c>
      <c r="AA171" s="9">
        <f t="shared" si="20"/>
        <v>226.06471783369506</v>
      </c>
      <c r="AB171" s="9">
        <f t="shared" si="20"/>
        <v>196.7650619628443</v>
      </c>
      <c r="AC171" s="9">
        <f t="shared" si="20"/>
        <v>164.53544050490845</v>
      </c>
      <c r="AD171" s="9">
        <f t="shared" si="20"/>
        <v>129.082856901179</v>
      </c>
      <c r="AE171" s="9">
        <f t="shared" si="20"/>
        <v>90.08501493707664</v>
      </c>
      <c r="AF171" s="9">
        <f t="shared" si="20"/>
        <v>47.18738877656402</v>
      </c>
    </row>
    <row r="172" spans="1:32" ht="9.75">
      <c r="A172" s="2" t="s">
        <v>14</v>
      </c>
      <c r="C172" s="9">
        <f>C46</f>
        <v>1.693</v>
      </c>
      <c r="D172" s="9">
        <f>D46</f>
        <v>42.88</v>
      </c>
      <c r="E172" s="9">
        <f>E46</f>
        <v>128.972</v>
      </c>
      <c r="F172" s="9">
        <f>F46</f>
        <v>130.323</v>
      </c>
      <c r="G172" s="9">
        <f>G46</f>
        <v>130.65400000000002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</row>
    <row r="173" spans="1:32" ht="9.75">
      <c r="A173" s="2" t="s">
        <v>33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f aca="true" t="shared" si="21" ref="H173:AF173">H171*$B$70</f>
        <v>6.186685753221769</v>
      </c>
      <c r="I173" s="9">
        <f t="shared" si="21"/>
        <v>6.186685753221769</v>
      </c>
      <c r="J173" s="9">
        <f t="shared" si="21"/>
        <v>6.186685753221769</v>
      </c>
      <c r="K173" s="9">
        <f t="shared" si="21"/>
        <v>6.186685753221769</v>
      </c>
      <c r="L173" s="9">
        <f t="shared" si="21"/>
        <v>6.186685753221769</v>
      </c>
      <c r="M173" s="9">
        <f t="shared" si="21"/>
        <v>6.186685753221769</v>
      </c>
      <c r="N173" s="9">
        <f t="shared" si="21"/>
        <v>6.078668541384863</v>
      </c>
      <c r="O173" s="9">
        <f t="shared" si="21"/>
        <v>5.959849608364265</v>
      </c>
      <c r="P173" s="9">
        <f t="shared" si="21"/>
        <v>5.8291487820416075</v>
      </c>
      <c r="Q173" s="9">
        <f t="shared" si="21"/>
        <v>5.685377873086685</v>
      </c>
      <c r="R173" s="9">
        <f t="shared" si="21"/>
        <v>5.527229873236269</v>
      </c>
      <c r="S173" s="9">
        <f t="shared" si="21"/>
        <v>5.353267073400812</v>
      </c>
      <c r="T173" s="9">
        <f t="shared" si="21"/>
        <v>5.16190799358181</v>
      </c>
      <c r="U173" s="9">
        <f t="shared" si="21"/>
        <v>4.951413005780907</v>
      </c>
      <c r="V173" s="9">
        <f t="shared" si="21"/>
        <v>4.719868519199914</v>
      </c>
      <c r="W173" s="9">
        <f t="shared" si="21"/>
        <v>4.465169583960821</v>
      </c>
      <c r="X173" s="9">
        <f t="shared" si="21"/>
        <v>4.18500075519782</v>
      </c>
      <c r="Y173" s="9">
        <f t="shared" si="21"/>
        <v>3.8768150435585182</v>
      </c>
      <c r="Z173" s="9">
        <f t="shared" si="21"/>
        <v>3.537810760755286</v>
      </c>
      <c r="AA173" s="9">
        <f t="shared" si="21"/>
        <v>3.164906049671731</v>
      </c>
      <c r="AB173" s="9">
        <f t="shared" si="21"/>
        <v>2.75471086747982</v>
      </c>
      <c r="AC173" s="9">
        <f t="shared" si="21"/>
        <v>2.3034961670687184</v>
      </c>
      <c r="AD173" s="9">
        <f t="shared" si="21"/>
        <v>1.8071599966165062</v>
      </c>
      <c r="AE173" s="9">
        <f t="shared" si="21"/>
        <v>1.261190209119073</v>
      </c>
      <c r="AF173" s="9">
        <f t="shared" si="21"/>
        <v>0.6606234428718963</v>
      </c>
    </row>
    <row r="174" spans="1:32" ht="9.75">
      <c r="A174" s="2" t="s">
        <v>34</v>
      </c>
      <c r="B174" s="16">
        <f>SUM(C174:G174)</f>
        <v>7.384125230126289</v>
      </c>
      <c r="C174" s="9">
        <f>C171*$B$70</f>
        <v>0</v>
      </c>
      <c r="D174" s="9">
        <f>D171*$B$70</f>
        <v>0.023702</v>
      </c>
      <c r="E174" s="9">
        <f>E171*$B$70</f>
        <v>0.624353828</v>
      </c>
      <c r="F174" s="9">
        <f>F171*$B$70</f>
        <v>2.438702781592</v>
      </c>
      <c r="G174" s="9">
        <f>G171*$B$70</f>
        <v>4.297366620534288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</row>
    <row r="175" spans="1:32" ht="9.75">
      <c r="A175" s="2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f>$G$176*$B$69/((1+$B$69)^$B$65-1)</f>
        <v>7.715515131207624</v>
      </c>
      <c r="N175" s="9">
        <f aca="true" t="shared" si="22" ref="N175:AF175">M175*(1+$B$69)</f>
        <v>8.487066644328387</v>
      </c>
      <c r="O175" s="9">
        <f t="shared" si="22"/>
        <v>9.335773308761226</v>
      </c>
      <c r="P175" s="9">
        <f t="shared" si="22"/>
        <v>10.269350639637349</v>
      </c>
      <c r="Q175" s="9">
        <f t="shared" si="22"/>
        <v>11.296285703601084</v>
      </c>
      <c r="R175" s="9">
        <f t="shared" si="22"/>
        <v>12.425914273961194</v>
      </c>
      <c r="S175" s="9">
        <f t="shared" si="22"/>
        <v>13.668505701357315</v>
      </c>
      <c r="T175" s="9">
        <f t="shared" si="22"/>
        <v>15.035356271493047</v>
      </c>
      <c r="U175" s="9">
        <f t="shared" si="22"/>
        <v>16.53889189864235</v>
      </c>
      <c r="V175" s="9">
        <f t="shared" si="22"/>
        <v>18.19278108850659</v>
      </c>
      <c r="W175" s="9">
        <f t="shared" si="22"/>
        <v>20.01205919735725</v>
      </c>
      <c r="X175" s="9">
        <f t="shared" si="22"/>
        <v>22.013265117092978</v>
      </c>
      <c r="Y175" s="9">
        <f t="shared" si="22"/>
        <v>24.214591628802278</v>
      </c>
      <c r="Z175" s="9">
        <f t="shared" si="22"/>
        <v>26.636050791682507</v>
      </c>
      <c r="AA175" s="9">
        <f t="shared" si="22"/>
        <v>29.29965587085076</v>
      </c>
      <c r="AB175" s="9">
        <f t="shared" si="22"/>
        <v>32.22962145793584</v>
      </c>
      <c r="AC175" s="9">
        <f t="shared" si="22"/>
        <v>35.45258360372943</v>
      </c>
      <c r="AD175" s="9">
        <f t="shared" si="22"/>
        <v>38.99784196410238</v>
      </c>
      <c r="AE175" s="9">
        <f t="shared" si="22"/>
        <v>42.897626160512615</v>
      </c>
      <c r="AF175" s="9">
        <f t="shared" si="22"/>
        <v>47.18738877656388</v>
      </c>
    </row>
    <row r="176" spans="1:32" ht="9.75">
      <c r="A176" s="2" t="s">
        <v>36</v>
      </c>
      <c r="C176" s="9">
        <f aca="true" t="shared" si="23" ref="C176:AF176">C171+C172-C175+C174</f>
        <v>1.693</v>
      </c>
      <c r="D176" s="9">
        <f t="shared" si="23"/>
        <v>44.596702</v>
      </c>
      <c r="E176" s="9">
        <f t="shared" si="23"/>
        <v>174.193055828</v>
      </c>
      <c r="F176" s="9">
        <f t="shared" si="23"/>
        <v>306.95475860959203</v>
      </c>
      <c r="G176" s="37">
        <f t="shared" si="23"/>
        <v>441.90612523012635</v>
      </c>
      <c r="H176" s="9">
        <f t="shared" si="23"/>
        <v>441.90612523012635</v>
      </c>
      <c r="I176" s="9">
        <f t="shared" si="23"/>
        <v>441.90612523012635</v>
      </c>
      <c r="J176" s="9">
        <f t="shared" si="23"/>
        <v>441.90612523012635</v>
      </c>
      <c r="K176" s="9">
        <f t="shared" si="23"/>
        <v>441.90612523012635</v>
      </c>
      <c r="L176" s="9">
        <f t="shared" si="23"/>
        <v>441.90612523012635</v>
      </c>
      <c r="M176" s="9">
        <f t="shared" si="23"/>
        <v>434.19061009891874</v>
      </c>
      <c r="N176" s="9">
        <f t="shared" si="23"/>
        <v>425.7035434545904</v>
      </c>
      <c r="O176" s="9">
        <f t="shared" si="23"/>
        <v>416.3677701458291</v>
      </c>
      <c r="P176" s="9">
        <f t="shared" si="23"/>
        <v>406.09841950619176</v>
      </c>
      <c r="Q176" s="9">
        <f t="shared" si="23"/>
        <v>394.8021338025907</v>
      </c>
      <c r="R176" s="9">
        <f t="shared" si="23"/>
        <v>382.37621952862946</v>
      </c>
      <c r="S176" s="9">
        <f t="shared" si="23"/>
        <v>368.70771382727213</v>
      </c>
      <c r="T176" s="9">
        <f t="shared" si="23"/>
        <v>353.67235755577906</v>
      </c>
      <c r="U176" s="9">
        <f t="shared" si="23"/>
        <v>337.1334656571367</v>
      </c>
      <c r="V176" s="9">
        <f t="shared" si="23"/>
        <v>318.9406845686301</v>
      </c>
      <c r="W176" s="9">
        <f t="shared" si="23"/>
        <v>298.92862537127286</v>
      </c>
      <c r="X176" s="9">
        <f t="shared" si="23"/>
        <v>276.91536025417986</v>
      </c>
      <c r="Y176" s="9">
        <f t="shared" si="23"/>
        <v>252.70076862537758</v>
      </c>
      <c r="Z176" s="9">
        <f t="shared" si="23"/>
        <v>226.06471783369506</v>
      </c>
      <c r="AA176" s="9">
        <f t="shared" si="23"/>
        <v>196.7650619628443</v>
      </c>
      <c r="AB176" s="9">
        <f t="shared" si="23"/>
        <v>164.53544050490845</v>
      </c>
      <c r="AC176" s="9">
        <f t="shared" si="23"/>
        <v>129.082856901179</v>
      </c>
      <c r="AD176" s="9">
        <f t="shared" si="23"/>
        <v>90.08501493707664</v>
      </c>
      <c r="AE176" s="9">
        <f t="shared" si="23"/>
        <v>47.18738877656402</v>
      </c>
      <c r="AF176" s="9">
        <f t="shared" si="23"/>
        <v>1.4210854715202004E-13</v>
      </c>
    </row>
    <row r="177" spans="1:27" ht="9.75">
      <c r="A177" s="14" t="s">
        <v>82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32" ht="9.75">
      <c r="A178" s="11" t="s">
        <v>33</v>
      </c>
      <c r="B178" s="30" t="s">
        <v>84</v>
      </c>
      <c r="C178" s="12">
        <f aca="true" t="shared" si="24" ref="C178:AF178">C173*C$118/1000</f>
        <v>0</v>
      </c>
      <c r="D178" s="12">
        <f t="shared" si="24"/>
        <v>0</v>
      </c>
      <c r="E178" s="12">
        <f t="shared" si="24"/>
        <v>0</v>
      </c>
      <c r="F178" s="12">
        <f t="shared" si="24"/>
        <v>0</v>
      </c>
      <c r="G178" s="12">
        <f t="shared" si="24"/>
        <v>0</v>
      </c>
      <c r="H178" s="12">
        <f t="shared" si="24"/>
        <v>137.195108784993</v>
      </c>
      <c r="I178" s="12">
        <f t="shared" si="24"/>
        <v>142.9115716510344</v>
      </c>
      <c r="J178" s="12">
        <f t="shared" si="24"/>
        <v>148.8662204698275</v>
      </c>
      <c r="K178" s="12">
        <f t="shared" si="24"/>
        <v>155.0689796560703</v>
      </c>
      <c r="L178" s="12">
        <f t="shared" si="24"/>
        <v>161.5301871417399</v>
      </c>
      <c r="M178" s="12">
        <f t="shared" si="24"/>
        <v>168.26061160597908</v>
      </c>
      <c r="N178" s="12">
        <f t="shared" si="24"/>
        <v>172.21129631597876</v>
      </c>
      <c r="O178" s="12">
        <f t="shared" si="24"/>
        <v>175.88031749830319</v>
      </c>
      <c r="P178" s="12">
        <f t="shared" si="24"/>
        <v>179.19085734483787</v>
      </c>
      <c r="Q178" s="12">
        <f t="shared" si="24"/>
        <v>182.05340620557686</v>
      </c>
      <c r="R178" s="12">
        <f t="shared" si="24"/>
        <v>184.36384964314377</v>
      </c>
      <c r="S178" s="12">
        <f t="shared" si="24"/>
        <v>186.00127393060254</v>
      </c>
      <c r="T178" s="12">
        <f t="shared" si="24"/>
        <v>186.82544882447544</v>
      </c>
      <c r="U178" s="12">
        <f t="shared" si="24"/>
        <v>186.6739404367184</v>
      </c>
      <c r="V178" s="12">
        <f t="shared" si="24"/>
        <v>185.3588001448582</v>
      </c>
      <c r="W178" s="12">
        <f t="shared" si="24"/>
        <v>182.66276759075944</v>
      </c>
      <c r="X178" s="12">
        <f t="shared" si="24"/>
        <v>178.33491677910922</v>
      </c>
      <c r="Y178" s="12">
        <f t="shared" si="24"/>
        <v>172.08566392887232</v>
      </c>
      <c r="Z178" s="12">
        <f t="shared" si="24"/>
        <v>163.5810438623985</v>
      </c>
      <c r="AA178" s="12">
        <f t="shared" si="24"/>
        <v>152.43614811722642</v>
      </c>
      <c r="AB178" s="12">
        <f t="shared" si="24"/>
        <v>138.2076023824762</v>
      </c>
      <c r="AC178" s="12">
        <f t="shared" si="24"/>
        <v>120.38494300577581</v>
      </c>
      <c r="AD178" s="12">
        <f t="shared" si="24"/>
        <v>98.38073185646724</v>
      </c>
      <c r="AE178" s="12">
        <f t="shared" si="24"/>
        <v>71.51922538659348</v>
      </c>
      <c r="AF178" s="12">
        <f t="shared" si="24"/>
        <v>39.023386867685</v>
      </c>
    </row>
    <row r="179" spans="1:32" ht="9.75">
      <c r="A179" s="11" t="s">
        <v>83</v>
      </c>
      <c r="B179" s="23">
        <f>IRR(C179:AA179)</f>
        <v>0.027614458627367222</v>
      </c>
      <c r="C179" s="12">
        <f aca="true" t="shared" si="25" ref="C179:AF179">(C172-C173-C175)*C$118/1000</f>
        <v>27.9345</v>
      </c>
      <c r="D179" s="12">
        <f t="shared" si="25"/>
        <v>763.264</v>
      </c>
      <c r="E179" s="12">
        <f t="shared" si="25"/>
        <v>2459.680285714286</v>
      </c>
      <c r="F179" s="12">
        <f t="shared" si="25"/>
        <v>2638.3204272959188</v>
      </c>
      <c r="G179" s="12">
        <f t="shared" si="25"/>
        <v>2781.4708617623646</v>
      </c>
      <c r="H179" s="12">
        <f t="shared" si="25"/>
        <v>-137.195108784993</v>
      </c>
      <c r="I179" s="12">
        <f t="shared" si="25"/>
        <v>-142.9115716510344</v>
      </c>
      <c r="J179" s="12">
        <f t="shared" si="25"/>
        <v>-148.8662204698275</v>
      </c>
      <c r="K179" s="12">
        <f t="shared" si="25"/>
        <v>-155.0689796560703</v>
      </c>
      <c r="L179" s="12">
        <f t="shared" si="25"/>
        <v>-161.5301871417399</v>
      </c>
      <c r="M179" s="12">
        <f t="shared" si="25"/>
        <v>-378.10112179451147</v>
      </c>
      <c r="N179" s="12">
        <f t="shared" si="25"/>
        <v>-412.6535475736721</v>
      </c>
      <c r="O179" s="12">
        <f t="shared" si="25"/>
        <v>-451.38706373107686</v>
      </c>
      <c r="P179" s="12">
        <f t="shared" si="25"/>
        <v>-494.8756707365577</v>
      </c>
      <c r="Q179" s="12">
        <f t="shared" si="25"/>
        <v>-543.7755882169225</v>
      </c>
      <c r="R179" s="12">
        <f t="shared" si="25"/>
        <v>-598.8371831978106</v>
      </c>
      <c r="S179" s="12">
        <f t="shared" si="25"/>
        <v>-660.9186352953251</v>
      </c>
      <c r="T179" s="12">
        <f t="shared" si="25"/>
        <v>-731.0015920548867</v>
      </c>
      <c r="U179" s="12">
        <f t="shared" si="25"/>
        <v>-810.209104554898</v>
      </c>
      <c r="V179" s="12">
        <f t="shared" si="25"/>
        <v>-899.8261756969391</v>
      </c>
      <c r="W179" s="12">
        <f t="shared" si="25"/>
        <v>-1001.3233020775189</v>
      </c>
      <c r="X179" s="12">
        <f t="shared" si="25"/>
        <v>-1116.3834458785213</v>
      </c>
      <c r="Y179" s="12">
        <f t="shared" si="25"/>
        <v>-1246.9329368552822</v>
      </c>
      <c r="Z179" s="12">
        <f t="shared" si="25"/>
        <v>-1395.1768774239097</v>
      </c>
      <c r="AA179" s="12">
        <f t="shared" si="25"/>
        <v>-1563.6397074064582</v>
      </c>
      <c r="AB179" s="12">
        <f t="shared" si="25"/>
        <v>-1755.2116807347215</v>
      </c>
      <c r="AC179" s="12">
        <f t="shared" si="25"/>
        <v>-1973.2021161177233</v>
      </c>
      <c r="AD179" s="12">
        <f t="shared" si="25"/>
        <v>-2221.4004093805743</v>
      </c>
      <c r="AE179" s="12">
        <f t="shared" si="25"/>
        <v>-2504.1459392162997</v>
      </c>
      <c r="AF179" s="12">
        <f t="shared" si="25"/>
        <v>-2826.40816313089</v>
      </c>
    </row>
    <row r="180" ht="9.75">
      <c r="A180" s="1" t="s">
        <v>51</v>
      </c>
    </row>
    <row r="181" spans="1:9" ht="9.75">
      <c r="A181" s="11" t="s">
        <v>3</v>
      </c>
      <c r="B181" s="16">
        <f aca="true" t="shared" si="26" ref="B181:G187">B142</f>
        <v>560.2221967275667</v>
      </c>
      <c r="C181" s="12">
        <f t="shared" si="26"/>
        <v>0</v>
      </c>
      <c r="D181" s="12">
        <f t="shared" si="26"/>
        <v>55.21970928000001</v>
      </c>
      <c r="E181" s="12">
        <f t="shared" si="26"/>
        <v>166.99464278784</v>
      </c>
      <c r="F181" s="12">
        <f t="shared" si="26"/>
        <v>168.33059993014277</v>
      </c>
      <c r="G181" s="12">
        <f t="shared" si="26"/>
        <v>169.6772447295839</v>
      </c>
      <c r="I181" s="43"/>
    </row>
    <row r="182" spans="1:9" ht="9.75">
      <c r="A182" s="11" t="s">
        <v>4</v>
      </c>
      <c r="B182" s="16">
        <f t="shared" si="26"/>
        <v>151.91834349333334</v>
      </c>
      <c r="C182" s="12">
        <f t="shared" si="26"/>
        <v>61.096833333333336</v>
      </c>
      <c r="D182" s="12">
        <f t="shared" si="26"/>
        <v>90.82151016</v>
      </c>
      <c r="E182" s="12">
        <f t="shared" si="26"/>
        <v>0</v>
      </c>
      <c r="F182" s="12">
        <f t="shared" si="26"/>
        <v>0</v>
      </c>
      <c r="G182" s="12">
        <f t="shared" si="26"/>
        <v>0</v>
      </c>
      <c r="I182" s="43"/>
    </row>
    <row r="183" spans="1:7" ht="9.75">
      <c r="A183" s="11" t="s">
        <v>5</v>
      </c>
      <c r="B183" s="16">
        <f t="shared" si="26"/>
        <v>23.91492040437334</v>
      </c>
      <c r="C183" s="12">
        <f t="shared" si="26"/>
        <v>7.196193333333334</v>
      </c>
      <c r="D183" s="12">
        <f t="shared" si="26"/>
        <v>7.129856040000002</v>
      </c>
      <c r="E183" s="12">
        <f t="shared" si="26"/>
        <v>9.588871031040002</v>
      </c>
      <c r="F183" s="12">
        <f t="shared" si="26"/>
        <v>0</v>
      </c>
      <c r="G183" s="12">
        <f t="shared" si="26"/>
        <v>0</v>
      </c>
    </row>
    <row r="184" spans="1:7" ht="9.75">
      <c r="A184" s="11" t="s">
        <v>6</v>
      </c>
      <c r="B184" s="16">
        <f t="shared" si="26"/>
        <v>0.5399133333333335</v>
      </c>
      <c r="C184" s="12">
        <f t="shared" si="26"/>
        <v>0.5399133333333335</v>
      </c>
      <c r="D184" s="12">
        <f t="shared" si="26"/>
        <v>0</v>
      </c>
      <c r="E184" s="12">
        <f t="shared" si="26"/>
        <v>0</v>
      </c>
      <c r="F184" s="12">
        <f t="shared" si="26"/>
        <v>0</v>
      </c>
      <c r="G184" s="12">
        <f t="shared" si="26"/>
        <v>0</v>
      </c>
    </row>
    <row r="185" spans="1:7" ht="9.75">
      <c r="A185" s="11" t="s">
        <v>7</v>
      </c>
      <c r="B185" s="16">
        <f t="shared" si="26"/>
        <v>20.71960713579334</v>
      </c>
      <c r="C185" s="12">
        <f t="shared" si="26"/>
        <v>2.04536</v>
      </c>
      <c r="D185" s="12">
        <f t="shared" si="26"/>
        <v>3.0755463600000006</v>
      </c>
      <c r="E185" s="12">
        <f t="shared" si="26"/>
        <v>6.199576306560001</v>
      </c>
      <c r="F185" s="12">
        <f t="shared" si="26"/>
        <v>6.249172917012482</v>
      </c>
      <c r="G185" s="12">
        <f t="shared" si="26"/>
        <v>3.1499515522208568</v>
      </c>
    </row>
    <row r="186" spans="1:7" ht="9.75">
      <c r="A186" s="11" t="s">
        <v>8</v>
      </c>
      <c r="B186" s="16">
        <f t="shared" si="26"/>
        <v>11.892194487773459</v>
      </c>
      <c r="C186" s="12">
        <f t="shared" si="26"/>
        <v>2.374746666666667</v>
      </c>
      <c r="D186" s="12">
        <f t="shared" si="26"/>
        <v>2.3509992000000004</v>
      </c>
      <c r="E186" s="12">
        <f t="shared" si="26"/>
        <v>2.3698071936000003</v>
      </c>
      <c r="F186" s="12">
        <f t="shared" si="26"/>
        <v>2.3887656511488005</v>
      </c>
      <c r="G186" s="12">
        <f t="shared" si="26"/>
        <v>2.407875776357991</v>
      </c>
    </row>
    <row r="187" spans="1:7" ht="9.75">
      <c r="A187" s="11" t="s">
        <v>9</v>
      </c>
      <c r="B187" s="16">
        <f t="shared" si="26"/>
        <v>1.6430399999999998</v>
      </c>
      <c r="C187" s="12">
        <f t="shared" si="26"/>
        <v>1.6430399999999998</v>
      </c>
      <c r="D187" s="12">
        <f t="shared" si="26"/>
        <v>0</v>
      </c>
      <c r="E187" s="12">
        <f t="shared" si="26"/>
        <v>0</v>
      </c>
      <c r="F187" s="12">
        <f t="shared" si="26"/>
        <v>0</v>
      </c>
      <c r="G187" s="12">
        <f t="shared" si="26"/>
        <v>0</v>
      </c>
    </row>
    <row r="188" spans="1:7" ht="9.75">
      <c r="A188" s="11" t="s">
        <v>34</v>
      </c>
      <c r="B188" s="16">
        <f aca="true" t="shared" si="27" ref="B188:G188">B164+B174</f>
        <v>43.75488503572245</v>
      </c>
      <c r="C188" s="12">
        <f t="shared" si="27"/>
        <v>0</v>
      </c>
      <c r="D188" s="12">
        <f t="shared" si="27"/>
        <v>3.1918088000000004</v>
      </c>
      <c r="E188" s="12">
        <f t="shared" si="27"/>
        <v>8.97593848448</v>
      </c>
      <c r="F188" s="12">
        <f t="shared" si="27"/>
        <v>13.603951729094529</v>
      </c>
      <c r="G188" s="12">
        <f t="shared" si="27"/>
        <v>17.983186022147926</v>
      </c>
    </row>
    <row r="189" spans="1:7" ht="9.75">
      <c r="A189" s="15" t="s">
        <v>24</v>
      </c>
      <c r="B189" s="16">
        <f aca="true" t="shared" si="28" ref="B189:G189">SUM(B181:B188)</f>
        <v>814.6051006178959</v>
      </c>
      <c r="C189" s="12">
        <f t="shared" si="28"/>
        <v>74.89608666666668</v>
      </c>
      <c r="D189" s="12">
        <f t="shared" si="28"/>
        <v>161.78942984</v>
      </c>
      <c r="E189" s="12">
        <f t="shared" si="28"/>
        <v>194.12883580352002</v>
      </c>
      <c r="F189" s="12">
        <f t="shared" si="28"/>
        <v>190.57249022739856</v>
      </c>
      <c r="G189" s="12">
        <f t="shared" si="28"/>
        <v>193.21825808031068</v>
      </c>
    </row>
    <row r="190" ht="9.75">
      <c r="A190" s="1" t="s">
        <v>52</v>
      </c>
    </row>
    <row r="191" spans="1:7" ht="9.75">
      <c r="A191" s="11" t="s">
        <v>3</v>
      </c>
      <c r="B191" s="16">
        <f aca="true" t="shared" si="29" ref="B191:G197">B151</f>
        <v>11187.731581637772</v>
      </c>
      <c r="C191" s="12">
        <f t="shared" si="29"/>
        <v>0</v>
      </c>
      <c r="D191" s="12">
        <f t="shared" si="29"/>
        <v>982.9108251840001</v>
      </c>
      <c r="E191" s="12">
        <f t="shared" si="29"/>
        <v>3184.8264017395204</v>
      </c>
      <c r="F191" s="12">
        <f t="shared" si="29"/>
        <v>3407.764249861287</v>
      </c>
      <c r="G191" s="12">
        <f t="shared" si="29"/>
        <v>3612.2301048529644</v>
      </c>
    </row>
    <row r="192" spans="1:7" ht="9.75">
      <c r="A192" s="11" t="s">
        <v>4</v>
      </c>
      <c r="B192" s="16">
        <f t="shared" si="29"/>
        <v>2624.7206308480004</v>
      </c>
      <c r="C192" s="12">
        <f t="shared" si="29"/>
        <v>1008.0977500000001</v>
      </c>
      <c r="D192" s="12">
        <f t="shared" si="29"/>
        <v>1616.6228808480002</v>
      </c>
      <c r="E192" s="12">
        <f t="shared" si="29"/>
        <v>0</v>
      </c>
      <c r="F192" s="12">
        <f t="shared" si="29"/>
        <v>0</v>
      </c>
      <c r="G192" s="12">
        <f t="shared" si="29"/>
        <v>0</v>
      </c>
    </row>
    <row r="193" spans="1:7" ht="9.75">
      <c r="A193" s="11" t="s">
        <v>5</v>
      </c>
      <c r="B193" s="16">
        <f t="shared" si="29"/>
        <v>428.52209646112004</v>
      </c>
      <c r="C193" s="12">
        <f t="shared" si="29"/>
        <v>118.73719000000001</v>
      </c>
      <c r="D193" s="12">
        <f t="shared" si="29"/>
        <v>126.91143751200002</v>
      </c>
      <c r="E193" s="12">
        <f t="shared" si="29"/>
        <v>182.87346894912002</v>
      </c>
      <c r="F193" s="12">
        <f t="shared" si="29"/>
        <v>0</v>
      </c>
      <c r="G193" s="12">
        <f t="shared" si="29"/>
        <v>0</v>
      </c>
    </row>
    <row r="194" spans="1:7" ht="9.75">
      <c r="A194" s="11" t="s">
        <v>6</v>
      </c>
      <c r="B194" s="16">
        <f t="shared" si="29"/>
        <v>8.908570000000001</v>
      </c>
      <c r="C194" s="12">
        <f t="shared" si="29"/>
        <v>8.908570000000001</v>
      </c>
      <c r="D194" s="12">
        <f t="shared" si="29"/>
        <v>0</v>
      </c>
      <c r="E194" s="12">
        <f t="shared" si="29"/>
        <v>0</v>
      </c>
      <c r="F194" s="12">
        <f t="shared" si="29"/>
        <v>0</v>
      </c>
      <c r="G194" s="12">
        <f t="shared" si="29"/>
        <v>0</v>
      </c>
    </row>
    <row r="195" spans="1:7" ht="9.75">
      <c r="A195" s="11" t="s">
        <v>7</v>
      </c>
      <c r="B195" s="16">
        <f t="shared" si="29"/>
        <v>400.2979377020044</v>
      </c>
      <c r="C195" s="12">
        <f t="shared" si="29"/>
        <v>33.74844</v>
      </c>
      <c r="D195" s="12">
        <f t="shared" si="29"/>
        <v>54.744725208000006</v>
      </c>
      <c r="E195" s="12">
        <f t="shared" si="29"/>
        <v>118.23477670368003</v>
      </c>
      <c r="F195" s="12">
        <f t="shared" si="29"/>
        <v>126.51121107293764</v>
      </c>
      <c r="G195" s="12">
        <f t="shared" si="29"/>
        <v>67.0587847173867</v>
      </c>
    </row>
    <row r="196" spans="1:7" ht="9.75">
      <c r="A196" s="11" t="s">
        <v>8</v>
      </c>
      <c r="B196" s="16">
        <f t="shared" si="29"/>
        <v>225.8468749027674</v>
      </c>
      <c r="C196" s="12">
        <f t="shared" si="29"/>
        <v>39.18332</v>
      </c>
      <c r="D196" s="12">
        <f t="shared" si="29"/>
        <v>41.84778576000001</v>
      </c>
      <c r="E196" s="12">
        <f t="shared" si="29"/>
        <v>45.19560862080001</v>
      </c>
      <c r="F196" s="12">
        <f t="shared" si="29"/>
        <v>48.359301224256015</v>
      </c>
      <c r="G196" s="12">
        <f t="shared" si="29"/>
        <v>51.26085929771138</v>
      </c>
    </row>
    <row r="197" spans="1:7" ht="9.75">
      <c r="A197" s="11" t="s">
        <v>9</v>
      </c>
      <c r="B197" s="16">
        <f t="shared" si="29"/>
        <v>27.110159999999997</v>
      </c>
      <c r="C197" s="12">
        <f t="shared" si="29"/>
        <v>27.110159999999997</v>
      </c>
      <c r="D197" s="12">
        <f t="shared" si="29"/>
        <v>0</v>
      </c>
      <c r="E197" s="12">
        <f t="shared" si="29"/>
        <v>0</v>
      </c>
      <c r="F197" s="12">
        <f t="shared" si="29"/>
        <v>0</v>
      </c>
      <c r="G197" s="12">
        <f t="shared" si="29"/>
        <v>0</v>
      </c>
    </row>
    <row r="198" spans="1:7" ht="9.75">
      <c r="A198" s="11" t="s">
        <v>34</v>
      </c>
      <c r="B198" s="26">
        <f>SUM(C198:G198)</f>
        <v>886.2439962102089</v>
      </c>
      <c r="C198" s="8">
        <f>(C164+C174)*C118/1000</f>
        <v>0</v>
      </c>
      <c r="D198" s="8">
        <f>(D164+D174)*D118/1000</f>
        <v>56.814196640000006</v>
      </c>
      <c r="E198" s="8">
        <f>(E164+E174)*E118/1000</f>
        <v>171.18396966829715</v>
      </c>
      <c r="F198" s="8">
        <f>(F164+F174)*F118/1000</f>
        <v>275.40483060409696</v>
      </c>
      <c r="G198" s="8">
        <f>(G164+G174)*G118/1000</f>
        <v>382.8409992978148</v>
      </c>
    </row>
    <row r="199" spans="1:7" ht="9.75">
      <c r="A199" s="15" t="s">
        <v>24</v>
      </c>
      <c r="B199" s="16">
        <f aca="true" t="shared" si="30" ref="B199:G199">SUM(B191:B198)</f>
        <v>15789.381847761872</v>
      </c>
      <c r="C199" s="12">
        <f t="shared" si="30"/>
        <v>1235.7854300000004</v>
      </c>
      <c r="D199" s="12">
        <f t="shared" si="30"/>
        <v>2879.8518511520006</v>
      </c>
      <c r="E199" s="12">
        <f t="shared" si="30"/>
        <v>3702.314225681418</v>
      </c>
      <c r="F199" s="12">
        <f t="shared" si="30"/>
        <v>3858.0395927625777</v>
      </c>
      <c r="G199" s="12">
        <f t="shared" si="30"/>
        <v>4113.390748165877</v>
      </c>
    </row>
    <row r="200" ht="9.75">
      <c r="A200" s="1" t="s">
        <v>10</v>
      </c>
    </row>
    <row r="201" spans="1:3" ht="9.75">
      <c r="A201" s="2" t="s">
        <v>11</v>
      </c>
      <c r="B201" s="16">
        <f>B145</f>
        <v>0.5399133333333335</v>
      </c>
      <c r="C201" s="4">
        <f>B201/SUM($B$201:$B$203)</f>
        <v>0.0006627893010775317</v>
      </c>
    </row>
    <row r="202" spans="1:3" ht="9.75">
      <c r="A202" s="2" t="s">
        <v>12</v>
      </c>
      <c r="B202" s="16">
        <f>G166</f>
        <v>372.16175980559615</v>
      </c>
      <c r="C202" s="4">
        <f>B202/SUM($B$201:$B$203)</f>
        <v>0.45686005038339844</v>
      </c>
    </row>
    <row r="203" spans="1:3" ht="9.75">
      <c r="A203" s="2" t="s">
        <v>13</v>
      </c>
      <c r="B203" s="36">
        <f>G176</f>
        <v>441.90612523012635</v>
      </c>
      <c r="C203" s="4">
        <f>B203/SUM($B$201:$B$203)</f>
        <v>0.542477160315524</v>
      </c>
    </row>
    <row r="204" ht="9.75">
      <c r="A204" s="1" t="s">
        <v>54</v>
      </c>
    </row>
    <row r="205" spans="1:37" ht="9.75">
      <c r="A205" s="2" t="s">
        <v>120</v>
      </c>
      <c r="C205" s="12">
        <v>0</v>
      </c>
      <c r="D205" s="12">
        <f aca="true" t="shared" si="31" ref="D205:AK205">C208</f>
        <v>227.68768000000003</v>
      </c>
      <c r="E205" s="12">
        <f t="shared" si="31"/>
        <v>1490.9166503040003</v>
      </c>
      <c r="F205" s="12">
        <f t="shared" si="31"/>
        <v>5193.230875985419</v>
      </c>
      <c r="G205" s="12">
        <f t="shared" si="31"/>
        <v>9051.270468747996</v>
      </c>
      <c r="H205" s="12">
        <f t="shared" si="31"/>
        <v>13164.661216913873</v>
      </c>
      <c r="I205" s="12">
        <f t="shared" si="31"/>
        <v>12725.839176350077</v>
      </c>
      <c r="J205" s="12">
        <f t="shared" si="31"/>
        <v>12287.017135786282</v>
      </c>
      <c r="K205" s="12">
        <f t="shared" si="31"/>
        <v>11848.195095222487</v>
      </c>
      <c r="L205" s="12">
        <f t="shared" si="31"/>
        <v>11409.373054658692</v>
      </c>
      <c r="M205" s="12">
        <f t="shared" si="31"/>
        <v>10970.551014094897</v>
      </c>
      <c r="N205" s="12">
        <f t="shared" si="31"/>
        <v>10531.728973531102</v>
      </c>
      <c r="O205" s="12">
        <f t="shared" si="31"/>
        <v>10092.906932967308</v>
      </c>
      <c r="P205" s="12">
        <f t="shared" si="31"/>
        <v>9654.084892403513</v>
      </c>
      <c r="Q205" s="12">
        <f t="shared" si="31"/>
        <v>9215.262851839718</v>
      </c>
      <c r="R205" s="12">
        <f t="shared" si="31"/>
        <v>8776.440811275923</v>
      </c>
      <c r="S205" s="12">
        <f t="shared" si="31"/>
        <v>8337.618770712128</v>
      </c>
      <c r="T205" s="12">
        <f t="shared" si="31"/>
        <v>7898.796730148332</v>
      </c>
      <c r="U205" s="12">
        <f t="shared" si="31"/>
        <v>7459.9746895845365</v>
      </c>
      <c r="V205" s="12">
        <f t="shared" si="31"/>
        <v>7021.152649020741</v>
      </c>
      <c r="W205" s="12">
        <f t="shared" si="31"/>
        <v>6582.330608456945</v>
      </c>
      <c r="X205" s="12">
        <f t="shared" si="31"/>
        <v>6143.508567893149</v>
      </c>
      <c r="Y205" s="12">
        <f t="shared" si="31"/>
        <v>5704.686527329353</v>
      </c>
      <c r="Z205" s="12">
        <f t="shared" si="31"/>
        <v>5265.864486765558</v>
      </c>
      <c r="AA205" s="12">
        <f t="shared" si="31"/>
        <v>4827.042446201762</v>
      </c>
      <c r="AB205" s="12">
        <f t="shared" si="31"/>
        <v>4388.220405637966</v>
      </c>
      <c r="AC205" s="12">
        <f t="shared" si="31"/>
        <v>3949.39836507417</v>
      </c>
      <c r="AD205" s="12">
        <f t="shared" si="31"/>
        <v>3510.5763245103744</v>
      </c>
      <c r="AE205" s="12">
        <f t="shared" si="31"/>
        <v>3071.7542839465787</v>
      </c>
      <c r="AF205" s="12">
        <f t="shared" si="31"/>
        <v>2632.932243382783</v>
      </c>
      <c r="AG205" s="12">
        <f t="shared" si="31"/>
        <v>2194.110202818987</v>
      </c>
      <c r="AH205" s="12">
        <f t="shared" si="31"/>
        <v>1755.2881622551913</v>
      </c>
      <c r="AI205" s="12">
        <f t="shared" si="31"/>
        <v>1316.4661216913955</v>
      </c>
      <c r="AJ205" s="12">
        <f t="shared" si="31"/>
        <v>877.6440811275997</v>
      </c>
      <c r="AK205" s="12">
        <f t="shared" si="31"/>
        <v>438.82204056380397</v>
      </c>
    </row>
    <row r="206" spans="1:37" ht="9.75">
      <c r="A206" s="2" t="s">
        <v>55</v>
      </c>
      <c r="C206" s="12">
        <f>C191+C193+C194+C195+C197+C198+C196</f>
        <v>227.68768000000003</v>
      </c>
      <c r="D206" s="12">
        <f>D191+D193+D194+D195+D197+D198+D196</f>
        <v>1263.2289703040003</v>
      </c>
      <c r="E206" s="12">
        <f>E191+E193+E194+E195+E197+E198+E196</f>
        <v>3702.314225681418</v>
      </c>
      <c r="F206" s="12">
        <f>F191+F193+F194+F195+F197+F198+F196</f>
        <v>3858.0395927625777</v>
      </c>
      <c r="G206" s="12">
        <f>G191+G193+G194+G195+G197+G198+G196</f>
        <v>4113.390748165877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</row>
    <row r="207" spans="1:37" ht="9.75">
      <c r="A207" s="2" t="s">
        <v>53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f aca="true" t="shared" si="32" ref="H207:AK207">$G$208/$B$72</f>
        <v>438.8220405637958</v>
      </c>
      <c r="I207" s="12">
        <f t="shared" si="32"/>
        <v>438.8220405637958</v>
      </c>
      <c r="J207" s="12">
        <f t="shared" si="32"/>
        <v>438.8220405637958</v>
      </c>
      <c r="K207" s="12">
        <f t="shared" si="32"/>
        <v>438.8220405637958</v>
      </c>
      <c r="L207" s="12">
        <f t="shared" si="32"/>
        <v>438.8220405637958</v>
      </c>
      <c r="M207" s="12">
        <f t="shared" si="32"/>
        <v>438.8220405637958</v>
      </c>
      <c r="N207" s="12">
        <f t="shared" si="32"/>
        <v>438.8220405637958</v>
      </c>
      <c r="O207" s="12">
        <f t="shared" si="32"/>
        <v>438.8220405637958</v>
      </c>
      <c r="P207" s="12">
        <f t="shared" si="32"/>
        <v>438.8220405637958</v>
      </c>
      <c r="Q207" s="12">
        <f t="shared" si="32"/>
        <v>438.8220405637958</v>
      </c>
      <c r="R207" s="12">
        <f t="shared" si="32"/>
        <v>438.8220405637958</v>
      </c>
      <c r="S207" s="12">
        <f t="shared" si="32"/>
        <v>438.8220405637958</v>
      </c>
      <c r="T207" s="12">
        <f t="shared" si="32"/>
        <v>438.8220405637958</v>
      </c>
      <c r="U207" s="12">
        <f t="shared" si="32"/>
        <v>438.8220405637958</v>
      </c>
      <c r="V207" s="12">
        <f t="shared" si="32"/>
        <v>438.8220405637958</v>
      </c>
      <c r="W207" s="12">
        <f t="shared" si="32"/>
        <v>438.8220405637958</v>
      </c>
      <c r="X207" s="12">
        <f t="shared" si="32"/>
        <v>438.8220405637958</v>
      </c>
      <c r="Y207" s="12">
        <f t="shared" si="32"/>
        <v>438.8220405637958</v>
      </c>
      <c r="Z207" s="12">
        <f t="shared" si="32"/>
        <v>438.8220405637958</v>
      </c>
      <c r="AA207" s="12">
        <f t="shared" si="32"/>
        <v>438.8220405637958</v>
      </c>
      <c r="AB207" s="12">
        <f t="shared" si="32"/>
        <v>438.8220405637958</v>
      </c>
      <c r="AC207" s="12">
        <f t="shared" si="32"/>
        <v>438.8220405637958</v>
      </c>
      <c r="AD207" s="12">
        <f t="shared" si="32"/>
        <v>438.8220405637958</v>
      </c>
      <c r="AE207" s="12">
        <f t="shared" si="32"/>
        <v>438.8220405637958</v>
      </c>
      <c r="AF207" s="12">
        <f t="shared" si="32"/>
        <v>438.8220405637958</v>
      </c>
      <c r="AG207" s="12">
        <f t="shared" si="32"/>
        <v>438.8220405637958</v>
      </c>
      <c r="AH207" s="12">
        <f t="shared" si="32"/>
        <v>438.8220405637958</v>
      </c>
      <c r="AI207" s="12">
        <f t="shared" si="32"/>
        <v>438.8220405637958</v>
      </c>
      <c r="AJ207" s="12">
        <f t="shared" si="32"/>
        <v>438.8220405637958</v>
      </c>
      <c r="AK207" s="12">
        <f t="shared" si="32"/>
        <v>438.8220405637958</v>
      </c>
    </row>
    <row r="208" spans="1:37" ht="9.75">
      <c r="A208" s="2" t="s">
        <v>121</v>
      </c>
      <c r="B208" s="16"/>
      <c r="C208" s="12">
        <f aca="true" t="shared" si="33" ref="C208:AK208">C205-C207+C206</f>
        <v>227.68768000000003</v>
      </c>
      <c r="D208" s="12">
        <f t="shared" si="33"/>
        <v>1490.9166503040003</v>
      </c>
      <c r="E208" s="12">
        <f t="shared" si="33"/>
        <v>5193.230875985419</v>
      </c>
      <c r="F208" s="12">
        <f t="shared" si="33"/>
        <v>9051.270468747996</v>
      </c>
      <c r="G208" s="12">
        <f t="shared" si="33"/>
        <v>13164.661216913873</v>
      </c>
      <c r="H208" s="12">
        <f t="shared" si="33"/>
        <v>12725.839176350077</v>
      </c>
      <c r="I208" s="12">
        <f t="shared" si="33"/>
        <v>12287.017135786282</v>
      </c>
      <c r="J208" s="12">
        <f t="shared" si="33"/>
        <v>11848.195095222487</v>
      </c>
      <c r="K208" s="12">
        <f t="shared" si="33"/>
        <v>11409.373054658692</v>
      </c>
      <c r="L208" s="12">
        <f t="shared" si="33"/>
        <v>10970.551014094897</v>
      </c>
      <c r="M208" s="12">
        <f t="shared" si="33"/>
        <v>10531.728973531102</v>
      </c>
      <c r="N208" s="12">
        <f t="shared" si="33"/>
        <v>10092.906932967308</v>
      </c>
      <c r="O208" s="12">
        <f t="shared" si="33"/>
        <v>9654.084892403513</v>
      </c>
      <c r="P208" s="12">
        <f t="shared" si="33"/>
        <v>9215.262851839718</v>
      </c>
      <c r="Q208" s="12">
        <f t="shared" si="33"/>
        <v>8776.440811275923</v>
      </c>
      <c r="R208" s="12">
        <f t="shared" si="33"/>
        <v>8337.618770712128</v>
      </c>
      <c r="S208" s="12">
        <f t="shared" si="33"/>
        <v>7898.796730148332</v>
      </c>
      <c r="T208" s="12">
        <f t="shared" si="33"/>
        <v>7459.9746895845365</v>
      </c>
      <c r="U208" s="12">
        <f t="shared" si="33"/>
        <v>7021.152649020741</v>
      </c>
      <c r="V208" s="12">
        <f t="shared" si="33"/>
        <v>6582.330608456945</v>
      </c>
      <c r="W208" s="12">
        <f t="shared" si="33"/>
        <v>6143.508567893149</v>
      </c>
      <c r="X208" s="12">
        <f t="shared" si="33"/>
        <v>5704.686527329353</v>
      </c>
      <c r="Y208" s="12">
        <f t="shared" si="33"/>
        <v>5265.864486765558</v>
      </c>
      <c r="Z208" s="12">
        <f t="shared" si="33"/>
        <v>4827.042446201762</v>
      </c>
      <c r="AA208" s="12">
        <f t="shared" si="33"/>
        <v>4388.220405637966</v>
      </c>
      <c r="AB208" s="12">
        <f t="shared" si="33"/>
        <v>3949.39836507417</v>
      </c>
      <c r="AC208" s="12">
        <f t="shared" si="33"/>
        <v>3510.5763245103744</v>
      </c>
      <c r="AD208" s="12">
        <f t="shared" si="33"/>
        <v>3071.7542839465787</v>
      </c>
      <c r="AE208" s="12">
        <f t="shared" si="33"/>
        <v>2632.932243382783</v>
      </c>
      <c r="AF208" s="12">
        <f t="shared" si="33"/>
        <v>2194.110202818987</v>
      </c>
      <c r="AG208" s="12">
        <f t="shared" si="33"/>
        <v>1755.2881622551913</v>
      </c>
      <c r="AH208" s="12">
        <f t="shared" si="33"/>
        <v>1316.4661216913955</v>
      </c>
      <c r="AI208" s="12">
        <f t="shared" si="33"/>
        <v>877.6440811275997</v>
      </c>
      <c r="AJ208" s="12">
        <f t="shared" si="33"/>
        <v>438.82204056380397</v>
      </c>
      <c r="AK208" s="12">
        <f t="shared" si="33"/>
        <v>8.185452315956354E-12</v>
      </c>
    </row>
    <row r="209" spans="1:7" ht="9.75">
      <c r="A209" s="13" t="s">
        <v>58</v>
      </c>
      <c r="G209" s="12"/>
    </row>
    <row r="210" spans="1:7" ht="9.75">
      <c r="A210" s="15" t="s">
        <v>64</v>
      </c>
      <c r="G210" s="12"/>
    </row>
    <row r="211" spans="1:37" ht="9.75">
      <c r="A211" s="38" t="s">
        <v>62</v>
      </c>
      <c r="H211" s="7">
        <f aca="true" t="shared" si="34" ref="H211:H216">H78</f>
        <v>3913</v>
      </c>
      <c r="I211" s="7">
        <f aca="true" t="shared" si="35" ref="I211:O216">ROUND(H211*(1+$D78),0)</f>
        <v>4246</v>
      </c>
      <c r="J211" s="7">
        <f t="shared" si="35"/>
        <v>4607</v>
      </c>
      <c r="K211" s="7">
        <f t="shared" si="35"/>
        <v>4999</v>
      </c>
      <c r="L211" s="7">
        <f t="shared" si="35"/>
        <v>5424</v>
      </c>
      <c r="M211" s="7">
        <f t="shared" si="35"/>
        <v>5885</v>
      </c>
      <c r="N211" s="7">
        <f t="shared" si="35"/>
        <v>6385</v>
      </c>
      <c r="O211" s="7">
        <f t="shared" si="35"/>
        <v>6928</v>
      </c>
      <c r="P211" s="7">
        <f aca="true" t="shared" si="36" ref="P211:T216">ROUND(O211*(1+$E78),0)</f>
        <v>7371</v>
      </c>
      <c r="Q211" s="7">
        <f t="shared" si="36"/>
        <v>7843</v>
      </c>
      <c r="R211" s="7">
        <f t="shared" si="36"/>
        <v>8345</v>
      </c>
      <c r="S211" s="7">
        <f t="shared" si="36"/>
        <v>8879</v>
      </c>
      <c r="T211" s="7">
        <f t="shared" si="36"/>
        <v>9447</v>
      </c>
      <c r="U211" s="7">
        <f aca="true" t="shared" si="37" ref="U211:Y216">ROUND(T211*(1+$F78),0)</f>
        <v>9447</v>
      </c>
      <c r="V211" s="7">
        <f t="shared" si="37"/>
        <v>9447</v>
      </c>
      <c r="W211" s="7">
        <f t="shared" si="37"/>
        <v>9447</v>
      </c>
      <c r="X211" s="7">
        <f t="shared" si="37"/>
        <v>9447</v>
      </c>
      <c r="Y211" s="7">
        <f t="shared" si="37"/>
        <v>9447</v>
      </c>
      <c r="Z211" s="7">
        <f aca="true" t="shared" si="38" ref="Z211:AK211">ROUND(Y211*(1+$G78),0)</f>
        <v>9447</v>
      </c>
      <c r="AA211" s="7">
        <f t="shared" si="38"/>
        <v>9447</v>
      </c>
      <c r="AB211" s="7">
        <f t="shared" si="38"/>
        <v>9447</v>
      </c>
      <c r="AC211" s="7">
        <f t="shared" si="38"/>
        <v>9447</v>
      </c>
      <c r="AD211" s="7">
        <f t="shared" si="38"/>
        <v>9447</v>
      </c>
      <c r="AE211" s="7">
        <f t="shared" si="38"/>
        <v>9447</v>
      </c>
      <c r="AF211" s="7">
        <f t="shared" si="38"/>
        <v>9447</v>
      </c>
      <c r="AG211" s="7">
        <f t="shared" si="38"/>
        <v>9447</v>
      </c>
      <c r="AH211" s="7">
        <f t="shared" si="38"/>
        <v>9447</v>
      </c>
      <c r="AI211" s="7">
        <f t="shared" si="38"/>
        <v>9447</v>
      </c>
      <c r="AJ211" s="7">
        <f t="shared" si="38"/>
        <v>9447</v>
      </c>
      <c r="AK211" s="7">
        <f t="shared" si="38"/>
        <v>9447</v>
      </c>
    </row>
    <row r="212" spans="1:37" ht="9.75">
      <c r="A212" s="38" t="s">
        <v>132</v>
      </c>
      <c r="H212" s="7">
        <f t="shared" si="34"/>
        <v>4534</v>
      </c>
      <c r="I212" s="7">
        <f t="shared" si="35"/>
        <v>4919</v>
      </c>
      <c r="J212" s="7">
        <f t="shared" si="35"/>
        <v>5337</v>
      </c>
      <c r="K212" s="7">
        <f t="shared" si="35"/>
        <v>5791</v>
      </c>
      <c r="L212" s="7">
        <f t="shared" si="35"/>
        <v>6283</v>
      </c>
      <c r="M212" s="7">
        <f t="shared" si="35"/>
        <v>6817</v>
      </c>
      <c r="N212" s="7">
        <f t="shared" si="35"/>
        <v>7396</v>
      </c>
      <c r="O212" s="7">
        <f t="shared" si="35"/>
        <v>8025</v>
      </c>
      <c r="P212" s="7">
        <f t="shared" si="36"/>
        <v>8539</v>
      </c>
      <c r="Q212" s="7">
        <f t="shared" si="36"/>
        <v>9085</v>
      </c>
      <c r="R212" s="7">
        <f t="shared" si="36"/>
        <v>9666</v>
      </c>
      <c r="S212" s="7">
        <f t="shared" si="36"/>
        <v>10285</v>
      </c>
      <c r="T212" s="7">
        <f t="shared" si="36"/>
        <v>10943</v>
      </c>
      <c r="U212" s="7">
        <f t="shared" si="37"/>
        <v>10943</v>
      </c>
      <c r="V212" s="7">
        <f t="shared" si="37"/>
        <v>10943</v>
      </c>
      <c r="W212" s="7">
        <f t="shared" si="37"/>
        <v>10943</v>
      </c>
      <c r="X212" s="7">
        <f t="shared" si="37"/>
        <v>10943</v>
      </c>
      <c r="Y212" s="7">
        <f t="shared" si="37"/>
        <v>10943</v>
      </c>
      <c r="Z212" s="7">
        <f aca="true" t="shared" si="39" ref="Z212:AK212">ROUND(Y212*(1+$G79),0)</f>
        <v>10943</v>
      </c>
      <c r="AA212" s="7">
        <f t="shared" si="39"/>
        <v>10943</v>
      </c>
      <c r="AB212" s="7">
        <f t="shared" si="39"/>
        <v>10943</v>
      </c>
      <c r="AC212" s="7">
        <f t="shared" si="39"/>
        <v>10943</v>
      </c>
      <c r="AD212" s="7">
        <f t="shared" si="39"/>
        <v>10943</v>
      </c>
      <c r="AE212" s="7">
        <f t="shared" si="39"/>
        <v>10943</v>
      </c>
      <c r="AF212" s="7">
        <f t="shared" si="39"/>
        <v>10943</v>
      </c>
      <c r="AG212" s="7">
        <f t="shared" si="39"/>
        <v>10943</v>
      </c>
      <c r="AH212" s="7">
        <f t="shared" si="39"/>
        <v>10943</v>
      </c>
      <c r="AI212" s="7">
        <f t="shared" si="39"/>
        <v>10943</v>
      </c>
      <c r="AJ212" s="7">
        <f t="shared" si="39"/>
        <v>10943</v>
      </c>
      <c r="AK212" s="7">
        <f t="shared" si="39"/>
        <v>10943</v>
      </c>
    </row>
    <row r="213" spans="1:37" ht="9.75">
      <c r="A213" s="38" t="s">
        <v>133</v>
      </c>
      <c r="H213" s="7">
        <f t="shared" si="34"/>
        <v>1828</v>
      </c>
      <c r="I213" s="7">
        <f t="shared" si="35"/>
        <v>1983</v>
      </c>
      <c r="J213" s="7">
        <f t="shared" si="35"/>
        <v>2152</v>
      </c>
      <c r="K213" s="7">
        <f t="shared" si="35"/>
        <v>2335</v>
      </c>
      <c r="L213" s="7">
        <f t="shared" si="35"/>
        <v>2533</v>
      </c>
      <c r="M213" s="7">
        <f t="shared" si="35"/>
        <v>2748</v>
      </c>
      <c r="N213" s="7">
        <f t="shared" si="35"/>
        <v>2982</v>
      </c>
      <c r="O213" s="7">
        <f t="shared" si="35"/>
        <v>3235</v>
      </c>
      <c r="P213" s="7">
        <f t="shared" si="36"/>
        <v>3442</v>
      </c>
      <c r="Q213" s="7">
        <f t="shared" si="36"/>
        <v>3662</v>
      </c>
      <c r="R213" s="7">
        <f t="shared" si="36"/>
        <v>3896</v>
      </c>
      <c r="S213" s="7">
        <f t="shared" si="36"/>
        <v>4145</v>
      </c>
      <c r="T213" s="7">
        <f t="shared" si="36"/>
        <v>4410</v>
      </c>
      <c r="U213" s="7">
        <f t="shared" si="37"/>
        <v>4410</v>
      </c>
      <c r="V213" s="7">
        <f t="shared" si="37"/>
        <v>4410</v>
      </c>
      <c r="W213" s="7">
        <f t="shared" si="37"/>
        <v>4410</v>
      </c>
      <c r="X213" s="7">
        <f t="shared" si="37"/>
        <v>4410</v>
      </c>
      <c r="Y213" s="7">
        <f t="shared" si="37"/>
        <v>4410</v>
      </c>
      <c r="Z213" s="7">
        <f aca="true" t="shared" si="40" ref="Z213:AK213">ROUND(Y213*(1+$G80),0)</f>
        <v>4410</v>
      </c>
      <c r="AA213" s="7">
        <f t="shared" si="40"/>
        <v>4410</v>
      </c>
      <c r="AB213" s="7">
        <f t="shared" si="40"/>
        <v>4410</v>
      </c>
      <c r="AC213" s="7">
        <f t="shared" si="40"/>
        <v>4410</v>
      </c>
      <c r="AD213" s="7">
        <f t="shared" si="40"/>
        <v>4410</v>
      </c>
      <c r="AE213" s="7">
        <f t="shared" si="40"/>
        <v>4410</v>
      </c>
      <c r="AF213" s="7">
        <f t="shared" si="40"/>
        <v>4410</v>
      </c>
      <c r="AG213" s="7">
        <f t="shared" si="40"/>
        <v>4410</v>
      </c>
      <c r="AH213" s="7">
        <f t="shared" si="40"/>
        <v>4410</v>
      </c>
      <c r="AI213" s="7">
        <f t="shared" si="40"/>
        <v>4410</v>
      </c>
      <c r="AJ213" s="7">
        <f t="shared" si="40"/>
        <v>4410</v>
      </c>
      <c r="AK213" s="7">
        <f t="shared" si="40"/>
        <v>4410</v>
      </c>
    </row>
    <row r="214" spans="1:37" ht="9.75">
      <c r="A214" s="38" t="s">
        <v>134</v>
      </c>
      <c r="H214" s="7">
        <f t="shared" si="34"/>
        <v>2795</v>
      </c>
      <c r="I214" s="7">
        <f t="shared" si="35"/>
        <v>3033</v>
      </c>
      <c r="J214" s="7">
        <f t="shared" si="35"/>
        <v>3291</v>
      </c>
      <c r="K214" s="7">
        <f t="shared" si="35"/>
        <v>3571</v>
      </c>
      <c r="L214" s="7">
        <f t="shared" si="35"/>
        <v>3875</v>
      </c>
      <c r="M214" s="7">
        <f t="shared" si="35"/>
        <v>4204</v>
      </c>
      <c r="N214" s="7">
        <f t="shared" si="35"/>
        <v>4561</v>
      </c>
      <c r="O214" s="7">
        <f t="shared" si="35"/>
        <v>4949</v>
      </c>
      <c r="P214" s="7">
        <f t="shared" si="36"/>
        <v>5266</v>
      </c>
      <c r="Q214" s="7">
        <f t="shared" si="36"/>
        <v>5603</v>
      </c>
      <c r="R214" s="7">
        <f t="shared" si="36"/>
        <v>5962</v>
      </c>
      <c r="S214" s="7">
        <f t="shared" si="36"/>
        <v>6344</v>
      </c>
      <c r="T214" s="7">
        <f t="shared" si="36"/>
        <v>6750</v>
      </c>
      <c r="U214" s="7">
        <f t="shared" si="37"/>
        <v>6750</v>
      </c>
      <c r="V214" s="7">
        <f t="shared" si="37"/>
        <v>6750</v>
      </c>
      <c r="W214" s="7">
        <f t="shared" si="37"/>
        <v>6750</v>
      </c>
      <c r="X214" s="7">
        <f t="shared" si="37"/>
        <v>6750</v>
      </c>
      <c r="Y214" s="7">
        <f t="shared" si="37"/>
        <v>6750</v>
      </c>
      <c r="Z214" s="7">
        <f aca="true" t="shared" si="41" ref="Z214:AK214">ROUND(Y214*(1+$G81),0)</f>
        <v>6750</v>
      </c>
      <c r="AA214" s="7">
        <f t="shared" si="41"/>
        <v>6750</v>
      </c>
      <c r="AB214" s="7">
        <f t="shared" si="41"/>
        <v>6750</v>
      </c>
      <c r="AC214" s="7">
        <f t="shared" si="41"/>
        <v>6750</v>
      </c>
      <c r="AD214" s="7">
        <f t="shared" si="41"/>
        <v>6750</v>
      </c>
      <c r="AE214" s="7">
        <f t="shared" si="41"/>
        <v>6750</v>
      </c>
      <c r="AF214" s="7">
        <f t="shared" si="41"/>
        <v>6750</v>
      </c>
      <c r="AG214" s="7">
        <f t="shared" si="41"/>
        <v>6750</v>
      </c>
      <c r="AH214" s="7">
        <f t="shared" si="41"/>
        <v>6750</v>
      </c>
      <c r="AI214" s="7">
        <f t="shared" si="41"/>
        <v>6750</v>
      </c>
      <c r="AJ214" s="7">
        <f t="shared" si="41"/>
        <v>6750</v>
      </c>
      <c r="AK214" s="7">
        <f t="shared" si="41"/>
        <v>6750</v>
      </c>
    </row>
    <row r="215" spans="1:37" ht="9.75">
      <c r="A215" s="38" t="s">
        <v>135</v>
      </c>
      <c r="H215" s="7">
        <f t="shared" si="34"/>
        <v>2301</v>
      </c>
      <c r="I215" s="7">
        <f t="shared" si="35"/>
        <v>2497</v>
      </c>
      <c r="J215" s="7">
        <f t="shared" si="35"/>
        <v>2709</v>
      </c>
      <c r="K215" s="7">
        <f t="shared" si="35"/>
        <v>2939</v>
      </c>
      <c r="L215" s="7">
        <f t="shared" si="35"/>
        <v>3189</v>
      </c>
      <c r="M215" s="7">
        <f t="shared" si="35"/>
        <v>3460</v>
      </c>
      <c r="N215" s="7">
        <f t="shared" si="35"/>
        <v>3754</v>
      </c>
      <c r="O215" s="7">
        <f t="shared" si="35"/>
        <v>4073</v>
      </c>
      <c r="P215" s="7">
        <f t="shared" si="36"/>
        <v>4334</v>
      </c>
      <c r="Q215" s="7">
        <f t="shared" si="36"/>
        <v>4611</v>
      </c>
      <c r="R215" s="7">
        <f t="shared" si="36"/>
        <v>4906</v>
      </c>
      <c r="S215" s="7">
        <f t="shared" si="36"/>
        <v>5220</v>
      </c>
      <c r="T215" s="7">
        <f t="shared" si="36"/>
        <v>5554</v>
      </c>
      <c r="U215" s="7">
        <f t="shared" si="37"/>
        <v>5554</v>
      </c>
      <c r="V215" s="7">
        <f t="shared" si="37"/>
        <v>5554</v>
      </c>
      <c r="W215" s="7">
        <f t="shared" si="37"/>
        <v>5554</v>
      </c>
      <c r="X215" s="7">
        <f t="shared" si="37"/>
        <v>5554</v>
      </c>
      <c r="Y215" s="7">
        <f t="shared" si="37"/>
        <v>5554</v>
      </c>
      <c r="Z215" s="7">
        <f aca="true" t="shared" si="42" ref="Z215:AK215">ROUND(Y215*(1+$G82),0)</f>
        <v>5554</v>
      </c>
      <c r="AA215" s="7">
        <f t="shared" si="42"/>
        <v>5554</v>
      </c>
      <c r="AB215" s="7">
        <f t="shared" si="42"/>
        <v>5554</v>
      </c>
      <c r="AC215" s="7">
        <f t="shared" si="42"/>
        <v>5554</v>
      </c>
      <c r="AD215" s="7">
        <f t="shared" si="42"/>
        <v>5554</v>
      </c>
      <c r="AE215" s="7">
        <f t="shared" si="42"/>
        <v>5554</v>
      </c>
      <c r="AF215" s="7">
        <f t="shared" si="42"/>
        <v>5554</v>
      </c>
      <c r="AG215" s="7">
        <f t="shared" si="42"/>
        <v>5554</v>
      </c>
      <c r="AH215" s="7">
        <f t="shared" si="42"/>
        <v>5554</v>
      </c>
      <c r="AI215" s="7">
        <f t="shared" si="42"/>
        <v>5554</v>
      </c>
      <c r="AJ215" s="7">
        <f t="shared" si="42"/>
        <v>5554</v>
      </c>
      <c r="AK215" s="7">
        <f t="shared" si="42"/>
        <v>5554</v>
      </c>
    </row>
    <row r="216" spans="1:37" ht="9.75">
      <c r="A216" s="38" t="s">
        <v>136</v>
      </c>
      <c r="H216" s="7">
        <f t="shared" si="34"/>
        <v>1830</v>
      </c>
      <c r="I216" s="7">
        <f t="shared" si="35"/>
        <v>1986</v>
      </c>
      <c r="J216" s="7">
        <f t="shared" si="35"/>
        <v>2155</v>
      </c>
      <c r="K216" s="7">
        <f t="shared" si="35"/>
        <v>2338</v>
      </c>
      <c r="L216" s="7">
        <f t="shared" si="35"/>
        <v>2537</v>
      </c>
      <c r="M216" s="7">
        <f t="shared" si="35"/>
        <v>2753</v>
      </c>
      <c r="N216" s="7">
        <f t="shared" si="35"/>
        <v>2987</v>
      </c>
      <c r="O216" s="7">
        <f t="shared" si="35"/>
        <v>3241</v>
      </c>
      <c r="P216" s="7">
        <f t="shared" si="36"/>
        <v>3448</v>
      </c>
      <c r="Q216" s="7">
        <f t="shared" si="36"/>
        <v>3669</v>
      </c>
      <c r="R216" s="7">
        <f t="shared" si="36"/>
        <v>3904</v>
      </c>
      <c r="S216" s="7">
        <f t="shared" si="36"/>
        <v>4154</v>
      </c>
      <c r="T216" s="7">
        <f t="shared" si="36"/>
        <v>4420</v>
      </c>
      <c r="U216" s="7">
        <f t="shared" si="37"/>
        <v>4420</v>
      </c>
      <c r="V216" s="7">
        <f t="shared" si="37"/>
        <v>4420</v>
      </c>
      <c r="W216" s="7">
        <f t="shared" si="37"/>
        <v>4420</v>
      </c>
      <c r="X216" s="7">
        <f t="shared" si="37"/>
        <v>4420</v>
      </c>
      <c r="Y216" s="7">
        <f t="shared" si="37"/>
        <v>4420</v>
      </c>
      <c r="Z216" s="7">
        <f aca="true" t="shared" si="43" ref="Z216:AK216">ROUND(Y216*(1+$G83),0)</f>
        <v>4420</v>
      </c>
      <c r="AA216" s="7">
        <f t="shared" si="43"/>
        <v>4420</v>
      </c>
      <c r="AB216" s="7">
        <f t="shared" si="43"/>
        <v>4420</v>
      </c>
      <c r="AC216" s="7">
        <f t="shared" si="43"/>
        <v>4420</v>
      </c>
      <c r="AD216" s="7">
        <f t="shared" si="43"/>
        <v>4420</v>
      </c>
      <c r="AE216" s="7">
        <f t="shared" si="43"/>
        <v>4420</v>
      </c>
      <c r="AF216" s="7">
        <f t="shared" si="43"/>
        <v>4420</v>
      </c>
      <c r="AG216" s="7">
        <f t="shared" si="43"/>
        <v>4420</v>
      </c>
      <c r="AH216" s="7">
        <f t="shared" si="43"/>
        <v>4420</v>
      </c>
      <c r="AI216" s="7">
        <f t="shared" si="43"/>
        <v>4420</v>
      </c>
      <c r="AJ216" s="7">
        <f t="shared" si="43"/>
        <v>4420</v>
      </c>
      <c r="AK216" s="7">
        <f t="shared" si="43"/>
        <v>4420</v>
      </c>
    </row>
    <row r="217" spans="1:37" ht="9.75">
      <c r="A217" s="15" t="s">
        <v>65</v>
      </c>
      <c r="H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9.75">
      <c r="A218" s="38" t="s">
        <v>62</v>
      </c>
      <c r="H218" s="7">
        <f aca="true" t="shared" si="44" ref="H218:H223">H85</f>
        <v>1874</v>
      </c>
      <c r="I218" s="7">
        <f aca="true" t="shared" si="45" ref="I218:O223">ROUND(H218*(1+$D85),0)</f>
        <v>2026</v>
      </c>
      <c r="J218" s="7">
        <f t="shared" si="45"/>
        <v>2190</v>
      </c>
      <c r="K218" s="7">
        <f t="shared" si="45"/>
        <v>2367</v>
      </c>
      <c r="L218" s="7">
        <f t="shared" si="45"/>
        <v>2559</v>
      </c>
      <c r="M218" s="7">
        <f t="shared" si="45"/>
        <v>2766</v>
      </c>
      <c r="N218" s="7">
        <f t="shared" si="45"/>
        <v>2990</v>
      </c>
      <c r="O218" s="7">
        <f t="shared" si="45"/>
        <v>3232</v>
      </c>
      <c r="P218" s="7">
        <f aca="true" t="shared" si="46" ref="P218:T223">ROUND(O218*(1+$E85),0)</f>
        <v>3445</v>
      </c>
      <c r="Q218" s="7">
        <f t="shared" si="46"/>
        <v>3672</v>
      </c>
      <c r="R218" s="7">
        <f t="shared" si="46"/>
        <v>3914</v>
      </c>
      <c r="S218" s="7">
        <f t="shared" si="46"/>
        <v>4172</v>
      </c>
      <c r="T218" s="7">
        <f t="shared" si="46"/>
        <v>4447</v>
      </c>
      <c r="U218" s="7">
        <f aca="true" t="shared" si="47" ref="U218:Y223">ROUND(T218*(1+$F85),0)</f>
        <v>4696</v>
      </c>
      <c r="V218" s="7">
        <f t="shared" si="47"/>
        <v>4959</v>
      </c>
      <c r="W218" s="7">
        <f t="shared" si="47"/>
        <v>5237</v>
      </c>
      <c r="X218" s="7">
        <f t="shared" si="47"/>
        <v>5530</v>
      </c>
      <c r="Y218" s="7">
        <f t="shared" si="47"/>
        <v>5840</v>
      </c>
      <c r="Z218" s="7">
        <f aca="true" t="shared" si="48" ref="Z218:AK218">ROUND(Y218*(1+$G85),0)</f>
        <v>5840</v>
      </c>
      <c r="AA218" s="7">
        <f t="shared" si="48"/>
        <v>5840</v>
      </c>
      <c r="AB218" s="7">
        <f t="shared" si="48"/>
        <v>5840</v>
      </c>
      <c r="AC218" s="7">
        <f t="shared" si="48"/>
        <v>5840</v>
      </c>
      <c r="AD218" s="7">
        <f t="shared" si="48"/>
        <v>5840</v>
      </c>
      <c r="AE218" s="7">
        <f t="shared" si="48"/>
        <v>5840</v>
      </c>
      <c r="AF218" s="7">
        <f t="shared" si="48"/>
        <v>5840</v>
      </c>
      <c r="AG218" s="7">
        <f t="shared" si="48"/>
        <v>5840</v>
      </c>
      <c r="AH218" s="7">
        <f t="shared" si="48"/>
        <v>5840</v>
      </c>
      <c r="AI218" s="7">
        <f t="shared" si="48"/>
        <v>5840</v>
      </c>
      <c r="AJ218" s="7">
        <f t="shared" si="48"/>
        <v>5840</v>
      </c>
      <c r="AK218" s="7">
        <f t="shared" si="48"/>
        <v>5840</v>
      </c>
    </row>
    <row r="219" spans="1:37" ht="9.75">
      <c r="A219" s="38" t="s">
        <v>132</v>
      </c>
      <c r="H219" s="7">
        <f t="shared" si="44"/>
        <v>2770</v>
      </c>
      <c r="I219" s="7">
        <f t="shared" si="45"/>
        <v>2994</v>
      </c>
      <c r="J219" s="7">
        <f t="shared" si="45"/>
        <v>3237</v>
      </c>
      <c r="K219" s="7">
        <f t="shared" si="45"/>
        <v>3499</v>
      </c>
      <c r="L219" s="7">
        <f t="shared" si="45"/>
        <v>3782</v>
      </c>
      <c r="M219" s="7">
        <f t="shared" si="45"/>
        <v>4088</v>
      </c>
      <c r="N219" s="7">
        <f t="shared" si="45"/>
        <v>4419</v>
      </c>
      <c r="O219" s="7">
        <f t="shared" si="45"/>
        <v>4777</v>
      </c>
      <c r="P219" s="7">
        <f t="shared" si="46"/>
        <v>5092</v>
      </c>
      <c r="Q219" s="7">
        <f t="shared" si="46"/>
        <v>5428</v>
      </c>
      <c r="R219" s="7">
        <f t="shared" si="46"/>
        <v>5786</v>
      </c>
      <c r="S219" s="7">
        <f t="shared" si="46"/>
        <v>6168</v>
      </c>
      <c r="T219" s="7">
        <f t="shared" si="46"/>
        <v>6575</v>
      </c>
      <c r="U219" s="7">
        <f t="shared" si="47"/>
        <v>6943</v>
      </c>
      <c r="V219" s="7">
        <f t="shared" si="47"/>
        <v>7332</v>
      </c>
      <c r="W219" s="7">
        <f t="shared" si="47"/>
        <v>7743</v>
      </c>
      <c r="X219" s="7">
        <f t="shared" si="47"/>
        <v>8177</v>
      </c>
      <c r="Y219" s="7">
        <f t="shared" si="47"/>
        <v>8635</v>
      </c>
      <c r="Z219" s="7">
        <f aca="true" t="shared" si="49" ref="Z219:AK219">ROUND(Y219*(1+$G86),0)</f>
        <v>8635</v>
      </c>
      <c r="AA219" s="7">
        <f t="shared" si="49"/>
        <v>8635</v>
      </c>
      <c r="AB219" s="7">
        <f t="shared" si="49"/>
        <v>8635</v>
      </c>
      <c r="AC219" s="7">
        <f t="shared" si="49"/>
        <v>8635</v>
      </c>
      <c r="AD219" s="7">
        <f t="shared" si="49"/>
        <v>8635</v>
      </c>
      <c r="AE219" s="7">
        <f t="shared" si="49"/>
        <v>8635</v>
      </c>
      <c r="AF219" s="7">
        <f t="shared" si="49"/>
        <v>8635</v>
      </c>
      <c r="AG219" s="7">
        <f t="shared" si="49"/>
        <v>8635</v>
      </c>
      <c r="AH219" s="7">
        <f t="shared" si="49"/>
        <v>8635</v>
      </c>
      <c r="AI219" s="7">
        <f t="shared" si="49"/>
        <v>8635</v>
      </c>
      <c r="AJ219" s="7">
        <f t="shared" si="49"/>
        <v>8635</v>
      </c>
      <c r="AK219" s="7">
        <f t="shared" si="49"/>
        <v>8635</v>
      </c>
    </row>
    <row r="220" spans="1:37" ht="9.75">
      <c r="A220" s="38" t="s">
        <v>133</v>
      </c>
      <c r="H220" s="7">
        <f t="shared" si="44"/>
        <v>1273</v>
      </c>
      <c r="I220" s="7">
        <f t="shared" si="45"/>
        <v>1376</v>
      </c>
      <c r="J220" s="7">
        <f t="shared" si="45"/>
        <v>1487</v>
      </c>
      <c r="K220" s="7">
        <f t="shared" si="45"/>
        <v>1607</v>
      </c>
      <c r="L220" s="7">
        <f t="shared" si="45"/>
        <v>1737</v>
      </c>
      <c r="M220" s="7">
        <f t="shared" si="45"/>
        <v>1878</v>
      </c>
      <c r="N220" s="7">
        <f t="shared" si="45"/>
        <v>2030</v>
      </c>
      <c r="O220" s="7">
        <f t="shared" si="45"/>
        <v>2194</v>
      </c>
      <c r="P220" s="7">
        <f t="shared" si="46"/>
        <v>2339</v>
      </c>
      <c r="Q220" s="7">
        <f t="shared" si="46"/>
        <v>2493</v>
      </c>
      <c r="R220" s="7">
        <f t="shared" si="46"/>
        <v>2658</v>
      </c>
      <c r="S220" s="7">
        <f t="shared" si="46"/>
        <v>2833</v>
      </c>
      <c r="T220" s="7">
        <f t="shared" si="46"/>
        <v>3020</v>
      </c>
      <c r="U220" s="7">
        <f t="shared" si="47"/>
        <v>3189</v>
      </c>
      <c r="V220" s="7">
        <f t="shared" si="47"/>
        <v>3368</v>
      </c>
      <c r="W220" s="7">
        <f t="shared" si="47"/>
        <v>3557</v>
      </c>
      <c r="X220" s="7">
        <f t="shared" si="47"/>
        <v>3756</v>
      </c>
      <c r="Y220" s="7">
        <f t="shared" si="47"/>
        <v>3966</v>
      </c>
      <c r="Z220" s="7">
        <f aca="true" t="shared" si="50" ref="Z220:AK220">ROUND(Y220*(1+$G87),0)</f>
        <v>3966</v>
      </c>
      <c r="AA220" s="7">
        <f t="shared" si="50"/>
        <v>3966</v>
      </c>
      <c r="AB220" s="7">
        <f t="shared" si="50"/>
        <v>3966</v>
      </c>
      <c r="AC220" s="7">
        <f t="shared" si="50"/>
        <v>3966</v>
      </c>
      <c r="AD220" s="7">
        <f t="shared" si="50"/>
        <v>3966</v>
      </c>
      <c r="AE220" s="7">
        <f t="shared" si="50"/>
        <v>3966</v>
      </c>
      <c r="AF220" s="7">
        <f t="shared" si="50"/>
        <v>3966</v>
      </c>
      <c r="AG220" s="7">
        <f t="shared" si="50"/>
        <v>3966</v>
      </c>
      <c r="AH220" s="7">
        <f t="shared" si="50"/>
        <v>3966</v>
      </c>
      <c r="AI220" s="7">
        <f t="shared" si="50"/>
        <v>3966</v>
      </c>
      <c r="AJ220" s="7">
        <f t="shared" si="50"/>
        <v>3966</v>
      </c>
      <c r="AK220" s="7">
        <f t="shared" si="50"/>
        <v>3966</v>
      </c>
    </row>
    <row r="221" spans="1:37" ht="9.75">
      <c r="A221" s="38" t="s">
        <v>134</v>
      </c>
      <c r="H221" s="7">
        <f t="shared" si="44"/>
        <v>2075</v>
      </c>
      <c r="I221" s="7">
        <f t="shared" si="45"/>
        <v>2243</v>
      </c>
      <c r="J221" s="7">
        <f t="shared" si="45"/>
        <v>2425</v>
      </c>
      <c r="K221" s="7">
        <f t="shared" si="45"/>
        <v>2621</v>
      </c>
      <c r="L221" s="7">
        <f t="shared" si="45"/>
        <v>2833</v>
      </c>
      <c r="M221" s="7">
        <f t="shared" si="45"/>
        <v>3062</v>
      </c>
      <c r="N221" s="7">
        <f t="shared" si="45"/>
        <v>3310</v>
      </c>
      <c r="O221" s="7">
        <f t="shared" si="45"/>
        <v>3578</v>
      </c>
      <c r="P221" s="7">
        <f t="shared" si="46"/>
        <v>3814</v>
      </c>
      <c r="Q221" s="7">
        <f t="shared" si="46"/>
        <v>4066</v>
      </c>
      <c r="R221" s="7">
        <f t="shared" si="46"/>
        <v>4334</v>
      </c>
      <c r="S221" s="7">
        <f t="shared" si="46"/>
        <v>4620</v>
      </c>
      <c r="T221" s="7">
        <f t="shared" si="46"/>
        <v>4925</v>
      </c>
      <c r="U221" s="7">
        <f t="shared" si="47"/>
        <v>5201</v>
      </c>
      <c r="V221" s="7">
        <f t="shared" si="47"/>
        <v>5492</v>
      </c>
      <c r="W221" s="7">
        <f t="shared" si="47"/>
        <v>5800</v>
      </c>
      <c r="X221" s="7">
        <f t="shared" si="47"/>
        <v>6125</v>
      </c>
      <c r="Y221" s="7">
        <f t="shared" si="47"/>
        <v>6468</v>
      </c>
      <c r="Z221" s="7">
        <f aca="true" t="shared" si="51" ref="Z221:AK221">ROUND(Y221*(1+$G88),0)</f>
        <v>6468</v>
      </c>
      <c r="AA221" s="7">
        <f t="shared" si="51"/>
        <v>6468</v>
      </c>
      <c r="AB221" s="7">
        <f t="shared" si="51"/>
        <v>6468</v>
      </c>
      <c r="AC221" s="7">
        <f t="shared" si="51"/>
        <v>6468</v>
      </c>
      <c r="AD221" s="7">
        <f t="shared" si="51"/>
        <v>6468</v>
      </c>
      <c r="AE221" s="7">
        <f t="shared" si="51"/>
        <v>6468</v>
      </c>
      <c r="AF221" s="7">
        <f t="shared" si="51"/>
        <v>6468</v>
      </c>
      <c r="AG221" s="7">
        <f t="shared" si="51"/>
        <v>6468</v>
      </c>
      <c r="AH221" s="7">
        <f t="shared" si="51"/>
        <v>6468</v>
      </c>
      <c r="AI221" s="7">
        <f t="shared" si="51"/>
        <v>6468</v>
      </c>
      <c r="AJ221" s="7">
        <f t="shared" si="51"/>
        <v>6468</v>
      </c>
      <c r="AK221" s="7">
        <f t="shared" si="51"/>
        <v>6468</v>
      </c>
    </row>
    <row r="222" spans="1:37" ht="9.75">
      <c r="A222" s="38" t="s">
        <v>135</v>
      </c>
      <c r="H222" s="7">
        <f t="shared" si="44"/>
        <v>2149</v>
      </c>
      <c r="I222" s="7">
        <f t="shared" si="45"/>
        <v>2323</v>
      </c>
      <c r="J222" s="7">
        <f t="shared" si="45"/>
        <v>2511</v>
      </c>
      <c r="K222" s="7">
        <f t="shared" si="45"/>
        <v>2714</v>
      </c>
      <c r="L222" s="7">
        <f t="shared" si="45"/>
        <v>2934</v>
      </c>
      <c r="M222" s="7">
        <f t="shared" si="45"/>
        <v>3172</v>
      </c>
      <c r="N222" s="7">
        <f t="shared" si="45"/>
        <v>3429</v>
      </c>
      <c r="O222" s="7">
        <f t="shared" si="45"/>
        <v>3707</v>
      </c>
      <c r="P222" s="7">
        <f t="shared" si="46"/>
        <v>3952</v>
      </c>
      <c r="Q222" s="7">
        <f t="shared" si="46"/>
        <v>4213</v>
      </c>
      <c r="R222" s="7">
        <f t="shared" si="46"/>
        <v>4491</v>
      </c>
      <c r="S222" s="7">
        <f t="shared" si="46"/>
        <v>4787</v>
      </c>
      <c r="T222" s="7">
        <f t="shared" si="46"/>
        <v>5103</v>
      </c>
      <c r="U222" s="7">
        <f t="shared" si="47"/>
        <v>5389</v>
      </c>
      <c r="V222" s="7">
        <f t="shared" si="47"/>
        <v>5691</v>
      </c>
      <c r="W222" s="7">
        <f t="shared" si="47"/>
        <v>6010</v>
      </c>
      <c r="X222" s="7">
        <f t="shared" si="47"/>
        <v>6347</v>
      </c>
      <c r="Y222" s="7">
        <f t="shared" si="47"/>
        <v>6702</v>
      </c>
      <c r="Z222" s="7">
        <f aca="true" t="shared" si="52" ref="Z222:AK222">ROUND(Y222*(1+$G89),0)</f>
        <v>6702</v>
      </c>
      <c r="AA222" s="7">
        <f t="shared" si="52"/>
        <v>6702</v>
      </c>
      <c r="AB222" s="7">
        <f t="shared" si="52"/>
        <v>6702</v>
      </c>
      <c r="AC222" s="7">
        <f t="shared" si="52"/>
        <v>6702</v>
      </c>
      <c r="AD222" s="7">
        <f t="shared" si="52"/>
        <v>6702</v>
      </c>
      <c r="AE222" s="7">
        <f t="shared" si="52"/>
        <v>6702</v>
      </c>
      <c r="AF222" s="7">
        <f t="shared" si="52"/>
        <v>6702</v>
      </c>
      <c r="AG222" s="7">
        <f t="shared" si="52"/>
        <v>6702</v>
      </c>
      <c r="AH222" s="7">
        <f t="shared" si="52"/>
        <v>6702</v>
      </c>
      <c r="AI222" s="7">
        <f t="shared" si="52"/>
        <v>6702</v>
      </c>
      <c r="AJ222" s="7">
        <f t="shared" si="52"/>
        <v>6702</v>
      </c>
      <c r="AK222" s="7">
        <f t="shared" si="52"/>
        <v>6702</v>
      </c>
    </row>
    <row r="223" spans="1:37" ht="9.75">
      <c r="A223" s="38" t="s">
        <v>136</v>
      </c>
      <c r="H223" s="7">
        <f t="shared" si="44"/>
        <v>1337</v>
      </c>
      <c r="I223" s="7">
        <f t="shared" si="45"/>
        <v>1445</v>
      </c>
      <c r="J223" s="7">
        <f t="shared" si="45"/>
        <v>1562</v>
      </c>
      <c r="K223" s="7">
        <f t="shared" si="45"/>
        <v>1689</v>
      </c>
      <c r="L223" s="7">
        <f t="shared" si="45"/>
        <v>1826</v>
      </c>
      <c r="M223" s="7">
        <f t="shared" si="45"/>
        <v>1974</v>
      </c>
      <c r="N223" s="7">
        <f t="shared" si="45"/>
        <v>2134</v>
      </c>
      <c r="O223" s="7">
        <f t="shared" si="45"/>
        <v>2307</v>
      </c>
      <c r="P223" s="7">
        <f t="shared" si="46"/>
        <v>2459</v>
      </c>
      <c r="Q223" s="7">
        <f t="shared" si="46"/>
        <v>2621</v>
      </c>
      <c r="R223" s="7">
        <f t="shared" si="46"/>
        <v>2794</v>
      </c>
      <c r="S223" s="7">
        <f t="shared" si="46"/>
        <v>2978</v>
      </c>
      <c r="T223" s="7">
        <f t="shared" si="46"/>
        <v>3175</v>
      </c>
      <c r="U223" s="7">
        <f t="shared" si="47"/>
        <v>3353</v>
      </c>
      <c r="V223" s="7">
        <f t="shared" si="47"/>
        <v>3541</v>
      </c>
      <c r="W223" s="7">
        <f t="shared" si="47"/>
        <v>3739</v>
      </c>
      <c r="X223" s="7">
        <f t="shared" si="47"/>
        <v>3948</v>
      </c>
      <c r="Y223" s="7">
        <f t="shared" si="47"/>
        <v>4169</v>
      </c>
      <c r="Z223" s="7">
        <f aca="true" t="shared" si="53" ref="Z223:AK223">ROUND(Y223*(1+$G90),0)</f>
        <v>4169</v>
      </c>
      <c r="AA223" s="7">
        <f t="shared" si="53"/>
        <v>4169</v>
      </c>
      <c r="AB223" s="7">
        <f t="shared" si="53"/>
        <v>4169</v>
      </c>
      <c r="AC223" s="7">
        <f t="shared" si="53"/>
        <v>4169</v>
      </c>
      <c r="AD223" s="7">
        <f t="shared" si="53"/>
        <v>4169</v>
      </c>
      <c r="AE223" s="7">
        <f t="shared" si="53"/>
        <v>4169</v>
      </c>
      <c r="AF223" s="7">
        <f t="shared" si="53"/>
        <v>4169</v>
      </c>
      <c r="AG223" s="7">
        <f t="shared" si="53"/>
        <v>4169</v>
      </c>
      <c r="AH223" s="7">
        <f t="shared" si="53"/>
        <v>4169</v>
      </c>
      <c r="AI223" s="7">
        <f t="shared" si="53"/>
        <v>4169</v>
      </c>
      <c r="AJ223" s="7">
        <f t="shared" si="53"/>
        <v>4169</v>
      </c>
      <c r="AK223" s="7">
        <f t="shared" si="53"/>
        <v>4169</v>
      </c>
    </row>
    <row r="224" spans="1:37" ht="9.75">
      <c r="A224" s="15" t="s">
        <v>68</v>
      </c>
      <c r="B224" s="16"/>
      <c r="C224" s="12"/>
      <c r="D224" s="12"/>
      <c r="E224" s="16"/>
      <c r="F224" s="12"/>
      <c r="G224" s="12"/>
      <c r="H224" s="20">
        <f aca="true" t="shared" si="54" ref="H224:AK224">SUMPRODUCT(H211:H216,$B$92:$B$97)</f>
        <v>35297.5</v>
      </c>
      <c r="I224" s="20">
        <f t="shared" si="54"/>
        <v>38299.5</v>
      </c>
      <c r="J224" s="20">
        <f t="shared" si="54"/>
        <v>41556.5</v>
      </c>
      <c r="K224" s="20">
        <f t="shared" si="54"/>
        <v>45089.5</v>
      </c>
      <c r="L224" s="20">
        <f t="shared" si="54"/>
        <v>48922.5</v>
      </c>
      <c r="M224" s="20">
        <f t="shared" si="54"/>
        <v>53080</v>
      </c>
      <c r="N224" s="20">
        <f t="shared" si="54"/>
        <v>57591</v>
      </c>
      <c r="O224" s="20">
        <f t="shared" si="54"/>
        <v>62486.5</v>
      </c>
      <c r="P224" s="20">
        <f t="shared" si="54"/>
        <v>66486</v>
      </c>
      <c r="Q224" s="20">
        <f t="shared" si="54"/>
        <v>70739.5</v>
      </c>
      <c r="R224" s="20">
        <f t="shared" si="54"/>
        <v>75266</v>
      </c>
      <c r="S224" s="20">
        <f t="shared" si="54"/>
        <v>80084</v>
      </c>
      <c r="T224" s="20">
        <f t="shared" si="54"/>
        <v>85208</v>
      </c>
      <c r="U224" s="20">
        <f t="shared" si="54"/>
        <v>85208</v>
      </c>
      <c r="V224" s="20">
        <f t="shared" si="54"/>
        <v>85208</v>
      </c>
      <c r="W224" s="20">
        <f t="shared" si="54"/>
        <v>85208</v>
      </c>
      <c r="X224" s="20">
        <f t="shared" si="54"/>
        <v>85208</v>
      </c>
      <c r="Y224" s="20">
        <f t="shared" si="54"/>
        <v>85208</v>
      </c>
      <c r="Z224" s="20">
        <f t="shared" si="54"/>
        <v>85208</v>
      </c>
      <c r="AA224" s="20">
        <f t="shared" si="54"/>
        <v>85208</v>
      </c>
      <c r="AB224" s="20">
        <f t="shared" si="54"/>
        <v>85208</v>
      </c>
      <c r="AC224" s="20">
        <f t="shared" si="54"/>
        <v>85208</v>
      </c>
      <c r="AD224" s="20">
        <f t="shared" si="54"/>
        <v>85208</v>
      </c>
      <c r="AE224" s="20">
        <f t="shared" si="54"/>
        <v>85208</v>
      </c>
      <c r="AF224" s="20">
        <f t="shared" si="54"/>
        <v>85208</v>
      </c>
      <c r="AG224" s="20">
        <f t="shared" si="54"/>
        <v>85208</v>
      </c>
      <c r="AH224" s="20">
        <f t="shared" si="54"/>
        <v>85208</v>
      </c>
      <c r="AI224" s="20">
        <f t="shared" si="54"/>
        <v>85208</v>
      </c>
      <c r="AJ224" s="20">
        <f t="shared" si="54"/>
        <v>85208</v>
      </c>
      <c r="AK224" s="20">
        <f t="shared" si="54"/>
        <v>85208</v>
      </c>
    </row>
    <row r="225" spans="1:37" ht="9.75">
      <c r="A225" s="15" t="s">
        <v>69</v>
      </c>
      <c r="B225" s="16"/>
      <c r="C225" s="12"/>
      <c r="D225" s="12"/>
      <c r="E225" s="16"/>
      <c r="F225" s="12"/>
      <c r="G225" s="12"/>
      <c r="H225" s="20">
        <f aca="true" t="shared" si="55" ref="H225:AK225">SUMPRODUCT(H218:H223,$B$92:$B$97)</f>
        <v>24766.5</v>
      </c>
      <c r="I225" s="20">
        <f t="shared" si="55"/>
        <v>26770.5</v>
      </c>
      <c r="J225" s="20">
        <f t="shared" si="55"/>
        <v>28938.5</v>
      </c>
      <c r="K225" s="20">
        <f t="shared" si="55"/>
        <v>31280</v>
      </c>
      <c r="L225" s="20">
        <f t="shared" si="55"/>
        <v>33813</v>
      </c>
      <c r="M225" s="20">
        <f t="shared" si="55"/>
        <v>36552</v>
      </c>
      <c r="N225" s="20">
        <f t="shared" si="55"/>
        <v>39512.5</v>
      </c>
      <c r="O225" s="20">
        <f t="shared" si="55"/>
        <v>42712.5</v>
      </c>
      <c r="P225" s="20">
        <f t="shared" si="55"/>
        <v>45531</v>
      </c>
      <c r="Q225" s="20">
        <f t="shared" si="55"/>
        <v>48534.5</v>
      </c>
      <c r="R225" s="20">
        <f t="shared" si="55"/>
        <v>51737.5</v>
      </c>
      <c r="S225" s="20">
        <f t="shared" si="55"/>
        <v>55148.5</v>
      </c>
      <c r="T225" s="20">
        <f t="shared" si="55"/>
        <v>58789.5</v>
      </c>
      <c r="U225" s="20">
        <f t="shared" si="55"/>
        <v>62082.5</v>
      </c>
      <c r="V225" s="20">
        <f t="shared" si="55"/>
        <v>65561.5</v>
      </c>
      <c r="W225" s="20">
        <f t="shared" si="55"/>
        <v>69236</v>
      </c>
      <c r="X225" s="20">
        <f t="shared" si="55"/>
        <v>73113.5</v>
      </c>
      <c r="Y225" s="20">
        <f t="shared" si="55"/>
        <v>77206</v>
      </c>
      <c r="Z225" s="20">
        <f t="shared" si="55"/>
        <v>77206</v>
      </c>
      <c r="AA225" s="20">
        <f t="shared" si="55"/>
        <v>77206</v>
      </c>
      <c r="AB225" s="20">
        <f t="shared" si="55"/>
        <v>77206</v>
      </c>
      <c r="AC225" s="20">
        <f t="shared" si="55"/>
        <v>77206</v>
      </c>
      <c r="AD225" s="20">
        <f t="shared" si="55"/>
        <v>77206</v>
      </c>
      <c r="AE225" s="20">
        <f t="shared" si="55"/>
        <v>77206</v>
      </c>
      <c r="AF225" s="20">
        <f t="shared" si="55"/>
        <v>77206</v>
      </c>
      <c r="AG225" s="20">
        <f t="shared" si="55"/>
        <v>77206</v>
      </c>
      <c r="AH225" s="20">
        <f t="shared" si="55"/>
        <v>77206</v>
      </c>
      <c r="AI225" s="20">
        <f t="shared" si="55"/>
        <v>77206</v>
      </c>
      <c r="AJ225" s="20">
        <f t="shared" si="55"/>
        <v>77206</v>
      </c>
      <c r="AK225" s="20">
        <f t="shared" si="55"/>
        <v>77206</v>
      </c>
    </row>
    <row r="226" spans="1:37" ht="9.75">
      <c r="A226" s="13" t="s">
        <v>77</v>
      </c>
      <c r="B226" s="16"/>
      <c r="C226" s="12"/>
      <c r="D226" s="12"/>
      <c r="E226" s="16"/>
      <c r="F226" s="12"/>
      <c r="G226" s="12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</row>
    <row r="227" spans="1:37" ht="9.75">
      <c r="A227" s="15" t="s">
        <v>72</v>
      </c>
      <c r="B227" s="16">
        <f>B98</f>
        <v>900</v>
      </c>
      <c r="C227" s="12">
        <f aca="true" t="shared" si="56" ref="C227:AK227">$B$227*C116</f>
        <v>1079.1000000000001</v>
      </c>
      <c r="D227" s="12">
        <f t="shared" si="56"/>
        <v>1152.4788</v>
      </c>
      <c r="E227" s="12">
        <f t="shared" si="56"/>
        <v>1244.6771040000003</v>
      </c>
      <c r="F227" s="12">
        <f t="shared" si="56"/>
        <v>1331.8045012800003</v>
      </c>
      <c r="G227" s="12">
        <f t="shared" si="56"/>
        <v>1411.7127713568004</v>
      </c>
      <c r="H227" s="12">
        <f t="shared" si="56"/>
        <v>1482.2984099246405</v>
      </c>
      <c r="I227" s="12">
        <f t="shared" si="56"/>
        <v>1556.4133304208726</v>
      </c>
      <c r="J227" s="12">
        <f t="shared" si="56"/>
        <v>1634.2339969419163</v>
      </c>
      <c r="K227" s="12">
        <f t="shared" si="56"/>
        <v>1715.9456967890121</v>
      </c>
      <c r="L227" s="12">
        <f t="shared" si="56"/>
        <v>1801.7429816284628</v>
      </c>
      <c r="M227" s="12">
        <f t="shared" si="56"/>
        <v>1891.830130709886</v>
      </c>
      <c r="N227" s="12">
        <f t="shared" si="56"/>
        <v>1986.4216372453802</v>
      </c>
      <c r="O227" s="12">
        <f t="shared" si="56"/>
        <v>2085.7427191076495</v>
      </c>
      <c r="P227" s="12">
        <f t="shared" si="56"/>
        <v>2190.029855063032</v>
      </c>
      <c r="Q227" s="12">
        <f t="shared" si="56"/>
        <v>2299.531347816184</v>
      </c>
      <c r="R227" s="12">
        <f t="shared" si="56"/>
        <v>2414.507915206993</v>
      </c>
      <c r="S227" s="12">
        <f t="shared" si="56"/>
        <v>2535.2333109673427</v>
      </c>
      <c r="T227" s="12">
        <f t="shared" si="56"/>
        <v>2661.99497651571</v>
      </c>
      <c r="U227" s="12">
        <f t="shared" si="56"/>
        <v>2795.0947253414956</v>
      </c>
      <c r="V227" s="12">
        <f t="shared" si="56"/>
        <v>2934.8494616085704</v>
      </c>
      <c r="W227" s="12">
        <f t="shared" si="56"/>
        <v>3081.5919346889987</v>
      </c>
      <c r="X227" s="12">
        <f t="shared" si="56"/>
        <v>3235.671531423449</v>
      </c>
      <c r="Y227" s="12">
        <f t="shared" si="56"/>
        <v>3397.455107994622</v>
      </c>
      <c r="Z227" s="12">
        <f t="shared" si="56"/>
        <v>3567.327863394353</v>
      </c>
      <c r="AA227" s="12">
        <f t="shared" si="56"/>
        <v>3745.6942565640707</v>
      </c>
      <c r="AB227" s="12">
        <f t="shared" si="56"/>
        <v>3932.9789693922744</v>
      </c>
      <c r="AC227" s="12">
        <f t="shared" si="56"/>
        <v>4129.627917861888</v>
      </c>
      <c r="AD227" s="12">
        <f t="shared" si="56"/>
        <v>4336.109313754983</v>
      </c>
      <c r="AE227" s="12">
        <f t="shared" si="56"/>
        <v>4552.914779442733</v>
      </c>
      <c r="AF227" s="12">
        <f t="shared" si="56"/>
        <v>4780.56051841487</v>
      </c>
      <c r="AG227" s="12">
        <f t="shared" si="56"/>
        <v>5019.588544335614</v>
      </c>
      <c r="AH227" s="12">
        <f t="shared" si="56"/>
        <v>5270.567971552395</v>
      </c>
      <c r="AI227" s="12">
        <f t="shared" si="56"/>
        <v>5534.096370130014</v>
      </c>
      <c r="AJ227" s="12">
        <f t="shared" si="56"/>
        <v>5810.801188636516</v>
      </c>
      <c r="AK227" s="12">
        <f t="shared" si="56"/>
        <v>6101.341248068341</v>
      </c>
    </row>
    <row r="228" spans="1:37" ht="9.75">
      <c r="A228" s="15" t="s">
        <v>142</v>
      </c>
      <c r="B228" s="16"/>
      <c r="C228" s="12"/>
      <c r="D228" s="12"/>
      <c r="E228" s="12"/>
      <c r="F228" s="12"/>
      <c r="G228" s="12"/>
      <c r="H228" s="7">
        <f>IF(MOD(H2,4)=0,366,365)</f>
        <v>365</v>
      </c>
      <c r="I228" s="7">
        <f aca="true" t="shared" si="57" ref="I228:AK228">IF(MOD(I2,4)=0,366,365)</f>
        <v>365</v>
      </c>
      <c r="J228" s="7">
        <f t="shared" si="57"/>
        <v>365</v>
      </c>
      <c r="K228" s="7">
        <f t="shared" si="57"/>
        <v>366</v>
      </c>
      <c r="L228" s="7">
        <f t="shared" si="57"/>
        <v>365</v>
      </c>
      <c r="M228" s="7">
        <f t="shared" si="57"/>
        <v>365</v>
      </c>
      <c r="N228" s="7">
        <f t="shared" si="57"/>
        <v>365</v>
      </c>
      <c r="O228" s="7">
        <f t="shared" si="57"/>
        <v>366</v>
      </c>
      <c r="P228" s="7">
        <f t="shared" si="57"/>
        <v>365</v>
      </c>
      <c r="Q228" s="7">
        <f t="shared" si="57"/>
        <v>365</v>
      </c>
      <c r="R228" s="7">
        <f t="shared" si="57"/>
        <v>365</v>
      </c>
      <c r="S228" s="7">
        <f t="shared" si="57"/>
        <v>366</v>
      </c>
      <c r="T228" s="7">
        <f t="shared" si="57"/>
        <v>365</v>
      </c>
      <c r="U228" s="7">
        <f t="shared" si="57"/>
        <v>365</v>
      </c>
      <c r="V228" s="7">
        <f t="shared" si="57"/>
        <v>365</v>
      </c>
      <c r="W228" s="7">
        <f t="shared" si="57"/>
        <v>366</v>
      </c>
      <c r="X228" s="7">
        <f t="shared" si="57"/>
        <v>365</v>
      </c>
      <c r="Y228" s="7">
        <f t="shared" si="57"/>
        <v>365</v>
      </c>
      <c r="Z228" s="7">
        <f t="shared" si="57"/>
        <v>365</v>
      </c>
      <c r="AA228" s="7">
        <f t="shared" si="57"/>
        <v>366</v>
      </c>
      <c r="AB228" s="7">
        <f t="shared" si="57"/>
        <v>365</v>
      </c>
      <c r="AC228" s="7">
        <f t="shared" si="57"/>
        <v>365</v>
      </c>
      <c r="AD228" s="7">
        <f t="shared" si="57"/>
        <v>365</v>
      </c>
      <c r="AE228" s="7">
        <f t="shared" si="57"/>
        <v>366</v>
      </c>
      <c r="AF228" s="7">
        <f t="shared" si="57"/>
        <v>365</v>
      </c>
      <c r="AG228" s="7">
        <f t="shared" si="57"/>
        <v>365</v>
      </c>
      <c r="AH228" s="7">
        <f t="shared" si="57"/>
        <v>365</v>
      </c>
      <c r="AI228" s="7">
        <f t="shared" si="57"/>
        <v>366</v>
      </c>
      <c r="AJ228" s="7">
        <f t="shared" si="57"/>
        <v>365</v>
      </c>
      <c r="AK228" s="7">
        <f t="shared" si="57"/>
        <v>365</v>
      </c>
    </row>
    <row r="229" spans="1:37" ht="9.75">
      <c r="A229" s="2" t="s">
        <v>75</v>
      </c>
      <c r="H229" s="12">
        <f>H$227*$B74*H224/10^9*H228</f>
        <v>456.42597824246184</v>
      </c>
      <c r="I229" s="12">
        <f aca="true" t="shared" si="58" ref="I229:AK229">I$227*$B74*I224/10^9*I228</f>
        <v>520.0065469617402</v>
      </c>
      <c r="J229" s="12">
        <f t="shared" si="58"/>
        <v>592.4394488767828</v>
      </c>
      <c r="K229" s="12">
        <f t="shared" si="58"/>
        <v>676.7962531373834</v>
      </c>
      <c r="L229" s="12">
        <f t="shared" si="58"/>
        <v>768.9396334817905</v>
      </c>
      <c r="M229" s="12">
        <f t="shared" si="58"/>
        <v>875.9994181097475</v>
      </c>
      <c r="N229" s="12">
        <f t="shared" si="58"/>
        <v>997.9684742422077</v>
      </c>
      <c r="O229" s="12">
        <f t="shared" si="58"/>
        <v>1140.0553111710155</v>
      </c>
      <c r="P229" s="12">
        <f t="shared" si="58"/>
        <v>1270.1967756465478</v>
      </c>
      <c r="Q229" s="12">
        <f t="shared" si="58"/>
        <v>1419.0316615737365</v>
      </c>
      <c r="R229" s="12">
        <f t="shared" si="58"/>
        <v>1585.324732179465</v>
      </c>
      <c r="S229" s="12">
        <f t="shared" si="58"/>
        <v>1775.9988319370643</v>
      </c>
      <c r="T229" s="12">
        <f t="shared" si="58"/>
        <v>1978.6927780399055</v>
      </c>
      <c r="U229" s="12">
        <f t="shared" si="58"/>
        <v>2077.627416941901</v>
      </c>
      <c r="V229" s="12">
        <f t="shared" si="58"/>
        <v>2181.508787788996</v>
      </c>
      <c r="W229" s="12">
        <f t="shared" si="58"/>
        <v>2296.859800403592</v>
      </c>
      <c r="X229" s="12">
        <f t="shared" si="58"/>
        <v>2405.113438537368</v>
      </c>
      <c r="Y229" s="12">
        <f t="shared" si="58"/>
        <v>2525.3691104642367</v>
      </c>
      <c r="Z229" s="12">
        <f t="shared" si="58"/>
        <v>2651.637565987449</v>
      </c>
      <c r="AA229" s="12">
        <f t="shared" si="58"/>
        <v>2791.8474427643196</v>
      </c>
      <c r="AB229" s="12">
        <f t="shared" si="58"/>
        <v>2923.430416501162</v>
      </c>
      <c r="AC229" s="12">
        <f t="shared" si="58"/>
        <v>3069.60193732622</v>
      </c>
      <c r="AD229" s="12">
        <f t="shared" si="58"/>
        <v>3223.0820341925323</v>
      </c>
      <c r="AE229" s="12">
        <f t="shared" si="58"/>
        <v>3393.5080157265484</v>
      </c>
      <c r="AF229" s="12">
        <f t="shared" si="58"/>
        <v>3553.4479426972675</v>
      </c>
      <c r="AG229" s="12">
        <f t="shared" si="58"/>
        <v>3731.1203398321313</v>
      </c>
      <c r="AH229" s="12">
        <f t="shared" si="58"/>
        <v>3917.6763568237375</v>
      </c>
      <c r="AI229" s="12">
        <f t="shared" si="58"/>
        <v>4124.830202540719</v>
      </c>
      <c r="AJ229" s="12">
        <f t="shared" si="58"/>
        <v>4319.238183398172</v>
      </c>
      <c r="AK229" s="12">
        <f t="shared" si="58"/>
        <v>4535.200092568079</v>
      </c>
    </row>
    <row r="230" spans="1:37" ht="9.75">
      <c r="A230" s="2" t="s">
        <v>76</v>
      </c>
      <c r="H230" s="12">
        <f>H$227*$B75*H225/10^9*H228</f>
        <v>416.7288165280283</v>
      </c>
      <c r="I230" s="12">
        <f aca="true" t="shared" si="59" ref="I230:AK230">I$227*$B75*I225/10^9*I228</f>
        <v>472.971179698656</v>
      </c>
      <c r="J230" s="12">
        <f t="shared" si="59"/>
        <v>536.8383223284973</v>
      </c>
      <c r="K230" s="12">
        <f t="shared" si="59"/>
        <v>610.9585667131047</v>
      </c>
      <c r="L230" s="12">
        <f t="shared" si="59"/>
        <v>691.5598907222233</v>
      </c>
      <c r="M230" s="12">
        <f t="shared" si="59"/>
        <v>784.9582108053896</v>
      </c>
      <c r="N230" s="12">
        <f t="shared" si="59"/>
        <v>890.9620368152318</v>
      </c>
      <c r="O230" s="12">
        <f t="shared" si="59"/>
        <v>1014.0449403702105</v>
      </c>
      <c r="P230" s="12">
        <f t="shared" si="59"/>
        <v>1131.9063012794265</v>
      </c>
      <c r="Q230" s="12">
        <f t="shared" si="59"/>
        <v>1266.9023675829358</v>
      </c>
      <c r="R230" s="12">
        <f t="shared" si="59"/>
        <v>1418.036227940192</v>
      </c>
      <c r="S230" s="12">
        <f t="shared" si="59"/>
        <v>1591.4504133807127</v>
      </c>
      <c r="T230" s="12">
        <f t="shared" si="59"/>
        <v>1776.479710206236</v>
      </c>
      <c r="U230" s="12">
        <f t="shared" si="59"/>
        <v>1969.785704748681</v>
      </c>
      <c r="V230" s="12">
        <f t="shared" si="59"/>
        <v>2184.177678991257</v>
      </c>
      <c r="W230" s="12">
        <f t="shared" si="59"/>
        <v>2428.558517241546</v>
      </c>
      <c r="X230" s="12">
        <f t="shared" si="59"/>
        <v>2685.4387772252358</v>
      </c>
      <c r="Y230" s="12">
        <f t="shared" si="59"/>
        <v>2977.5429372985036</v>
      </c>
      <c r="Z230" s="12">
        <f t="shared" si="59"/>
        <v>3126.4200841634292</v>
      </c>
      <c r="AA230" s="12">
        <f t="shared" si="59"/>
        <v>3291.7348995726184</v>
      </c>
      <c r="AB230" s="12">
        <f t="shared" si="59"/>
        <v>3446.878142790181</v>
      </c>
      <c r="AC230" s="12">
        <f t="shared" si="59"/>
        <v>3619.2220499296895</v>
      </c>
      <c r="AD230" s="12">
        <f t="shared" si="59"/>
        <v>3800.1831524261747</v>
      </c>
      <c r="AE230" s="12">
        <f t="shared" si="59"/>
        <v>4001.1243437736416</v>
      </c>
      <c r="AF230" s="12">
        <f t="shared" si="59"/>
        <v>4189.701925549858</v>
      </c>
      <c r="AG230" s="12">
        <f t="shared" si="59"/>
        <v>4399.187021827352</v>
      </c>
      <c r="AH230" s="12">
        <f t="shared" si="59"/>
        <v>4619.14637291872</v>
      </c>
      <c r="AI230" s="12">
        <f t="shared" si="59"/>
        <v>4863.391646884011</v>
      </c>
      <c r="AJ230" s="12">
        <f t="shared" si="59"/>
        <v>5092.608876142889</v>
      </c>
      <c r="AK230" s="12">
        <f t="shared" si="59"/>
        <v>5347.239319950034</v>
      </c>
    </row>
    <row r="231" spans="1:37" ht="9.75">
      <c r="A231" s="2" t="s">
        <v>97</v>
      </c>
      <c r="H231" s="12">
        <f aca="true" t="shared" si="60" ref="H231:AK231">H230+H229</f>
        <v>873.1547947704901</v>
      </c>
      <c r="I231" s="12">
        <f t="shared" si="60"/>
        <v>992.9777266603962</v>
      </c>
      <c r="J231" s="12">
        <f t="shared" si="60"/>
        <v>1129.27777120528</v>
      </c>
      <c r="K231" s="12">
        <f t="shared" si="60"/>
        <v>1287.754819850488</v>
      </c>
      <c r="L231" s="12">
        <f t="shared" si="60"/>
        <v>1460.4995242040136</v>
      </c>
      <c r="M231" s="12">
        <f t="shared" si="60"/>
        <v>1660.957628915137</v>
      </c>
      <c r="N231" s="12">
        <f t="shared" si="60"/>
        <v>1888.9305110574396</v>
      </c>
      <c r="O231" s="12">
        <f t="shared" si="60"/>
        <v>2154.100251541226</v>
      </c>
      <c r="P231" s="12">
        <f t="shared" si="60"/>
        <v>2402.103076925974</v>
      </c>
      <c r="Q231" s="12">
        <f t="shared" si="60"/>
        <v>2685.9340291566723</v>
      </c>
      <c r="R231" s="12">
        <f t="shared" si="60"/>
        <v>3003.3609601196567</v>
      </c>
      <c r="S231" s="12">
        <f t="shared" si="60"/>
        <v>3367.4492453177772</v>
      </c>
      <c r="T231" s="12">
        <f t="shared" si="60"/>
        <v>3755.1724882461413</v>
      </c>
      <c r="U231" s="12">
        <f t="shared" si="60"/>
        <v>4047.413121690582</v>
      </c>
      <c r="V231" s="12">
        <f t="shared" si="60"/>
        <v>4365.686466780253</v>
      </c>
      <c r="W231" s="12">
        <f t="shared" si="60"/>
        <v>4725.418317645138</v>
      </c>
      <c r="X231" s="12">
        <f t="shared" si="60"/>
        <v>5090.552215762604</v>
      </c>
      <c r="Y231" s="12">
        <f t="shared" si="60"/>
        <v>5502.91204776274</v>
      </c>
      <c r="Z231" s="12">
        <f t="shared" si="60"/>
        <v>5778.0576501508785</v>
      </c>
      <c r="AA231" s="12">
        <f t="shared" si="60"/>
        <v>6083.582342336938</v>
      </c>
      <c r="AB231" s="12">
        <f t="shared" si="60"/>
        <v>6370.308559291343</v>
      </c>
      <c r="AC231" s="12">
        <f t="shared" si="60"/>
        <v>6688.82398725591</v>
      </c>
      <c r="AD231" s="12">
        <f t="shared" si="60"/>
        <v>7023.265186618707</v>
      </c>
      <c r="AE231" s="12">
        <f t="shared" si="60"/>
        <v>7394.63235950019</v>
      </c>
      <c r="AF231" s="12">
        <f t="shared" si="60"/>
        <v>7743.149868247126</v>
      </c>
      <c r="AG231" s="12">
        <f t="shared" si="60"/>
        <v>8130.307361659483</v>
      </c>
      <c r="AH231" s="12">
        <f t="shared" si="60"/>
        <v>8536.822729742456</v>
      </c>
      <c r="AI231" s="12">
        <f t="shared" si="60"/>
        <v>8988.22184942473</v>
      </c>
      <c r="AJ231" s="12">
        <f t="shared" si="60"/>
        <v>9411.847059541062</v>
      </c>
      <c r="AK231" s="12">
        <f t="shared" si="60"/>
        <v>9882.439412518113</v>
      </c>
    </row>
    <row r="232" spans="1:37" ht="9.75">
      <c r="A232" s="29" t="s">
        <v>78</v>
      </c>
      <c r="H232" s="12">
        <f aca="true" t="shared" si="61" ref="H232:AK232">H231/(1+$B$99)*$B$99</f>
        <v>79.3777086154991</v>
      </c>
      <c r="I232" s="12">
        <f t="shared" si="61"/>
        <v>90.27070242367239</v>
      </c>
      <c r="J232" s="12">
        <f t="shared" si="61"/>
        <v>102.66161556411637</v>
      </c>
      <c r="K232" s="12">
        <f t="shared" si="61"/>
        <v>117.06861998640801</v>
      </c>
      <c r="L232" s="12">
        <f t="shared" si="61"/>
        <v>132.77268401854667</v>
      </c>
      <c r="M232" s="12">
        <f t="shared" si="61"/>
        <v>150.99614808319427</v>
      </c>
      <c r="N232" s="12">
        <f t="shared" si="61"/>
        <v>171.7209555506763</v>
      </c>
      <c r="O232" s="12">
        <f t="shared" si="61"/>
        <v>195.8272955946569</v>
      </c>
      <c r="P232" s="12">
        <f t="shared" si="61"/>
        <v>218.3730069932704</v>
      </c>
      <c r="Q232" s="12">
        <f t="shared" si="61"/>
        <v>244.17582083242473</v>
      </c>
      <c r="R232" s="12">
        <f t="shared" si="61"/>
        <v>273.0328145563324</v>
      </c>
      <c r="S232" s="12">
        <f t="shared" si="61"/>
        <v>306.13174957434336</v>
      </c>
      <c r="T232" s="12">
        <f t="shared" si="61"/>
        <v>341.3793171132856</v>
      </c>
      <c r="U232" s="12">
        <f t="shared" si="61"/>
        <v>367.9466474264166</v>
      </c>
      <c r="V232" s="12">
        <f t="shared" si="61"/>
        <v>396.8805878891139</v>
      </c>
      <c r="W232" s="12">
        <f t="shared" si="61"/>
        <v>429.5834834222852</v>
      </c>
      <c r="X232" s="12">
        <f t="shared" si="61"/>
        <v>462.7774741602367</v>
      </c>
      <c r="Y232" s="12">
        <f t="shared" si="61"/>
        <v>500.2647316147945</v>
      </c>
      <c r="Z232" s="12">
        <f t="shared" si="61"/>
        <v>525.2779681955344</v>
      </c>
      <c r="AA232" s="12">
        <f t="shared" si="61"/>
        <v>553.0529402124489</v>
      </c>
      <c r="AB232" s="12">
        <f t="shared" si="61"/>
        <v>579.1189599355765</v>
      </c>
      <c r="AC232" s="12">
        <f t="shared" si="61"/>
        <v>608.0749079323554</v>
      </c>
      <c r="AD232" s="12">
        <f t="shared" si="61"/>
        <v>638.4786533289735</v>
      </c>
      <c r="AE232" s="12">
        <f t="shared" si="61"/>
        <v>672.2393054091082</v>
      </c>
      <c r="AF232" s="12">
        <f t="shared" si="61"/>
        <v>703.9227152951933</v>
      </c>
      <c r="AG232" s="12">
        <f t="shared" si="61"/>
        <v>739.118851059953</v>
      </c>
      <c r="AH232" s="12">
        <f t="shared" si="61"/>
        <v>776.0747936129505</v>
      </c>
      <c r="AI232" s="12">
        <f t="shared" si="61"/>
        <v>817.1110772204299</v>
      </c>
      <c r="AJ232" s="12">
        <f t="shared" si="61"/>
        <v>855.6224599582783</v>
      </c>
      <c r="AK232" s="12">
        <f t="shared" si="61"/>
        <v>898.4035829561922</v>
      </c>
    </row>
    <row r="233" spans="1:37" ht="9.75">
      <c r="A233" s="2" t="s">
        <v>79</v>
      </c>
      <c r="H233" s="12">
        <f aca="true" t="shared" si="62" ref="H233:AK233">H231/(1+$B$99)</f>
        <v>793.7770861549909</v>
      </c>
      <c r="I233" s="12">
        <f t="shared" si="62"/>
        <v>902.7070242367238</v>
      </c>
      <c r="J233" s="12">
        <f t="shared" si="62"/>
        <v>1026.6161556411637</v>
      </c>
      <c r="K233" s="12">
        <f t="shared" si="62"/>
        <v>1170.68619986408</v>
      </c>
      <c r="L233" s="12">
        <f t="shared" si="62"/>
        <v>1327.7268401854667</v>
      </c>
      <c r="M233" s="12">
        <f t="shared" si="62"/>
        <v>1509.9614808319427</v>
      </c>
      <c r="N233" s="12">
        <f t="shared" si="62"/>
        <v>1717.209555506763</v>
      </c>
      <c r="O233" s="12">
        <f t="shared" si="62"/>
        <v>1958.272955946569</v>
      </c>
      <c r="P233" s="12">
        <f t="shared" si="62"/>
        <v>2183.730069932704</v>
      </c>
      <c r="Q233" s="12">
        <f t="shared" si="62"/>
        <v>2441.7582083242473</v>
      </c>
      <c r="R233" s="12">
        <f t="shared" si="62"/>
        <v>2730.328145563324</v>
      </c>
      <c r="S233" s="12">
        <f t="shared" si="62"/>
        <v>3061.3174957434335</v>
      </c>
      <c r="T233" s="12">
        <f t="shared" si="62"/>
        <v>3413.7931711328556</v>
      </c>
      <c r="U233" s="12">
        <f t="shared" si="62"/>
        <v>3679.4664742641653</v>
      </c>
      <c r="V233" s="12">
        <f t="shared" si="62"/>
        <v>3968.8058788911385</v>
      </c>
      <c r="W233" s="12">
        <f t="shared" si="62"/>
        <v>4295.834834222852</v>
      </c>
      <c r="X233" s="12">
        <f t="shared" si="62"/>
        <v>4627.774741602367</v>
      </c>
      <c r="Y233" s="12">
        <f t="shared" si="62"/>
        <v>5002.647316147945</v>
      </c>
      <c r="Z233" s="12">
        <f t="shared" si="62"/>
        <v>5252.779681955344</v>
      </c>
      <c r="AA233" s="12">
        <f t="shared" si="62"/>
        <v>5530.529402124489</v>
      </c>
      <c r="AB233" s="12">
        <f t="shared" si="62"/>
        <v>5791.1895993557655</v>
      </c>
      <c r="AC233" s="12">
        <f t="shared" si="62"/>
        <v>6080.749079323554</v>
      </c>
      <c r="AD233" s="12">
        <f t="shared" si="62"/>
        <v>6384.786533289734</v>
      </c>
      <c r="AE233" s="12">
        <f t="shared" si="62"/>
        <v>6722.3930540910815</v>
      </c>
      <c r="AF233" s="12">
        <f t="shared" si="62"/>
        <v>7039.227152951932</v>
      </c>
      <c r="AG233" s="12">
        <f t="shared" si="62"/>
        <v>7391.18851059953</v>
      </c>
      <c r="AH233" s="12">
        <f t="shared" si="62"/>
        <v>7760.747936129505</v>
      </c>
      <c r="AI233" s="12">
        <f t="shared" si="62"/>
        <v>8171.110772204299</v>
      </c>
      <c r="AJ233" s="12">
        <f t="shared" si="62"/>
        <v>8556.224599582783</v>
      </c>
      <c r="AK233" s="12">
        <f t="shared" si="62"/>
        <v>8984.03582956192</v>
      </c>
    </row>
    <row r="234" ht="9.75">
      <c r="A234" s="1" t="s">
        <v>122</v>
      </c>
    </row>
    <row r="235" spans="1:37" ht="9.75">
      <c r="A235" s="11" t="s">
        <v>129</v>
      </c>
      <c r="H235" s="12">
        <f>$B$101*H116*(SUM(H211:H216)+SUM(H218:H223))*H228/10^9</f>
        <v>17.24050575094833</v>
      </c>
      <c r="I235" s="12">
        <f aca="true" t="shared" si="63" ref="I235:AK235">$B$101*I116*(SUM(I211:I216)+SUM(I218:I223))*I228/10^9</f>
        <v>19.612390316855592</v>
      </c>
      <c r="J235" s="12">
        <f t="shared" si="63"/>
        <v>22.310916610283716</v>
      </c>
      <c r="K235" s="12">
        <f t="shared" si="63"/>
        <v>25.44941942183741</v>
      </c>
      <c r="L235" s="12">
        <f t="shared" si="63"/>
        <v>28.871690079875442</v>
      </c>
      <c r="M235" s="12">
        <f t="shared" si="63"/>
        <v>32.84333769770423</v>
      </c>
      <c r="N235" s="12">
        <f t="shared" si="63"/>
        <v>37.361512043047874</v>
      </c>
      <c r="O235" s="12">
        <f t="shared" si="63"/>
        <v>42.61875965680839</v>
      </c>
      <c r="P235" s="12">
        <f t="shared" si="63"/>
        <v>47.51845261737828</v>
      </c>
      <c r="Q235" s="12">
        <f t="shared" si="63"/>
        <v>53.12579167476589</v>
      </c>
      <c r="R235" s="12">
        <f t="shared" si="63"/>
        <v>59.39539235361146</v>
      </c>
      <c r="S235" s="12">
        <f t="shared" si="63"/>
        <v>66.58680431145584</v>
      </c>
      <c r="T235" s="12">
        <f t="shared" si="63"/>
        <v>74.24210819678136</v>
      </c>
      <c r="U235" s="12">
        <f t="shared" si="63"/>
        <v>79.68403561891817</v>
      </c>
      <c r="V235" s="12">
        <f t="shared" si="63"/>
        <v>85.58691154010992</v>
      </c>
      <c r="W235" s="12">
        <f t="shared" si="63"/>
        <v>92.24663280706594</v>
      </c>
      <c r="X235" s="12">
        <f t="shared" si="63"/>
        <v>98.95242595229726</v>
      </c>
      <c r="Y235" s="12">
        <f t="shared" si="63"/>
        <v>106.51384158774658</v>
      </c>
      <c r="Z235" s="12">
        <f t="shared" si="63"/>
        <v>111.8395336671339</v>
      </c>
      <c r="AA235" s="12">
        <f t="shared" si="63"/>
        <v>117.75324051583445</v>
      </c>
      <c r="AB235" s="12">
        <f t="shared" si="63"/>
        <v>123.30308586801515</v>
      </c>
      <c r="AC235" s="12">
        <f t="shared" si="63"/>
        <v>129.4682401614159</v>
      </c>
      <c r="AD235" s="12">
        <f t="shared" si="63"/>
        <v>135.9416521694867</v>
      </c>
      <c r="AE235" s="12">
        <f t="shared" si="63"/>
        <v>143.12979980475</v>
      </c>
      <c r="AF235" s="12">
        <f t="shared" si="63"/>
        <v>149.87567151685914</v>
      </c>
      <c r="AG235" s="12">
        <f t="shared" si="63"/>
        <v>157.3694550927021</v>
      </c>
      <c r="AH235" s="12">
        <f t="shared" si="63"/>
        <v>165.23792784733723</v>
      </c>
      <c r="AI235" s="12">
        <f t="shared" si="63"/>
        <v>173.97516622392246</v>
      </c>
      <c r="AJ235" s="12">
        <f t="shared" si="63"/>
        <v>182.1748154516893</v>
      </c>
      <c r="AK235" s="12">
        <f t="shared" si="63"/>
        <v>191.28355622427378</v>
      </c>
    </row>
    <row r="236" spans="1:37" ht="9.75">
      <c r="A236" s="11" t="s">
        <v>123</v>
      </c>
      <c r="H236" s="12">
        <f aca="true" t="shared" si="64" ref="H236:AK236">$B102*H$116</f>
        <v>4.348075335778946</v>
      </c>
      <c r="I236" s="12">
        <f t="shared" si="64"/>
        <v>4.565479102567894</v>
      </c>
      <c r="J236" s="12">
        <f t="shared" si="64"/>
        <v>4.793753057696288</v>
      </c>
      <c r="K236" s="12">
        <f t="shared" si="64"/>
        <v>5.033440710581103</v>
      </c>
      <c r="L236" s="12">
        <f t="shared" si="64"/>
        <v>5.2851127461101575</v>
      </c>
      <c r="M236" s="12">
        <f t="shared" si="64"/>
        <v>5.549368383415665</v>
      </c>
      <c r="N236" s="12">
        <f t="shared" si="64"/>
        <v>5.826836802586449</v>
      </c>
      <c r="O236" s="12">
        <f t="shared" si="64"/>
        <v>6.118178642715772</v>
      </c>
      <c r="P236" s="12">
        <f t="shared" si="64"/>
        <v>6.424087574851561</v>
      </c>
      <c r="Q236" s="12">
        <f t="shared" si="64"/>
        <v>6.74529195359414</v>
      </c>
      <c r="R236" s="12">
        <f t="shared" si="64"/>
        <v>7.082556551273847</v>
      </c>
      <c r="S236" s="12">
        <f t="shared" si="64"/>
        <v>7.43668437883754</v>
      </c>
      <c r="T236" s="12">
        <f t="shared" si="64"/>
        <v>7.8085185977794165</v>
      </c>
      <c r="U236" s="12">
        <f t="shared" si="64"/>
        <v>8.198944527668388</v>
      </c>
      <c r="V236" s="12">
        <f t="shared" si="64"/>
        <v>8.608891754051808</v>
      </c>
      <c r="W236" s="12">
        <f t="shared" si="64"/>
        <v>9.039336341754398</v>
      </c>
      <c r="X236" s="12">
        <f t="shared" si="64"/>
        <v>9.491303158842117</v>
      </c>
      <c r="Y236" s="12">
        <f t="shared" si="64"/>
        <v>9.965868316784224</v>
      </c>
      <c r="Z236" s="12">
        <f t="shared" si="64"/>
        <v>10.464161732623436</v>
      </c>
      <c r="AA236" s="12">
        <f t="shared" si="64"/>
        <v>10.987369819254608</v>
      </c>
      <c r="AB236" s="12">
        <f t="shared" si="64"/>
        <v>11.53673831021734</v>
      </c>
      <c r="AC236" s="12">
        <f t="shared" si="64"/>
        <v>12.113575225728205</v>
      </c>
      <c r="AD236" s="12">
        <f t="shared" si="64"/>
        <v>12.719253987014618</v>
      </c>
      <c r="AE236" s="12">
        <f t="shared" si="64"/>
        <v>13.355216686365349</v>
      </c>
      <c r="AF236" s="12">
        <f t="shared" si="64"/>
        <v>14.022977520683618</v>
      </c>
      <c r="AG236" s="12">
        <f t="shared" si="64"/>
        <v>14.7241263967178</v>
      </c>
      <c r="AH236" s="12">
        <f t="shared" si="64"/>
        <v>15.46033271655369</v>
      </c>
      <c r="AI236" s="12">
        <f t="shared" si="64"/>
        <v>16.233349352381378</v>
      </c>
      <c r="AJ236" s="12">
        <f t="shared" si="64"/>
        <v>17.045016820000445</v>
      </c>
      <c r="AK236" s="12">
        <f t="shared" si="64"/>
        <v>17.89726766100047</v>
      </c>
    </row>
    <row r="237" spans="1:37" ht="9.75">
      <c r="A237" s="11" t="s">
        <v>81</v>
      </c>
      <c r="O237" s="12">
        <f>$B103*O$116</f>
        <v>509.84822022631425</v>
      </c>
      <c r="W237" s="12">
        <f>$B103*W$116</f>
        <v>753.2780284795331</v>
      </c>
      <c r="AE237" s="12">
        <f>$B103*AE$116</f>
        <v>1112.934723863779</v>
      </c>
      <c r="AK237" s="12"/>
    </row>
    <row r="238" spans="8:61" ht="9.75"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</row>
    <row r="239" ht="9.75">
      <c r="A239" s="1" t="s">
        <v>85</v>
      </c>
    </row>
    <row r="240" spans="1:61" ht="9.75">
      <c r="A240" s="2" t="s">
        <v>86</v>
      </c>
      <c r="H240" s="12">
        <f aca="true" t="shared" si="65" ref="H240:AK240">H233</f>
        <v>793.7770861549909</v>
      </c>
      <c r="I240" s="12">
        <f t="shared" si="65"/>
        <v>902.7070242367238</v>
      </c>
      <c r="J240" s="12">
        <f t="shared" si="65"/>
        <v>1026.6161556411637</v>
      </c>
      <c r="K240" s="12">
        <f t="shared" si="65"/>
        <v>1170.68619986408</v>
      </c>
      <c r="L240" s="12">
        <f t="shared" si="65"/>
        <v>1327.7268401854667</v>
      </c>
      <c r="M240" s="12">
        <f t="shared" si="65"/>
        <v>1509.9614808319427</v>
      </c>
      <c r="N240" s="12">
        <f t="shared" si="65"/>
        <v>1717.209555506763</v>
      </c>
      <c r="O240" s="12">
        <f t="shared" si="65"/>
        <v>1958.272955946569</v>
      </c>
      <c r="P240" s="12">
        <f t="shared" si="65"/>
        <v>2183.730069932704</v>
      </c>
      <c r="Q240" s="12">
        <f t="shared" si="65"/>
        <v>2441.7582083242473</v>
      </c>
      <c r="R240" s="12">
        <f t="shared" si="65"/>
        <v>2730.328145563324</v>
      </c>
      <c r="S240" s="12">
        <f t="shared" si="65"/>
        <v>3061.3174957434335</v>
      </c>
      <c r="T240" s="12">
        <f t="shared" si="65"/>
        <v>3413.7931711328556</v>
      </c>
      <c r="U240" s="12">
        <f t="shared" si="65"/>
        <v>3679.4664742641653</v>
      </c>
      <c r="V240" s="12">
        <f t="shared" si="65"/>
        <v>3968.8058788911385</v>
      </c>
      <c r="W240" s="12">
        <f t="shared" si="65"/>
        <v>4295.834834222852</v>
      </c>
      <c r="X240" s="12">
        <f t="shared" si="65"/>
        <v>4627.774741602367</v>
      </c>
      <c r="Y240" s="12">
        <f t="shared" si="65"/>
        <v>5002.647316147945</v>
      </c>
      <c r="Z240" s="12">
        <f t="shared" si="65"/>
        <v>5252.779681955344</v>
      </c>
      <c r="AA240" s="12">
        <f t="shared" si="65"/>
        <v>5530.529402124489</v>
      </c>
      <c r="AB240" s="12">
        <f t="shared" si="65"/>
        <v>5791.1895993557655</v>
      </c>
      <c r="AC240" s="12">
        <f t="shared" si="65"/>
        <v>6080.749079323554</v>
      </c>
      <c r="AD240" s="12">
        <f t="shared" si="65"/>
        <v>6384.786533289734</v>
      </c>
      <c r="AE240" s="12">
        <f t="shared" si="65"/>
        <v>6722.3930540910815</v>
      </c>
      <c r="AF240" s="12">
        <f t="shared" si="65"/>
        <v>7039.227152951932</v>
      </c>
      <c r="AG240" s="12">
        <f t="shared" si="65"/>
        <v>7391.18851059953</v>
      </c>
      <c r="AH240" s="12">
        <f t="shared" si="65"/>
        <v>7760.747936129505</v>
      </c>
      <c r="AI240" s="12">
        <f t="shared" si="65"/>
        <v>8171.110772204299</v>
      </c>
      <c r="AJ240" s="12">
        <f t="shared" si="65"/>
        <v>8556.224599582783</v>
      </c>
      <c r="AK240" s="12">
        <f t="shared" si="65"/>
        <v>8984.03582956192</v>
      </c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</row>
    <row r="241" spans="1:61" ht="9.75">
      <c r="A241" s="31" t="s">
        <v>128</v>
      </c>
      <c r="H241" s="12">
        <f>-H235</f>
        <v>-17.24050575094833</v>
      </c>
      <c r="I241" s="12">
        <f aca="true" t="shared" si="66" ref="I241:AK241">-I235</f>
        <v>-19.612390316855592</v>
      </c>
      <c r="J241" s="12">
        <f t="shared" si="66"/>
        <v>-22.310916610283716</v>
      </c>
      <c r="K241" s="12">
        <f t="shared" si="66"/>
        <v>-25.44941942183741</v>
      </c>
      <c r="L241" s="12">
        <f t="shared" si="66"/>
        <v>-28.871690079875442</v>
      </c>
      <c r="M241" s="12">
        <f t="shared" si="66"/>
        <v>-32.84333769770423</v>
      </c>
      <c r="N241" s="12">
        <f t="shared" si="66"/>
        <v>-37.361512043047874</v>
      </c>
      <c r="O241" s="12">
        <f t="shared" si="66"/>
        <v>-42.61875965680839</v>
      </c>
      <c r="P241" s="12">
        <f t="shared" si="66"/>
        <v>-47.51845261737828</v>
      </c>
      <c r="Q241" s="12">
        <f t="shared" si="66"/>
        <v>-53.12579167476589</v>
      </c>
      <c r="R241" s="12">
        <f t="shared" si="66"/>
        <v>-59.39539235361146</v>
      </c>
      <c r="S241" s="12">
        <f t="shared" si="66"/>
        <v>-66.58680431145584</v>
      </c>
      <c r="T241" s="12">
        <f t="shared" si="66"/>
        <v>-74.24210819678136</v>
      </c>
      <c r="U241" s="12">
        <f t="shared" si="66"/>
        <v>-79.68403561891817</v>
      </c>
      <c r="V241" s="12">
        <f t="shared" si="66"/>
        <v>-85.58691154010992</v>
      </c>
      <c r="W241" s="12">
        <f t="shared" si="66"/>
        <v>-92.24663280706594</v>
      </c>
      <c r="X241" s="12">
        <f t="shared" si="66"/>
        <v>-98.95242595229726</v>
      </c>
      <c r="Y241" s="12">
        <f t="shared" si="66"/>
        <v>-106.51384158774658</v>
      </c>
      <c r="Z241" s="12">
        <f t="shared" si="66"/>
        <v>-111.8395336671339</v>
      </c>
      <c r="AA241" s="12">
        <f t="shared" si="66"/>
        <v>-117.75324051583445</v>
      </c>
      <c r="AB241" s="12">
        <f t="shared" si="66"/>
        <v>-123.30308586801515</v>
      </c>
      <c r="AC241" s="12">
        <f t="shared" si="66"/>
        <v>-129.4682401614159</v>
      </c>
      <c r="AD241" s="12">
        <f t="shared" si="66"/>
        <v>-135.9416521694867</v>
      </c>
      <c r="AE241" s="12">
        <f t="shared" si="66"/>
        <v>-143.12979980475</v>
      </c>
      <c r="AF241" s="12">
        <f t="shared" si="66"/>
        <v>-149.87567151685914</v>
      </c>
      <c r="AG241" s="12">
        <f t="shared" si="66"/>
        <v>-157.3694550927021</v>
      </c>
      <c r="AH241" s="12">
        <f t="shared" si="66"/>
        <v>-165.23792784733723</v>
      </c>
      <c r="AI241" s="12">
        <f t="shared" si="66"/>
        <v>-173.97516622392246</v>
      </c>
      <c r="AJ241" s="12">
        <f t="shared" si="66"/>
        <v>-182.1748154516893</v>
      </c>
      <c r="AK241" s="12">
        <f t="shared" si="66"/>
        <v>-191.28355622427378</v>
      </c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</row>
    <row r="242" spans="1:61" ht="9.75">
      <c r="A242" s="31" t="s">
        <v>124</v>
      </c>
      <c r="H242" s="12">
        <f aca="true" t="shared" si="67" ref="H242:AK242">-H236</f>
        <v>-4.348075335778946</v>
      </c>
      <c r="I242" s="12">
        <f t="shared" si="67"/>
        <v>-4.565479102567894</v>
      </c>
      <c r="J242" s="12">
        <f t="shared" si="67"/>
        <v>-4.793753057696288</v>
      </c>
      <c r="K242" s="12">
        <f t="shared" si="67"/>
        <v>-5.033440710581103</v>
      </c>
      <c r="L242" s="12">
        <f t="shared" si="67"/>
        <v>-5.2851127461101575</v>
      </c>
      <c r="M242" s="12">
        <f t="shared" si="67"/>
        <v>-5.549368383415665</v>
      </c>
      <c r="N242" s="12">
        <f t="shared" si="67"/>
        <v>-5.826836802586449</v>
      </c>
      <c r="O242" s="12">
        <f t="shared" si="67"/>
        <v>-6.118178642715772</v>
      </c>
      <c r="P242" s="12">
        <f t="shared" si="67"/>
        <v>-6.424087574851561</v>
      </c>
      <c r="Q242" s="12">
        <f t="shared" si="67"/>
        <v>-6.74529195359414</v>
      </c>
      <c r="R242" s="12">
        <f t="shared" si="67"/>
        <v>-7.082556551273847</v>
      </c>
      <c r="S242" s="12">
        <f t="shared" si="67"/>
        <v>-7.43668437883754</v>
      </c>
      <c r="T242" s="12">
        <f t="shared" si="67"/>
        <v>-7.8085185977794165</v>
      </c>
      <c r="U242" s="12">
        <f t="shared" si="67"/>
        <v>-8.198944527668388</v>
      </c>
      <c r="V242" s="12">
        <f t="shared" si="67"/>
        <v>-8.608891754051808</v>
      </c>
      <c r="W242" s="12">
        <f t="shared" si="67"/>
        <v>-9.039336341754398</v>
      </c>
      <c r="X242" s="12">
        <f t="shared" si="67"/>
        <v>-9.491303158842117</v>
      </c>
      <c r="Y242" s="12">
        <f t="shared" si="67"/>
        <v>-9.965868316784224</v>
      </c>
      <c r="Z242" s="12">
        <f t="shared" si="67"/>
        <v>-10.464161732623436</v>
      </c>
      <c r="AA242" s="12">
        <f t="shared" si="67"/>
        <v>-10.987369819254608</v>
      </c>
      <c r="AB242" s="12">
        <f t="shared" si="67"/>
        <v>-11.53673831021734</v>
      </c>
      <c r="AC242" s="12">
        <f t="shared" si="67"/>
        <v>-12.113575225728205</v>
      </c>
      <c r="AD242" s="12">
        <f t="shared" si="67"/>
        <v>-12.719253987014618</v>
      </c>
      <c r="AE242" s="12">
        <f t="shared" si="67"/>
        <v>-13.355216686365349</v>
      </c>
      <c r="AF242" s="12">
        <f t="shared" si="67"/>
        <v>-14.022977520683618</v>
      </c>
      <c r="AG242" s="12">
        <f t="shared" si="67"/>
        <v>-14.7241263967178</v>
      </c>
      <c r="AH242" s="12">
        <f t="shared" si="67"/>
        <v>-15.46033271655369</v>
      </c>
      <c r="AI242" s="12">
        <f t="shared" si="67"/>
        <v>-16.233349352381378</v>
      </c>
      <c r="AJ242" s="12">
        <f t="shared" si="67"/>
        <v>-17.045016820000445</v>
      </c>
      <c r="AK242" s="12">
        <f t="shared" si="67"/>
        <v>-17.89726766100047</v>
      </c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</row>
    <row r="243" spans="1:61" ht="9.75">
      <c r="A243" s="31" t="s">
        <v>98</v>
      </c>
      <c r="H243" s="12">
        <f aca="true" t="shared" si="68" ref="H243:AK243">-H237</f>
        <v>0</v>
      </c>
      <c r="I243" s="12">
        <f t="shared" si="68"/>
        <v>0</v>
      </c>
      <c r="J243" s="12">
        <f t="shared" si="68"/>
        <v>0</v>
      </c>
      <c r="K243" s="12">
        <f t="shared" si="68"/>
        <v>0</v>
      </c>
      <c r="L243" s="12">
        <f t="shared" si="68"/>
        <v>0</v>
      </c>
      <c r="M243" s="12">
        <f t="shared" si="68"/>
        <v>0</v>
      </c>
      <c r="N243" s="12">
        <f t="shared" si="68"/>
        <v>0</v>
      </c>
      <c r="O243" s="12">
        <f t="shared" si="68"/>
        <v>-509.84822022631425</v>
      </c>
      <c r="P243" s="12">
        <f t="shared" si="68"/>
        <v>0</v>
      </c>
      <c r="Q243" s="12">
        <f t="shared" si="68"/>
        <v>0</v>
      </c>
      <c r="R243" s="12">
        <f t="shared" si="68"/>
        <v>0</v>
      </c>
      <c r="S243" s="12">
        <f t="shared" si="68"/>
        <v>0</v>
      </c>
      <c r="T243" s="12">
        <f t="shared" si="68"/>
        <v>0</v>
      </c>
      <c r="U243" s="12">
        <f t="shared" si="68"/>
        <v>0</v>
      </c>
      <c r="V243" s="12">
        <f t="shared" si="68"/>
        <v>0</v>
      </c>
      <c r="W243" s="12">
        <f t="shared" si="68"/>
        <v>-753.2780284795331</v>
      </c>
      <c r="X243" s="12">
        <f t="shared" si="68"/>
        <v>0</v>
      </c>
      <c r="Y243" s="12">
        <f t="shared" si="68"/>
        <v>0</v>
      </c>
      <c r="Z243" s="12">
        <f t="shared" si="68"/>
        <v>0</v>
      </c>
      <c r="AA243" s="12">
        <f t="shared" si="68"/>
        <v>0</v>
      </c>
      <c r="AB243" s="12">
        <f t="shared" si="68"/>
        <v>0</v>
      </c>
      <c r="AC243" s="12">
        <f t="shared" si="68"/>
        <v>0</v>
      </c>
      <c r="AD243" s="12">
        <f t="shared" si="68"/>
        <v>0</v>
      </c>
      <c r="AE243" s="12">
        <f t="shared" si="68"/>
        <v>-1112.934723863779</v>
      </c>
      <c r="AF243" s="12">
        <f t="shared" si="68"/>
        <v>0</v>
      </c>
      <c r="AG243" s="12">
        <f t="shared" si="68"/>
        <v>0</v>
      </c>
      <c r="AH243" s="12">
        <f t="shared" si="68"/>
        <v>0</v>
      </c>
      <c r="AI243" s="12">
        <f t="shared" si="68"/>
        <v>0</v>
      </c>
      <c r="AJ243" s="12">
        <f t="shared" si="68"/>
        <v>0</v>
      </c>
      <c r="AK243" s="12">
        <f t="shared" si="68"/>
        <v>0</v>
      </c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</row>
    <row r="244" spans="1:61" ht="9.75">
      <c r="A244" s="2" t="s">
        <v>87</v>
      </c>
      <c r="H244" s="12">
        <f>H240+H241+H242+H243</f>
        <v>772.1885050682636</v>
      </c>
      <c r="I244" s="12">
        <f aca="true" t="shared" si="69" ref="I244:AK244">I240+I241+I242+I243</f>
        <v>878.5291548173003</v>
      </c>
      <c r="J244" s="12">
        <f t="shared" si="69"/>
        <v>999.5114859731837</v>
      </c>
      <c r="K244" s="12">
        <f t="shared" si="69"/>
        <v>1140.2033397316616</v>
      </c>
      <c r="L244" s="12">
        <f t="shared" si="69"/>
        <v>1293.5700373594811</v>
      </c>
      <c r="M244" s="12">
        <f t="shared" si="69"/>
        <v>1471.5687747508227</v>
      </c>
      <c r="N244" s="12">
        <f t="shared" si="69"/>
        <v>1674.0212066611286</v>
      </c>
      <c r="O244" s="12">
        <f t="shared" si="69"/>
        <v>1399.6877974207307</v>
      </c>
      <c r="P244" s="12">
        <f t="shared" si="69"/>
        <v>2129.787529740474</v>
      </c>
      <c r="Q244" s="12">
        <f t="shared" si="69"/>
        <v>2381.8871246958875</v>
      </c>
      <c r="R244" s="12">
        <f t="shared" si="69"/>
        <v>2663.850196658439</v>
      </c>
      <c r="S244" s="12">
        <f t="shared" si="69"/>
        <v>2987.29400705314</v>
      </c>
      <c r="T244" s="12">
        <f t="shared" si="69"/>
        <v>3331.742544338295</v>
      </c>
      <c r="U244" s="12">
        <f t="shared" si="69"/>
        <v>3591.5834941175785</v>
      </c>
      <c r="V244" s="12">
        <f t="shared" si="69"/>
        <v>3874.6100755969765</v>
      </c>
      <c r="W244" s="12">
        <f t="shared" si="69"/>
        <v>3441.2708365944986</v>
      </c>
      <c r="X244" s="12">
        <f t="shared" si="69"/>
        <v>4519.331012491228</v>
      </c>
      <c r="Y244" s="12">
        <f t="shared" si="69"/>
        <v>4886.167606243414</v>
      </c>
      <c r="Z244" s="12">
        <f t="shared" si="69"/>
        <v>5130.475986555587</v>
      </c>
      <c r="AA244" s="12">
        <f t="shared" si="69"/>
        <v>5401.7887917893995</v>
      </c>
      <c r="AB244" s="12">
        <f t="shared" si="69"/>
        <v>5656.349775177533</v>
      </c>
      <c r="AC244" s="12">
        <f t="shared" si="69"/>
        <v>5939.167263936411</v>
      </c>
      <c r="AD244" s="12">
        <f t="shared" si="69"/>
        <v>6236.125627133232</v>
      </c>
      <c r="AE244" s="12">
        <f t="shared" si="69"/>
        <v>5452.973313736186</v>
      </c>
      <c r="AF244" s="12">
        <f t="shared" si="69"/>
        <v>6875.328503914389</v>
      </c>
      <c r="AG244" s="12">
        <f t="shared" si="69"/>
        <v>7219.09492911011</v>
      </c>
      <c r="AH244" s="12">
        <f t="shared" si="69"/>
        <v>7580.049675565615</v>
      </c>
      <c r="AI244" s="12">
        <f t="shared" si="69"/>
        <v>7980.9022566279955</v>
      </c>
      <c r="AJ244" s="12">
        <f t="shared" si="69"/>
        <v>8357.004767311093</v>
      </c>
      <c r="AK244" s="12">
        <f t="shared" si="69"/>
        <v>8774.855005676645</v>
      </c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</row>
    <row r="245" spans="1:61" ht="9.75">
      <c r="A245" s="31" t="s">
        <v>99</v>
      </c>
      <c r="H245" s="12">
        <f aca="true" t="shared" si="70" ref="H245:AK245">-H207</f>
        <v>-438.8220405637958</v>
      </c>
      <c r="I245" s="12">
        <f t="shared" si="70"/>
        <v>-438.8220405637958</v>
      </c>
      <c r="J245" s="12">
        <f t="shared" si="70"/>
        <v>-438.8220405637958</v>
      </c>
      <c r="K245" s="12">
        <f t="shared" si="70"/>
        <v>-438.8220405637958</v>
      </c>
      <c r="L245" s="12">
        <f t="shared" si="70"/>
        <v>-438.8220405637958</v>
      </c>
      <c r="M245" s="12">
        <f t="shared" si="70"/>
        <v>-438.8220405637958</v>
      </c>
      <c r="N245" s="12">
        <f t="shared" si="70"/>
        <v>-438.8220405637958</v>
      </c>
      <c r="O245" s="12">
        <f t="shared" si="70"/>
        <v>-438.8220405637958</v>
      </c>
      <c r="P245" s="12">
        <f t="shared" si="70"/>
        <v>-438.8220405637958</v>
      </c>
      <c r="Q245" s="12">
        <f t="shared" si="70"/>
        <v>-438.8220405637958</v>
      </c>
      <c r="R245" s="12">
        <f t="shared" si="70"/>
        <v>-438.8220405637958</v>
      </c>
      <c r="S245" s="12">
        <f t="shared" si="70"/>
        <v>-438.8220405637958</v>
      </c>
      <c r="T245" s="12">
        <f t="shared" si="70"/>
        <v>-438.8220405637958</v>
      </c>
      <c r="U245" s="12">
        <f t="shared" si="70"/>
        <v>-438.8220405637958</v>
      </c>
      <c r="V245" s="12">
        <f t="shared" si="70"/>
        <v>-438.8220405637958</v>
      </c>
      <c r="W245" s="12">
        <f t="shared" si="70"/>
        <v>-438.8220405637958</v>
      </c>
      <c r="X245" s="12">
        <f t="shared" si="70"/>
        <v>-438.8220405637958</v>
      </c>
      <c r="Y245" s="12">
        <f t="shared" si="70"/>
        <v>-438.8220405637958</v>
      </c>
      <c r="Z245" s="12">
        <f t="shared" si="70"/>
        <v>-438.8220405637958</v>
      </c>
      <c r="AA245" s="12">
        <f t="shared" si="70"/>
        <v>-438.8220405637958</v>
      </c>
      <c r="AB245" s="12">
        <f t="shared" si="70"/>
        <v>-438.8220405637958</v>
      </c>
      <c r="AC245" s="12">
        <f t="shared" si="70"/>
        <v>-438.8220405637958</v>
      </c>
      <c r="AD245" s="12">
        <f t="shared" si="70"/>
        <v>-438.8220405637958</v>
      </c>
      <c r="AE245" s="12">
        <f t="shared" si="70"/>
        <v>-438.8220405637958</v>
      </c>
      <c r="AF245" s="12">
        <f t="shared" si="70"/>
        <v>-438.8220405637958</v>
      </c>
      <c r="AG245" s="12">
        <f t="shared" si="70"/>
        <v>-438.8220405637958</v>
      </c>
      <c r="AH245" s="12">
        <f t="shared" si="70"/>
        <v>-438.8220405637958</v>
      </c>
      <c r="AI245" s="12">
        <f t="shared" si="70"/>
        <v>-438.8220405637958</v>
      </c>
      <c r="AJ245" s="12">
        <f t="shared" si="70"/>
        <v>-438.8220405637958</v>
      </c>
      <c r="AK245" s="12">
        <f t="shared" si="70"/>
        <v>-438.8220405637958</v>
      </c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</row>
    <row r="246" spans="1:61" ht="9.75">
      <c r="A246" s="2" t="s">
        <v>88</v>
      </c>
      <c r="H246" s="12">
        <f aca="true" t="shared" si="71" ref="H246:AK246">H244+H245</f>
        <v>333.3664645044678</v>
      </c>
      <c r="I246" s="12">
        <f t="shared" si="71"/>
        <v>439.7071142535045</v>
      </c>
      <c r="J246" s="12">
        <f t="shared" si="71"/>
        <v>560.6894454093879</v>
      </c>
      <c r="K246" s="12">
        <f t="shared" si="71"/>
        <v>701.3812991678658</v>
      </c>
      <c r="L246" s="12">
        <f t="shared" si="71"/>
        <v>854.7479967956854</v>
      </c>
      <c r="M246" s="12">
        <f t="shared" si="71"/>
        <v>1032.746734187027</v>
      </c>
      <c r="N246" s="12">
        <f t="shared" si="71"/>
        <v>1235.1991660973329</v>
      </c>
      <c r="O246" s="12">
        <f t="shared" si="71"/>
        <v>960.8657568569349</v>
      </c>
      <c r="P246" s="12">
        <f t="shared" si="71"/>
        <v>1690.9654891766781</v>
      </c>
      <c r="Q246" s="12">
        <f t="shared" si="71"/>
        <v>1943.0650841320917</v>
      </c>
      <c r="R246" s="12">
        <f t="shared" si="71"/>
        <v>2225.0281560946432</v>
      </c>
      <c r="S246" s="12">
        <f t="shared" si="71"/>
        <v>2548.471966489344</v>
      </c>
      <c r="T246" s="12">
        <f t="shared" si="71"/>
        <v>2892.920503774499</v>
      </c>
      <c r="U246" s="12">
        <f t="shared" si="71"/>
        <v>3152.7614535537828</v>
      </c>
      <c r="V246" s="12">
        <f t="shared" si="71"/>
        <v>3435.7880350331807</v>
      </c>
      <c r="W246" s="12">
        <f t="shared" si="71"/>
        <v>3002.448796030703</v>
      </c>
      <c r="X246" s="12">
        <f t="shared" si="71"/>
        <v>4080.508971927432</v>
      </c>
      <c r="Y246" s="12">
        <f t="shared" si="71"/>
        <v>4447.345565679619</v>
      </c>
      <c r="Z246" s="12">
        <f t="shared" si="71"/>
        <v>4691.653945991791</v>
      </c>
      <c r="AA246" s="12">
        <f t="shared" si="71"/>
        <v>4962.966751225604</v>
      </c>
      <c r="AB246" s="12">
        <f t="shared" si="71"/>
        <v>5217.527734613737</v>
      </c>
      <c r="AC246" s="12">
        <f t="shared" si="71"/>
        <v>5500.345223372615</v>
      </c>
      <c r="AD246" s="12">
        <f t="shared" si="71"/>
        <v>5797.303586569436</v>
      </c>
      <c r="AE246" s="12">
        <f t="shared" si="71"/>
        <v>5014.151273172391</v>
      </c>
      <c r="AF246" s="12">
        <f t="shared" si="71"/>
        <v>6436.506463350594</v>
      </c>
      <c r="AG246" s="12">
        <f t="shared" si="71"/>
        <v>6780.272888546314</v>
      </c>
      <c r="AH246" s="12">
        <f t="shared" si="71"/>
        <v>7141.227635001819</v>
      </c>
      <c r="AI246" s="12">
        <f t="shared" si="71"/>
        <v>7542.0802160642</v>
      </c>
      <c r="AJ246" s="12">
        <f t="shared" si="71"/>
        <v>7918.182726747297</v>
      </c>
      <c r="AK246" s="12">
        <f t="shared" si="71"/>
        <v>8336.032965112849</v>
      </c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</row>
    <row r="247" spans="1:61" ht="9.75">
      <c r="A247" s="31" t="s">
        <v>100</v>
      </c>
      <c r="H247" s="12">
        <f aca="true" t="shared" si="72" ref="H247:AK247">-H178-H168</f>
        <v>-497.02630062565675</v>
      </c>
      <c r="I247" s="12">
        <f t="shared" si="72"/>
        <v>-511.19144066110505</v>
      </c>
      <c r="J247" s="12">
        <f t="shared" si="72"/>
        <v>-524.9924193625926</v>
      </c>
      <c r="K247" s="12">
        <f t="shared" si="72"/>
        <v>-538.2748835804807</v>
      </c>
      <c r="L247" s="12">
        <f t="shared" si="72"/>
        <v>-550.8577517354573</v>
      </c>
      <c r="M247" s="12">
        <f t="shared" si="72"/>
        <v>-562.5291401477355</v>
      </c>
      <c r="N247" s="12">
        <f t="shared" si="72"/>
        <v>-569.981513858396</v>
      </c>
      <c r="O247" s="12">
        <f t="shared" si="72"/>
        <v>-575.4130618229358</v>
      </c>
      <c r="P247" s="12">
        <f t="shared" si="72"/>
        <v>-578.3995956931453</v>
      </c>
      <c r="Q247" s="12">
        <f t="shared" si="72"/>
        <v>-578.4496711286366</v>
      </c>
      <c r="R247" s="12">
        <f t="shared" si="72"/>
        <v>-574.9945548316749</v>
      </c>
      <c r="S247" s="12">
        <f t="shared" si="72"/>
        <v>-567.3767190746055</v>
      </c>
      <c r="T247" s="12">
        <f t="shared" si="72"/>
        <v>-554.8366485889347</v>
      </c>
      <c r="U247" s="12">
        <f t="shared" si="72"/>
        <v>-536.4977132956014</v>
      </c>
      <c r="V247" s="12">
        <f t="shared" si="72"/>
        <v>-511.3488243881341</v>
      </c>
      <c r="W247" s="12">
        <f t="shared" si="72"/>
        <v>-478.22455006653297</v>
      </c>
      <c r="X247" s="12">
        <f t="shared" si="72"/>
        <v>-435.7823199947731</v>
      </c>
      <c r="Y247" s="12">
        <f t="shared" si="72"/>
        <v>-382.47629344214005</v>
      </c>
      <c r="Z247" s="12">
        <f t="shared" si="72"/>
        <v>-316.5274040636979</v>
      </c>
      <c r="AA247" s="12">
        <f t="shared" si="72"/>
        <v>-235.88902322706255</v>
      </c>
      <c r="AB247" s="12">
        <f t="shared" si="72"/>
        <v>-138.2076023824762</v>
      </c>
      <c r="AC247" s="12">
        <f t="shared" si="72"/>
        <v>-120.38494300577581</v>
      </c>
      <c r="AD247" s="12">
        <f t="shared" si="72"/>
        <v>-98.38073185646724</v>
      </c>
      <c r="AE247" s="12">
        <f t="shared" si="72"/>
        <v>-71.51922538659348</v>
      </c>
      <c r="AF247" s="12">
        <f t="shared" si="72"/>
        <v>-39.023386867685</v>
      </c>
      <c r="AG247" s="12">
        <f t="shared" si="72"/>
        <v>0</v>
      </c>
      <c r="AH247" s="12">
        <f t="shared" si="72"/>
        <v>0</v>
      </c>
      <c r="AI247" s="12">
        <f t="shared" si="72"/>
        <v>0</v>
      </c>
      <c r="AJ247" s="12">
        <f t="shared" si="72"/>
        <v>0</v>
      </c>
      <c r="AK247" s="12">
        <f t="shared" si="72"/>
        <v>0</v>
      </c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</row>
    <row r="248" spans="1:61" ht="9.75">
      <c r="A248" s="2" t="s">
        <v>89</v>
      </c>
      <c r="H248" s="12">
        <f aca="true" t="shared" si="73" ref="H248:AK248">H246+H247</f>
        <v>-163.65983612118896</v>
      </c>
      <c r="I248" s="12">
        <f t="shared" si="73"/>
        <v>-71.48432640760052</v>
      </c>
      <c r="J248" s="12">
        <f t="shared" si="73"/>
        <v>35.69702604679526</v>
      </c>
      <c r="K248" s="12">
        <f t="shared" si="73"/>
        <v>163.10641558738507</v>
      </c>
      <c r="L248" s="12">
        <f t="shared" si="73"/>
        <v>303.89024506022804</v>
      </c>
      <c r="M248" s="12">
        <f t="shared" si="73"/>
        <v>470.2175940392915</v>
      </c>
      <c r="N248" s="12">
        <f t="shared" si="73"/>
        <v>665.2176522389368</v>
      </c>
      <c r="O248" s="12">
        <f t="shared" si="73"/>
        <v>385.45269503399913</v>
      </c>
      <c r="P248" s="12">
        <f t="shared" si="73"/>
        <v>1112.5658934835328</v>
      </c>
      <c r="Q248" s="12">
        <f t="shared" si="73"/>
        <v>1364.6154130034552</v>
      </c>
      <c r="R248" s="12">
        <f t="shared" si="73"/>
        <v>1650.0336012629682</v>
      </c>
      <c r="S248" s="12">
        <f t="shared" si="73"/>
        <v>1981.0952474147387</v>
      </c>
      <c r="T248" s="12">
        <f t="shared" si="73"/>
        <v>2338.0838551855645</v>
      </c>
      <c r="U248" s="12">
        <f t="shared" si="73"/>
        <v>2616.2637402581813</v>
      </c>
      <c r="V248" s="12">
        <f t="shared" si="73"/>
        <v>2924.4392106450464</v>
      </c>
      <c r="W248" s="12">
        <f t="shared" si="73"/>
        <v>2524.2242459641698</v>
      </c>
      <c r="X248" s="12">
        <f t="shared" si="73"/>
        <v>3644.726651932659</v>
      </c>
      <c r="Y248" s="12">
        <f t="shared" si="73"/>
        <v>4064.8692722374785</v>
      </c>
      <c r="Z248" s="12">
        <f t="shared" si="73"/>
        <v>4375.1265419280935</v>
      </c>
      <c r="AA248" s="12">
        <f t="shared" si="73"/>
        <v>4727.077727998541</v>
      </c>
      <c r="AB248" s="12">
        <f t="shared" si="73"/>
        <v>5079.320132231261</v>
      </c>
      <c r="AC248" s="12">
        <f t="shared" si="73"/>
        <v>5379.960280366839</v>
      </c>
      <c r="AD248" s="12">
        <f t="shared" si="73"/>
        <v>5698.92285471297</v>
      </c>
      <c r="AE248" s="12">
        <f t="shared" si="73"/>
        <v>4942.632047785797</v>
      </c>
      <c r="AF248" s="12">
        <f t="shared" si="73"/>
        <v>6397.4830764829085</v>
      </c>
      <c r="AG248" s="12">
        <f t="shared" si="73"/>
        <v>6780.272888546314</v>
      </c>
      <c r="AH248" s="12">
        <f t="shared" si="73"/>
        <v>7141.227635001819</v>
      </c>
      <c r="AI248" s="12">
        <f t="shared" si="73"/>
        <v>7542.0802160642</v>
      </c>
      <c r="AJ248" s="12">
        <f t="shared" si="73"/>
        <v>7918.182726747297</v>
      </c>
      <c r="AK248" s="12">
        <f t="shared" si="73"/>
        <v>8336.032965112849</v>
      </c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</row>
    <row r="249" spans="1:61" ht="9.75">
      <c r="A249" s="2" t="s">
        <v>130</v>
      </c>
      <c r="H249" s="12" t="e">
        <f>tnct($H$248:$AK$248,H3-5,$B$109)</f>
        <v>#NAME?</v>
      </c>
      <c r="I249" s="12" t="e">
        <f aca="true" t="shared" si="74" ref="I249:AK249">tnct($H$248:$AK$248,I3-5,$B$109)</f>
        <v>#NAME?</v>
      </c>
      <c r="J249" s="12" t="e">
        <f t="shared" si="74"/>
        <v>#NAME?</v>
      </c>
      <c r="K249" s="12" t="e">
        <f t="shared" si="74"/>
        <v>#NAME?</v>
      </c>
      <c r="L249" s="12" t="e">
        <f t="shared" si="74"/>
        <v>#NAME?</v>
      </c>
      <c r="M249" s="12" t="e">
        <f t="shared" si="74"/>
        <v>#NAME?</v>
      </c>
      <c r="N249" s="12" t="e">
        <f t="shared" si="74"/>
        <v>#NAME?</v>
      </c>
      <c r="O249" s="12" t="e">
        <f t="shared" si="74"/>
        <v>#NAME?</v>
      </c>
      <c r="P249" s="12" t="e">
        <f t="shared" si="74"/>
        <v>#NAME?</v>
      </c>
      <c r="Q249" s="12" t="e">
        <f t="shared" si="74"/>
        <v>#NAME?</v>
      </c>
      <c r="R249" s="12" t="e">
        <f t="shared" si="74"/>
        <v>#NAME?</v>
      </c>
      <c r="S249" s="12" t="e">
        <f t="shared" si="74"/>
        <v>#NAME?</v>
      </c>
      <c r="T249" s="12" t="e">
        <f t="shared" si="74"/>
        <v>#NAME?</v>
      </c>
      <c r="U249" s="12" t="e">
        <f t="shared" si="74"/>
        <v>#NAME?</v>
      </c>
      <c r="V249" s="12" t="e">
        <f t="shared" si="74"/>
        <v>#NAME?</v>
      </c>
      <c r="W249" s="12" t="e">
        <f t="shared" si="74"/>
        <v>#NAME?</v>
      </c>
      <c r="X249" s="12" t="e">
        <f t="shared" si="74"/>
        <v>#NAME?</v>
      </c>
      <c r="Y249" s="12" t="e">
        <f t="shared" si="74"/>
        <v>#NAME?</v>
      </c>
      <c r="Z249" s="12" t="e">
        <f t="shared" si="74"/>
        <v>#NAME?</v>
      </c>
      <c r="AA249" s="12" t="e">
        <f t="shared" si="74"/>
        <v>#NAME?</v>
      </c>
      <c r="AB249" s="12" t="e">
        <f t="shared" si="74"/>
        <v>#NAME?</v>
      </c>
      <c r="AC249" s="12" t="e">
        <f t="shared" si="74"/>
        <v>#NAME?</v>
      </c>
      <c r="AD249" s="12" t="e">
        <f t="shared" si="74"/>
        <v>#NAME?</v>
      </c>
      <c r="AE249" s="12" t="e">
        <f t="shared" si="74"/>
        <v>#NAME?</v>
      </c>
      <c r="AF249" s="12" t="e">
        <f t="shared" si="74"/>
        <v>#NAME?</v>
      </c>
      <c r="AG249" s="12" t="e">
        <f t="shared" si="74"/>
        <v>#NAME?</v>
      </c>
      <c r="AH249" s="12" t="e">
        <f t="shared" si="74"/>
        <v>#NAME?</v>
      </c>
      <c r="AI249" s="12" t="e">
        <f t="shared" si="74"/>
        <v>#NAME?</v>
      </c>
      <c r="AJ249" s="12" t="e">
        <f t="shared" si="74"/>
        <v>#NAME?</v>
      </c>
      <c r="AK249" s="12" t="e">
        <f t="shared" si="74"/>
        <v>#NAME?</v>
      </c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</row>
    <row r="250" spans="1:61" ht="9.75">
      <c r="A250" s="11" t="s">
        <v>90</v>
      </c>
      <c r="H250" s="12" t="e">
        <f>-thuetn($H$249:$AK$249,H3-5,$B$105,$B$106,$B$107,$B$108,$B$104)</f>
        <v>#NAME?</v>
      </c>
      <c r="I250" s="12" t="e">
        <f aca="true" t="shared" si="75" ref="I250:AK250">-thuetn($H$249:$AK$249,I3-5,$B$105,$B$106,$B$107,$B$108,$B$104)</f>
        <v>#NAME?</v>
      </c>
      <c r="J250" s="12" t="e">
        <f t="shared" si="75"/>
        <v>#NAME?</v>
      </c>
      <c r="K250" s="12" t="e">
        <f t="shared" si="75"/>
        <v>#NAME?</v>
      </c>
      <c r="L250" s="12" t="e">
        <f t="shared" si="75"/>
        <v>#NAME?</v>
      </c>
      <c r="M250" s="12" t="e">
        <f t="shared" si="75"/>
        <v>#NAME?</v>
      </c>
      <c r="N250" s="12" t="e">
        <f t="shared" si="75"/>
        <v>#NAME?</v>
      </c>
      <c r="O250" s="12" t="e">
        <f t="shared" si="75"/>
        <v>#NAME?</v>
      </c>
      <c r="P250" s="12" t="e">
        <f t="shared" si="75"/>
        <v>#NAME?</v>
      </c>
      <c r="Q250" s="12" t="e">
        <f t="shared" si="75"/>
        <v>#NAME?</v>
      </c>
      <c r="R250" s="12" t="e">
        <f t="shared" si="75"/>
        <v>#NAME?</v>
      </c>
      <c r="S250" s="12" t="e">
        <f t="shared" si="75"/>
        <v>#NAME?</v>
      </c>
      <c r="T250" s="12" t="e">
        <f t="shared" si="75"/>
        <v>#NAME?</v>
      </c>
      <c r="U250" s="12" t="e">
        <f t="shared" si="75"/>
        <v>#NAME?</v>
      </c>
      <c r="V250" s="12" t="e">
        <f t="shared" si="75"/>
        <v>#NAME?</v>
      </c>
      <c r="W250" s="12" t="e">
        <f t="shared" si="75"/>
        <v>#NAME?</v>
      </c>
      <c r="X250" s="12" t="e">
        <f t="shared" si="75"/>
        <v>#NAME?</v>
      </c>
      <c r="Y250" s="12" t="e">
        <f t="shared" si="75"/>
        <v>#NAME?</v>
      </c>
      <c r="Z250" s="12" t="e">
        <f t="shared" si="75"/>
        <v>#NAME?</v>
      </c>
      <c r="AA250" s="12" t="e">
        <f t="shared" si="75"/>
        <v>#NAME?</v>
      </c>
      <c r="AB250" s="12" t="e">
        <f t="shared" si="75"/>
        <v>#NAME?</v>
      </c>
      <c r="AC250" s="12" t="e">
        <f t="shared" si="75"/>
        <v>#NAME?</v>
      </c>
      <c r="AD250" s="12" t="e">
        <f t="shared" si="75"/>
        <v>#NAME?</v>
      </c>
      <c r="AE250" s="12" t="e">
        <f t="shared" si="75"/>
        <v>#NAME?</v>
      </c>
      <c r="AF250" s="12" t="e">
        <f t="shared" si="75"/>
        <v>#NAME?</v>
      </c>
      <c r="AG250" s="12" t="e">
        <f t="shared" si="75"/>
        <v>#NAME?</v>
      </c>
      <c r="AH250" s="12" t="e">
        <f t="shared" si="75"/>
        <v>#NAME?</v>
      </c>
      <c r="AI250" s="12" t="e">
        <f t="shared" si="75"/>
        <v>#NAME?</v>
      </c>
      <c r="AJ250" s="12" t="e">
        <f t="shared" si="75"/>
        <v>#NAME?</v>
      </c>
      <c r="AK250" s="12" t="e">
        <f t="shared" si="75"/>
        <v>#NAME?</v>
      </c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</row>
    <row r="251" spans="1:61" ht="9.75">
      <c r="A251" s="2" t="s">
        <v>91</v>
      </c>
      <c r="H251" s="12" t="e">
        <f aca="true" t="shared" si="76" ref="H251:AK251">H248+H250</f>
        <v>#NAME?</v>
      </c>
      <c r="I251" s="12" t="e">
        <f t="shared" si="76"/>
        <v>#NAME?</v>
      </c>
      <c r="J251" s="12" t="e">
        <f t="shared" si="76"/>
        <v>#NAME?</v>
      </c>
      <c r="K251" s="12" t="e">
        <f t="shared" si="76"/>
        <v>#NAME?</v>
      </c>
      <c r="L251" s="12" t="e">
        <f t="shared" si="76"/>
        <v>#NAME?</v>
      </c>
      <c r="M251" s="12" t="e">
        <f t="shared" si="76"/>
        <v>#NAME?</v>
      </c>
      <c r="N251" s="12" t="e">
        <f>N248+N250</f>
        <v>#NAME?</v>
      </c>
      <c r="O251" s="12" t="e">
        <f t="shared" si="76"/>
        <v>#NAME?</v>
      </c>
      <c r="P251" s="12" t="e">
        <f t="shared" si="76"/>
        <v>#NAME?</v>
      </c>
      <c r="Q251" s="12" t="e">
        <f t="shared" si="76"/>
        <v>#NAME?</v>
      </c>
      <c r="R251" s="12" t="e">
        <f t="shared" si="76"/>
        <v>#NAME?</v>
      </c>
      <c r="S251" s="12" t="e">
        <f t="shared" si="76"/>
        <v>#NAME?</v>
      </c>
      <c r="T251" s="12" t="e">
        <f t="shared" si="76"/>
        <v>#NAME?</v>
      </c>
      <c r="U251" s="12" t="e">
        <f t="shared" si="76"/>
        <v>#NAME?</v>
      </c>
      <c r="V251" s="12" t="e">
        <f t="shared" si="76"/>
        <v>#NAME?</v>
      </c>
      <c r="W251" s="12" t="e">
        <f t="shared" si="76"/>
        <v>#NAME?</v>
      </c>
      <c r="X251" s="12" t="e">
        <f t="shared" si="76"/>
        <v>#NAME?</v>
      </c>
      <c r="Y251" s="12" t="e">
        <f t="shared" si="76"/>
        <v>#NAME?</v>
      </c>
      <c r="Z251" s="12" t="e">
        <f t="shared" si="76"/>
        <v>#NAME?</v>
      </c>
      <c r="AA251" s="12" t="e">
        <f t="shared" si="76"/>
        <v>#NAME?</v>
      </c>
      <c r="AB251" s="12" t="e">
        <f t="shared" si="76"/>
        <v>#NAME?</v>
      </c>
      <c r="AC251" s="12" t="e">
        <f t="shared" si="76"/>
        <v>#NAME?</v>
      </c>
      <c r="AD251" s="12" t="e">
        <f t="shared" si="76"/>
        <v>#NAME?</v>
      </c>
      <c r="AE251" s="12" t="e">
        <f t="shared" si="76"/>
        <v>#NAME?</v>
      </c>
      <c r="AF251" s="12" t="e">
        <f t="shared" si="76"/>
        <v>#NAME?</v>
      </c>
      <c r="AG251" s="12" t="e">
        <f t="shared" si="76"/>
        <v>#NAME?</v>
      </c>
      <c r="AH251" s="12" t="e">
        <f t="shared" si="76"/>
        <v>#NAME?</v>
      </c>
      <c r="AI251" s="12" t="e">
        <f t="shared" si="76"/>
        <v>#NAME?</v>
      </c>
      <c r="AJ251" s="12" t="e">
        <f t="shared" si="76"/>
        <v>#NAME?</v>
      </c>
      <c r="AK251" s="12" t="e">
        <f t="shared" si="76"/>
        <v>#NAME?</v>
      </c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</row>
    <row r="252" spans="8:61" ht="9.75">
      <c r="H252" s="12">
        <v>-163.65983612118896</v>
      </c>
      <c r="I252" s="12">
        <v>-71.48432640760052</v>
      </c>
      <c r="J252" s="12">
        <v>35.69702604679526</v>
      </c>
      <c r="K252" s="12">
        <v>163.10641558738507</v>
      </c>
      <c r="L252" s="12">
        <v>303.89024506022804</v>
      </c>
      <c r="M252" s="12">
        <v>470.2175940392915</v>
      </c>
      <c r="N252" s="12">
        <v>748.3698587688039</v>
      </c>
      <c r="O252" s="12">
        <v>433.634281913249</v>
      </c>
      <c r="P252" s="12">
        <v>1251.6366301689745</v>
      </c>
      <c r="Q252" s="12">
        <v>1705.769266254319</v>
      </c>
      <c r="R252" s="12">
        <v>2062.5420015787104</v>
      </c>
      <c r="S252" s="12">
        <v>2476.3690592684234</v>
      </c>
      <c r="T252" s="12">
        <v>2922.6048189819558</v>
      </c>
      <c r="U252" s="12">
        <v>3270.329675322727</v>
      </c>
      <c r="V252" s="12">
        <v>3655.549013306308</v>
      </c>
      <c r="W252" s="12">
        <v>3155.280307455212</v>
      </c>
      <c r="X252" s="12">
        <v>4555.908314915824</v>
      </c>
      <c r="Y252" s="12">
        <v>5081.086590296848</v>
      </c>
      <c r="Z252" s="12">
        <v>5468.908177410117</v>
      </c>
      <c r="AA252" s="12">
        <v>5908.847159998177</v>
      </c>
      <c r="AB252" s="12">
        <v>6349.150165289076</v>
      </c>
      <c r="AC252" s="12">
        <v>6724.950350458548</v>
      </c>
      <c r="AD252" s="12">
        <v>7123.653568391212</v>
      </c>
      <c r="AE252" s="12">
        <v>6178.290059732246</v>
      </c>
      <c r="AF252" s="12">
        <v>7996.853845603636</v>
      </c>
      <c r="AG252" s="12">
        <v>8475.341110682892</v>
      </c>
      <c r="AH252" s="12">
        <v>8926.534543752274</v>
      </c>
      <c r="AI252" s="12">
        <v>9427.60027008025</v>
      </c>
      <c r="AJ252" s="12">
        <v>9897.72840843412</v>
      </c>
      <c r="AK252" s="12">
        <v>10420.04120639106</v>
      </c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</row>
    <row r="253" spans="1:61" ht="9.75">
      <c r="A253" s="1" t="s">
        <v>109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</row>
    <row r="254" spans="1:61" ht="9.75">
      <c r="A254" s="2" t="s">
        <v>86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12">
        <f aca="true" t="shared" si="77" ref="H254:AK254">H233</f>
        <v>793.7770861549909</v>
      </c>
      <c r="I254" s="12">
        <f t="shared" si="77"/>
        <v>902.7070242367238</v>
      </c>
      <c r="J254" s="12">
        <f t="shared" si="77"/>
        <v>1026.6161556411637</v>
      </c>
      <c r="K254" s="12">
        <f t="shared" si="77"/>
        <v>1170.68619986408</v>
      </c>
      <c r="L254" s="12">
        <f t="shared" si="77"/>
        <v>1327.7268401854667</v>
      </c>
      <c r="M254" s="12">
        <f t="shared" si="77"/>
        <v>1509.9614808319427</v>
      </c>
      <c r="N254" s="12">
        <f t="shared" si="77"/>
        <v>1717.209555506763</v>
      </c>
      <c r="O254" s="12">
        <f t="shared" si="77"/>
        <v>1958.272955946569</v>
      </c>
      <c r="P254" s="12">
        <f t="shared" si="77"/>
        <v>2183.730069932704</v>
      </c>
      <c r="Q254" s="12">
        <f t="shared" si="77"/>
        <v>2441.7582083242473</v>
      </c>
      <c r="R254" s="12">
        <f t="shared" si="77"/>
        <v>2730.328145563324</v>
      </c>
      <c r="S254" s="12">
        <f t="shared" si="77"/>
        <v>3061.3174957434335</v>
      </c>
      <c r="T254" s="12">
        <f t="shared" si="77"/>
        <v>3413.7931711328556</v>
      </c>
      <c r="U254" s="12">
        <f t="shared" si="77"/>
        <v>3679.4664742641653</v>
      </c>
      <c r="V254" s="12">
        <f t="shared" si="77"/>
        <v>3968.8058788911385</v>
      </c>
      <c r="W254" s="12">
        <f t="shared" si="77"/>
        <v>4295.834834222852</v>
      </c>
      <c r="X254" s="12">
        <f t="shared" si="77"/>
        <v>4627.774741602367</v>
      </c>
      <c r="Y254" s="12">
        <f t="shared" si="77"/>
        <v>5002.647316147945</v>
      </c>
      <c r="Z254" s="12">
        <f t="shared" si="77"/>
        <v>5252.779681955344</v>
      </c>
      <c r="AA254" s="12">
        <f t="shared" si="77"/>
        <v>5530.529402124489</v>
      </c>
      <c r="AB254" s="12">
        <f t="shared" si="77"/>
        <v>5791.1895993557655</v>
      </c>
      <c r="AC254" s="12">
        <f t="shared" si="77"/>
        <v>6080.749079323554</v>
      </c>
      <c r="AD254" s="12">
        <f t="shared" si="77"/>
        <v>6384.786533289734</v>
      </c>
      <c r="AE254" s="12">
        <f t="shared" si="77"/>
        <v>6722.3930540910815</v>
      </c>
      <c r="AF254" s="12">
        <f t="shared" si="77"/>
        <v>7039.227152951932</v>
      </c>
      <c r="AG254" s="12">
        <f t="shared" si="77"/>
        <v>7391.18851059953</v>
      </c>
      <c r="AH254" s="12">
        <f t="shared" si="77"/>
        <v>7760.747936129505</v>
      </c>
      <c r="AI254" s="12">
        <f t="shared" si="77"/>
        <v>8171.110772204299</v>
      </c>
      <c r="AJ254" s="12">
        <f t="shared" si="77"/>
        <v>8556.224599582783</v>
      </c>
      <c r="AK254" s="12">
        <f t="shared" si="77"/>
        <v>8984.03582956192</v>
      </c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</row>
    <row r="255" spans="1:61" ht="9.75">
      <c r="A255" s="15" t="s">
        <v>129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12">
        <f>H235</f>
        <v>17.24050575094833</v>
      </c>
      <c r="I255" s="12">
        <f aca="true" t="shared" si="78" ref="I255:AK255">I235</f>
        <v>19.612390316855592</v>
      </c>
      <c r="J255" s="12">
        <f t="shared" si="78"/>
        <v>22.310916610283716</v>
      </c>
      <c r="K255" s="12">
        <f t="shared" si="78"/>
        <v>25.44941942183741</v>
      </c>
      <c r="L255" s="12">
        <f t="shared" si="78"/>
        <v>28.871690079875442</v>
      </c>
      <c r="M255" s="12">
        <f t="shared" si="78"/>
        <v>32.84333769770423</v>
      </c>
      <c r="N255" s="12">
        <f t="shared" si="78"/>
        <v>37.361512043047874</v>
      </c>
      <c r="O255" s="12">
        <f t="shared" si="78"/>
        <v>42.61875965680839</v>
      </c>
      <c r="P255" s="12">
        <f t="shared" si="78"/>
        <v>47.51845261737828</v>
      </c>
      <c r="Q255" s="12">
        <f t="shared" si="78"/>
        <v>53.12579167476589</v>
      </c>
      <c r="R255" s="12">
        <f t="shared" si="78"/>
        <v>59.39539235361146</v>
      </c>
      <c r="S255" s="12">
        <f t="shared" si="78"/>
        <v>66.58680431145584</v>
      </c>
      <c r="T255" s="12">
        <f t="shared" si="78"/>
        <v>74.24210819678136</v>
      </c>
      <c r="U255" s="12">
        <f t="shared" si="78"/>
        <v>79.68403561891817</v>
      </c>
      <c r="V255" s="12">
        <f t="shared" si="78"/>
        <v>85.58691154010992</v>
      </c>
      <c r="W255" s="12">
        <f t="shared" si="78"/>
        <v>92.24663280706594</v>
      </c>
      <c r="X255" s="12">
        <f t="shared" si="78"/>
        <v>98.95242595229726</v>
      </c>
      <c r="Y255" s="12">
        <f t="shared" si="78"/>
        <v>106.51384158774658</v>
      </c>
      <c r="Z255" s="12">
        <f t="shared" si="78"/>
        <v>111.8395336671339</v>
      </c>
      <c r="AA255" s="12">
        <f t="shared" si="78"/>
        <v>117.75324051583445</v>
      </c>
      <c r="AB255" s="12">
        <f t="shared" si="78"/>
        <v>123.30308586801515</v>
      </c>
      <c r="AC255" s="12">
        <f t="shared" si="78"/>
        <v>129.4682401614159</v>
      </c>
      <c r="AD255" s="12">
        <f t="shared" si="78"/>
        <v>135.9416521694867</v>
      </c>
      <c r="AE255" s="12">
        <f t="shared" si="78"/>
        <v>143.12979980475</v>
      </c>
      <c r="AF255" s="12">
        <f t="shared" si="78"/>
        <v>149.87567151685914</v>
      </c>
      <c r="AG255" s="12">
        <f t="shared" si="78"/>
        <v>157.3694550927021</v>
      </c>
      <c r="AH255" s="12">
        <f t="shared" si="78"/>
        <v>165.23792784733723</v>
      </c>
      <c r="AI255" s="12">
        <f t="shared" si="78"/>
        <v>173.97516622392246</v>
      </c>
      <c r="AJ255" s="12">
        <f t="shared" si="78"/>
        <v>182.1748154516893</v>
      </c>
      <c r="AK255" s="12">
        <f t="shared" si="78"/>
        <v>191.28355622427378</v>
      </c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</row>
    <row r="256" spans="1:61" ht="9.75">
      <c r="A256" s="15" t="s">
        <v>123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12">
        <f aca="true" t="shared" si="79" ref="H256:AK256">H236</f>
        <v>4.348075335778946</v>
      </c>
      <c r="I256" s="12">
        <f t="shared" si="79"/>
        <v>4.565479102567894</v>
      </c>
      <c r="J256" s="12">
        <f t="shared" si="79"/>
        <v>4.793753057696288</v>
      </c>
      <c r="K256" s="12">
        <f t="shared" si="79"/>
        <v>5.033440710581103</v>
      </c>
      <c r="L256" s="12">
        <f t="shared" si="79"/>
        <v>5.2851127461101575</v>
      </c>
      <c r="M256" s="12">
        <f t="shared" si="79"/>
        <v>5.549368383415665</v>
      </c>
      <c r="N256" s="12">
        <f t="shared" si="79"/>
        <v>5.826836802586449</v>
      </c>
      <c r="O256" s="12">
        <f t="shared" si="79"/>
        <v>6.118178642715772</v>
      </c>
      <c r="P256" s="12">
        <f t="shared" si="79"/>
        <v>6.424087574851561</v>
      </c>
      <c r="Q256" s="12">
        <f t="shared" si="79"/>
        <v>6.74529195359414</v>
      </c>
      <c r="R256" s="12">
        <f t="shared" si="79"/>
        <v>7.082556551273847</v>
      </c>
      <c r="S256" s="12">
        <f t="shared" si="79"/>
        <v>7.43668437883754</v>
      </c>
      <c r="T256" s="12">
        <f t="shared" si="79"/>
        <v>7.8085185977794165</v>
      </c>
      <c r="U256" s="12">
        <f t="shared" si="79"/>
        <v>8.198944527668388</v>
      </c>
      <c r="V256" s="12">
        <f t="shared" si="79"/>
        <v>8.608891754051808</v>
      </c>
      <c r="W256" s="12">
        <f t="shared" si="79"/>
        <v>9.039336341754398</v>
      </c>
      <c r="X256" s="12">
        <f t="shared" si="79"/>
        <v>9.491303158842117</v>
      </c>
      <c r="Y256" s="12">
        <f t="shared" si="79"/>
        <v>9.965868316784224</v>
      </c>
      <c r="Z256" s="12">
        <f t="shared" si="79"/>
        <v>10.464161732623436</v>
      </c>
      <c r="AA256" s="12">
        <f t="shared" si="79"/>
        <v>10.987369819254608</v>
      </c>
      <c r="AB256" s="12">
        <f t="shared" si="79"/>
        <v>11.53673831021734</v>
      </c>
      <c r="AC256" s="12">
        <f t="shared" si="79"/>
        <v>12.113575225728205</v>
      </c>
      <c r="AD256" s="12">
        <f t="shared" si="79"/>
        <v>12.719253987014618</v>
      </c>
      <c r="AE256" s="12">
        <f t="shared" si="79"/>
        <v>13.355216686365349</v>
      </c>
      <c r="AF256" s="12">
        <f t="shared" si="79"/>
        <v>14.022977520683618</v>
      </c>
      <c r="AG256" s="12">
        <f t="shared" si="79"/>
        <v>14.7241263967178</v>
      </c>
      <c r="AH256" s="12">
        <f t="shared" si="79"/>
        <v>15.46033271655369</v>
      </c>
      <c r="AI256" s="12">
        <f t="shared" si="79"/>
        <v>16.233349352381378</v>
      </c>
      <c r="AJ256" s="12">
        <f t="shared" si="79"/>
        <v>17.045016820000445</v>
      </c>
      <c r="AK256" s="12">
        <f t="shared" si="79"/>
        <v>17.89726766100047</v>
      </c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</row>
    <row r="257" spans="1:61" ht="9.75">
      <c r="A257" s="15" t="s">
        <v>81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12">
        <f aca="true" t="shared" si="80" ref="H257:AK257">H237</f>
        <v>0</v>
      </c>
      <c r="I257" s="12">
        <f t="shared" si="80"/>
        <v>0</v>
      </c>
      <c r="J257" s="12">
        <f t="shared" si="80"/>
        <v>0</v>
      </c>
      <c r="K257" s="12">
        <f t="shared" si="80"/>
        <v>0</v>
      </c>
      <c r="L257" s="12">
        <f t="shared" si="80"/>
        <v>0</v>
      </c>
      <c r="M257" s="12">
        <f t="shared" si="80"/>
        <v>0</v>
      </c>
      <c r="N257" s="12">
        <f t="shared" si="80"/>
        <v>0</v>
      </c>
      <c r="O257" s="12">
        <f t="shared" si="80"/>
        <v>509.84822022631425</v>
      </c>
      <c r="P257" s="12">
        <f t="shared" si="80"/>
        <v>0</v>
      </c>
      <c r="Q257" s="12">
        <f t="shared" si="80"/>
        <v>0</v>
      </c>
      <c r="R257" s="12">
        <f t="shared" si="80"/>
        <v>0</v>
      </c>
      <c r="S257" s="12">
        <f t="shared" si="80"/>
        <v>0</v>
      </c>
      <c r="T257" s="12">
        <f t="shared" si="80"/>
        <v>0</v>
      </c>
      <c r="U257" s="12">
        <f t="shared" si="80"/>
        <v>0</v>
      </c>
      <c r="V257" s="12">
        <f t="shared" si="80"/>
        <v>0</v>
      </c>
      <c r="W257" s="12">
        <f t="shared" si="80"/>
        <v>753.2780284795331</v>
      </c>
      <c r="X257" s="12">
        <f t="shared" si="80"/>
        <v>0</v>
      </c>
      <c r="Y257" s="12">
        <f t="shared" si="80"/>
        <v>0</v>
      </c>
      <c r="Z257" s="12">
        <f t="shared" si="80"/>
        <v>0</v>
      </c>
      <c r="AA257" s="12">
        <f t="shared" si="80"/>
        <v>0</v>
      </c>
      <c r="AB257" s="12">
        <f t="shared" si="80"/>
        <v>0</v>
      </c>
      <c r="AC257" s="12">
        <f t="shared" si="80"/>
        <v>0</v>
      </c>
      <c r="AD257" s="12">
        <f t="shared" si="80"/>
        <v>0</v>
      </c>
      <c r="AE257" s="12">
        <f t="shared" si="80"/>
        <v>1112.934723863779</v>
      </c>
      <c r="AF257" s="12">
        <f t="shared" si="80"/>
        <v>0</v>
      </c>
      <c r="AG257" s="12">
        <f t="shared" si="80"/>
        <v>0</v>
      </c>
      <c r="AH257" s="12">
        <f t="shared" si="80"/>
        <v>0</v>
      </c>
      <c r="AI257" s="12">
        <f t="shared" si="80"/>
        <v>0</v>
      </c>
      <c r="AJ257" s="12">
        <f t="shared" si="80"/>
        <v>0</v>
      </c>
      <c r="AK257" s="12">
        <f t="shared" si="80"/>
        <v>0</v>
      </c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</row>
    <row r="258" spans="1:61" ht="9.75">
      <c r="A258" s="2" t="s">
        <v>92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12" t="e">
        <f>-H250</f>
        <v>#NAME?</v>
      </c>
      <c r="I258" s="12" t="e">
        <f aca="true" t="shared" si="81" ref="I258:AK258">-I250</f>
        <v>#NAME?</v>
      </c>
      <c r="J258" s="12" t="e">
        <f t="shared" si="81"/>
        <v>#NAME?</v>
      </c>
      <c r="K258" s="12" t="e">
        <f t="shared" si="81"/>
        <v>#NAME?</v>
      </c>
      <c r="L258" s="12" t="e">
        <f t="shared" si="81"/>
        <v>#NAME?</v>
      </c>
      <c r="M258" s="12" t="e">
        <f t="shared" si="81"/>
        <v>#NAME?</v>
      </c>
      <c r="N258" s="12" t="e">
        <f t="shared" si="81"/>
        <v>#NAME?</v>
      </c>
      <c r="O258" s="12" t="e">
        <f t="shared" si="81"/>
        <v>#NAME?</v>
      </c>
      <c r="P258" s="12" t="e">
        <f t="shared" si="81"/>
        <v>#NAME?</v>
      </c>
      <c r="Q258" s="12" t="e">
        <f t="shared" si="81"/>
        <v>#NAME?</v>
      </c>
      <c r="R258" s="12" t="e">
        <f t="shared" si="81"/>
        <v>#NAME?</v>
      </c>
      <c r="S258" s="12" t="e">
        <f t="shared" si="81"/>
        <v>#NAME?</v>
      </c>
      <c r="T258" s="12" t="e">
        <f t="shared" si="81"/>
        <v>#NAME?</v>
      </c>
      <c r="U258" s="12" t="e">
        <f t="shared" si="81"/>
        <v>#NAME?</v>
      </c>
      <c r="V258" s="12" t="e">
        <f t="shared" si="81"/>
        <v>#NAME?</v>
      </c>
      <c r="W258" s="12" t="e">
        <f t="shared" si="81"/>
        <v>#NAME?</v>
      </c>
      <c r="X258" s="12" t="e">
        <f t="shared" si="81"/>
        <v>#NAME?</v>
      </c>
      <c r="Y258" s="12" t="e">
        <f t="shared" si="81"/>
        <v>#NAME?</v>
      </c>
      <c r="Z258" s="12" t="e">
        <f t="shared" si="81"/>
        <v>#NAME?</v>
      </c>
      <c r="AA258" s="12" t="e">
        <f t="shared" si="81"/>
        <v>#NAME?</v>
      </c>
      <c r="AB258" s="12" t="e">
        <f t="shared" si="81"/>
        <v>#NAME?</v>
      </c>
      <c r="AC258" s="12" t="e">
        <f t="shared" si="81"/>
        <v>#NAME?</v>
      </c>
      <c r="AD258" s="12" t="e">
        <f t="shared" si="81"/>
        <v>#NAME?</v>
      </c>
      <c r="AE258" s="12" t="e">
        <f t="shared" si="81"/>
        <v>#NAME?</v>
      </c>
      <c r="AF258" s="12" t="e">
        <f t="shared" si="81"/>
        <v>#NAME?</v>
      </c>
      <c r="AG258" s="12" t="e">
        <f t="shared" si="81"/>
        <v>#NAME?</v>
      </c>
      <c r="AH258" s="12" t="e">
        <f t="shared" si="81"/>
        <v>#NAME?</v>
      </c>
      <c r="AI258" s="12" t="e">
        <f t="shared" si="81"/>
        <v>#NAME?</v>
      </c>
      <c r="AJ258" s="12" t="e">
        <f t="shared" si="81"/>
        <v>#NAME?</v>
      </c>
      <c r="AK258" s="12" t="e">
        <f t="shared" si="81"/>
        <v>#NAME?</v>
      </c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</row>
    <row r="259" spans="1:61" ht="9.75">
      <c r="A259" s="2" t="s">
        <v>93</v>
      </c>
      <c r="C259" s="12">
        <f>C158</f>
        <v>1235.78543</v>
      </c>
      <c r="D259" s="12">
        <f>D158</f>
        <v>2823.037654512</v>
      </c>
      <c r="E259" s="12">
        <f>E158</f>
        <v>3531.1302560131203</v>
      </c>
      <c r="F259" s="12">
        <f>F158</f>
        <v>3582.6347621584805</v>
      </c>
      <c r="G259" s="12">
        <f>G158</f>
        <v>3730.5497488680617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</row>
    <row r="260" spans="3:61" ht="9.7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</row>
    <row r="261" spans="1:61" ht="9.75">
      <c r="A261" s="11" t="s">
        <v>94</v>
      </c>
      <c r="B261" s="2"/>
      <c r="C261" s="12">
        <f aca="true" t="shared" si="82" ref="C261:AK261">C254-SUM(C255:C259)</f>
        <v>-1235.78543</v>
      </c>
      <c r="D261" s="12">
        <f t="shared" si="82"/>
        <v>-2823.037654512</v>
      </c>
      <c r="E261" s="12">
        <f t="shared" si="82"/>
        <v>-3531.1302560131203</v>
      </c>
      <c r="F261" s="12">
        <f t="shared" si="82"/>
        <v>-3582.6347621584805</v>
      </c>
      <c r="G261" s="12">
        <f t="shared" si="82"/>
        <v>-3730.5497488680617</v>
      </c>
      <c r="H261" s="12" t="e">
        <f t="shared" si="82"/>
        <v>#NAME?</v>
      </c>
      <c r="I261" s="12" t="e">
        <f t="shared" si="82"/>
        <v>#NAME?</v>
      </c>
      <c r="J261" s="12" t="e">
        <f t="shared" si="82"/>
        <v>#NAME?</v>
      </c>
      <c r="K261" s="12" t="e">
        <f t="shared" si="82"/>
        <v>#NAME?</v>
      </c>
      <c r="L261" s="12" t="e">
        <f t="shared" si="82"/>
        <v>#NAME?</v>
      </c>
      <c r="M261" s="12" t="e">
        <f t="shared" si="82"/>
        <v>#NAME?</v>
      </c>
      <c r="N261" s="12" t="e">
        <f t="shared" si="82"/>
        <v>#NAME?</v>
      </c>
      <c r="O261" s="12" t="e">
        <f t="shared" si="82"/>
        <v>#NAME?</v>
      </c>
      <c r="P261" s="12" t="e">
        <f t="shared" si="82"/>
        <v>#NAME?</v>
      </c>
      <c r="Q261" s="12" t="e">
        <f t="shared" si="82"/>
        <v>#NAME?</v>
      </c>
      <c r="R261" s="12" t="e">
        <f t="shared" si="82"/>
        <v>#NAME?</v>
      </c>
      <c r="S261" s="12" t="e">
        <f t="shared" si="82"/>
        <v>#NAME?</v>
      </c>
      <c r="T261" s="12" t="e">
        <f t="shared" si="82"/>
        <v>#NAME?</v>
      </c>
      <c r="U261" s="12" t="e">
        <f t="shared" si="82"/>
        <v>#NAME?</v>
      </c>
      <c r="V261" s="12" t="e">
        <f t="shared" si="82"/>
        <v>#NAME?</v>
      </c>
      <c r="W261" s="12" t="e">
        <f t="shared" si="82"/>
        <v>#NAME?</v>
      </c>
      <c r="X261" s="12" t="e">
        <f t="shared" si="82"/>
        <v>#NAME?</v>
      </c>
      <c r="Y261" s="12" t="e">
        <f t="shared" si="82"/>
        <v>#NAME?</v>
      </c>
      <c r="Z261" s="12" t="e">
        <f t="shared" si="82"/>
        <v>#NAME?</v>
      </c>
      <c r="AA261" s="12" t="e">
        <f t="shared" si="82"/>
        <v>#NAME?</v>
      </c>
      <c r="AB261" s="12" t="e">
        <f t="shared" si="82"/>
        <v>#NAME?</v>
      </c>
      <c r="AC261" s="12" t="e">
        <f t="shared" si="82"/>
        <v>#NAME?</v>
      </c>
      <c r="AD261" s="12" t="e">
        <f t="shared" si="82"/>
        <v>#NAME?</v>
      </c>
      <c r="AE261" s="12" t="e">
        <f t="shared" si="82"/>
        <v>#NAME?</v>
      </c>
      <c r="AF261" s="12" t="e">
        <f t="shared" si="82"/>
        <v>#NAME?</v>
      </c>
      <c r="AG261" s="12" t="e">
        <f t="shared" si="82"/>
        <v>#NAME?</v>
      </c>
      <c r="AH261" s="12" t="e">
        <f t="shared" si="82"/>
        <v>#NAME?</v>
      </c>
      <c r="AI261" s="12" t="e">
        <f t="shared" si="82"/>
        <v>#NAME?</v>
      </c>
      <c r="AJ261" s="12" t="e">
        <f t="shared" si="82"/>
        <v>#NAME?</v>
      </c>
      <c r="AK261" s="12" t="e">
        <f t="shared" si="82"/>
        <v>#NAME?</v>
      </c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</row>
    <row r="262" spans="1:61" ht="9.75">
      <c r="A262" s="11" t="s">
        <v>95</v>
      </c>
      <c r="B262" s="2"/>
      <c r="C262" s="12">
        <f aca="true" t="shared" si="83" ref="C262:AK262">C169+C179</f>
        <v>1226.8740000000003</v>
      </c>
      <c r="D262" s="12">
        <f t="shared" si="83"/>
        <v>2823.0622000000003</v>
      </c>
      <c r="E262" s="12">
        <f t="shared" si="83"/>
        <v>3531.151285714286</v>
      </c>
      <c r="F262" s="12">
        <f t="shared" si="83"/>
        <v>3582.6441050170074</v>
      </c>
      <c r="G262" s="12">
        <f t="shared" si="83"/>
        <v>3730.5482148340498</v>
      </c>
      <c r="H262" s="12">
        <f t="shared" si="83"/>
        <v>-641.1207407861136</v>
      </c>
      <c r="I262" s="12">
        <f t="shared" si="83"/>
        <v>-676.2996533449618</v>
      </c>
      <c r="J262" s="12">
        <f t="shared" si="83"/>
        <v>-714.1789130628451</v>
      </c>
      <c r="K262" s="12">
        <f t="shared" si="83"/>
        <v>-755.0510742786869</v>
      </c>
      <c r="L262" s="12">
        <f t="shared" si="83"/>
        <v>-799.2471369104853</v>
      </c>
      <c r="M262" s="12">
        <f t="shared" si="83"/>
        <v>-1056.9824875159873</v>
      </c>
      <c r="N262" s="12">
        <f t="shared" si="83"/>
        <v>-1136.5426410511845</v>
      </c>
      <c r="O262" s="12">
        <f t="shared" si="83"/>
        <v>-1224.5976867313395</v>
      </c>
      <c r="P262" s="12">
        <f t="shared" si="83"/>
        <v>-1322.2569784006914</v>
      </c>
      <c r="Q262" s="12">
        <f t="shared" si="83"/>
        <v>-1430.786255481033</v>
      </c>
      <c r="R262" s="12">
        <f t="shared" si="83"/>
        <v>-1551.6302244021294</v>
      </c>
      <c r="S262" s="12">
        <f t="shared" si="83"/>
        <v>-1686.4384237907511</v>
      </c>
      <c r="T262" s="12">
        <f t="shared" si="83"/>
        <v>-1837.0948519095184</v>
      </c>
      <c r="U262" s="12">
        <f t="shared" si="83"/>
        <v>-2005.7519046004375</v>
      </c>
      <c r="V262" s="12">
        <f t="shared" si="83"/>
        <v>-2194.8692519249253</v>
      </c>
      <c r="W262" s="12">
        <f t="shared" si="83"/>
        <v>-2407.258373285773</v>
      </c>
      <c r="X262" s="12">
        <f t="shared" si="83"/>
        <v>-2646.1335757668194</v>
      </c>
      <c r="Y262" s="12">
        <f t="shared" si="83"/>
        <v>-2915.170440680943</v>
      </c>
      <c r="Z262" s="12">
        <f t="shared" si="83"/>
        <v>-3218.57278110816</v>
      </c>
      <c r="AA262" s="12">
        <f t="shared" si="83"/>
        <v>-3561.1493510905093</v>
      </c>
      <c r="AB262" s="12">
        <f t="shared" si="83"/>
        <v>-1755.2116807347215</v>
      </c>
      <c r="AC262" s="12">
        <f t="shared" si="83"/>
        <v>-1973.2021161177233</v>
      </c>
      <c r="AD262" s="12">
        <f t="shared" si="83"/>
        <v>-2221.4004093805743</v>
      </c>
      <c r="AE262" s="12">
        <f t="shared" si="83"/>
        <v>-2504.1459392162997</v>
      </c>
      <c r="AF262" s="12">
        <f t="shared" si="83"/>
        <v>-2826.40816313089</v>
      </c>
      <c r="AG262" s="12">
        <f t="shared" si="83"/>
        <v>0</v>
      </c>
      <c r="AH262" s="12">
        <f t="shared" si="83"/>
        <v>0</v>
      </c>
      <c r="AI262" s="12">
        <f t="shared" si="83"/>
        <v>0</v>
      </c>
      <c r="AJ262" s="12">
        <f t="shared" si="83"/>
        <v>0</v>
      </c>
      <c r="AK262" s="12">
        <f t="shared" si="83"/>
        <v>0</v>
      </c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</row>
    <row r="263" spans="1:61" ht="9.75">
      <c r="A263" s="11" t="s">
        <v>106</v>
      </c>
      <c r="B263" s="2"/>
      <c r="C263" s="12">
        <f aca="true" t="shared" si="84" ref="C263:AK263">C261+C262</f>
        <v>-8.911429999999655</v>
      </c>
      <c r="D263" s="12">
        <f t="shared" si="84"/>
        <v>0.024545488000512705</v>
      </c>
      <c r="E263" s="12">
        <f t="shared" si="84"/>
        <v>0.021029701165844017</v>
      </c>
      <c r="F263" s="12">
        <f t="shared" si="84"/>
        <v>0.009342858526906639</v>
      </c>
      <c r="G263" s="12">
        <f t="shared" si="84"/>
        <v>-0.0015340340119109896</v>
      </c>
      <c r="H263" s="12" t="e">
        <f t="shared" si="84"/>
        <v>#NAME?</v>
      </c>
      <c r="I263" s="12" t="e">
        <f t="shared" si="84"/>
        <v>#NAME?</v>
      </c>
      <c r="J263" s="12" t="e">
        <f t="shared" si="84"/>
        <v>#NAME?</v>
      </c>
      <c r="K263" s="12" t="e">
        <f t="shared" si="84"/>
        <v>#NAME?</v>
      </c>
      <c r="L263" s="12" t="e">
        <f t="shared" si="84"/>
        <v>#NAME?</v>
      </c>
      <c r="M263" s="12" t="e">
        <f t="shared" si="84"/>
        <v>#NAME?</v>
      </c>
      <c r="N263" s="12" t="e">
        <f t="shared" si="84"/>
        <v>#NAME?</v>
      </c>
      <c r="O263" s="12" t="e">
        <f t="shared" si="84"/>
        <v>#NAME?</v>
      </c>
      <c r="P263" s="12" t="e">
        <f t="shared" si="84"/>
        <v>#NAME?</v>
      </c>
      <c r="Q263" s="12" t="e">
        <f t="shared" si="84"/>
        <v>#NAME?</v>
      </c>
      <c r="R263" s="12" t="e">
        <f t="shared" si="84"/>
        <v>#NAME?</v>
      </c>
      <c r="S263" s="12" t="e">
        <f t="shared" si="84"/>
        <v>#NAME?</v>
      </c>
      <c r="T263" s="12" t="e">
        <f t="shared" si="84"/>
        <v>#NAME?</v>
      </c>
      <c r="U263" s="12" t="e">
        <f t="shared" si="84"/>
        <v>#NAME?</v>
      </c>
      <c r="V263" s="12" t="e">
        <f t="shared" si="84"/>
        <v>#NAME?</v>
      </c>
      <c r="W263" s="12" t="e">
        <f t="shared" si="84"/>
        <v>#NAME?</v>
      </c>
      <c r="X263" s="12" t="e">
        <f t="shared" si="84"/>
        <v>#NAME?</v>
      </c>
      <c r="Y263" s="12" t="e">
        <f t="shared" si="84"/>
        <v>#NAME?</v>
      </c>
      <c r="Z263" s="12" t="e">
        <f t="shared" si="84"/>
        <v>#NAME?</v>
      </c>
      <c r="AA263" s="12" t="e">
        <f t="shared" si="84"/>
        <v>#NAME?</v>
      </c>
      <c r="AB263" s="12" t="e">
        <f t="shared" si="84"/>
        <v>#NAME?</v>
      </c>
      <c r="AC263" s="12" t="e">
        <f t="shared" si="84"/>
        <v>#NAME?</v>
      </c>
      <c r="AD263" s="12" t="e">
        <f t="shared" si="84"/>
        <v>#NAME?</v>
      </c>
      <c r="AE263" s="12" t="e">
        <f t="shared" si="84"/>
        <v>#NAME?</v>
      </c>
      <c r="AF263" s="12" t="e">
        <f t="shared" si="84"/>
        <v>#NAME?</v>
      </c>
      <c r="AG263" s="12" t="e">
        <f t="shared" si="84"/>
        <v>#NAME?</v>
      </c>
      <c r="AH263" s="12" t="e">
        <f t="shared" si="84"/>
        <v>#NAME?</v>
      </c>
      <c r="AI263" s="12" t="e">
        <f t="shared" si="84"/>
        <v>#NAME?</v>
      </c>
      <c r="AJ263" s="12" t="e">
        <f t="shared" si="84"/>
        <v>#NAME?</v>
      </c>
      <c r="AK263" s="12" t="e">
        <f t="shared" si="84"/>
        <v>#NAME?</v>
      </c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</row>
    <row r="264" spans="1:61" ht="9.75">
      <c r="A264" s="11" t="s">
        <v>107</v>
      </c>
      <c r="C264" s="12">
        <f aca="true" t="shared" si="85" ref="C264:AK264">C232-C250</f>
        <v>0</v>
      </c>
      <c r="D264" s="12">
        <f t="shared" si="85"/>
        <v>0</v>
      </c>
      <c r="E264" s="12">
        <f t="shared" si="85"/>
        <v>0</v>
      </c>
      <c r="F264" s="12">
        <f t="shared" si="85"/>
        <v>0</v>
      </c>
      <c r="G264" s="12">
        <f t="shared" si="85"/>
        <v>0</v>
      </c>
      <c r="H264" s="12" t="e">
        <f t="shared" si="85"/>
        <v>#NAME?</v>
      </c>
      <c r="I264" s="12" t="e">
        <f t="shared" si="85"/>
        <v>#NAME?</v>
      </c>
      <c r="J264" s="12" t="e">
        <f t="shared" si="85"/>
        <v>#NAME?</v>
      </c>
      <c r="K264" s="12" t="e">
        <f t="shared" si="85"/>
        <v>#NAME?</v>
      </c>
      <c r="L264" s="12" t="e">
        <f t="shared" si="85"/>
        <v>#NAME?</v>
      </c>
      <c r="M264" s="12" t="e">
        <f t="shared" si="85"/>
        <v>#NAME?</v>
      </c>
      <c r="N264" s="12" t="e">
        <f t="shared" si="85"/>
        <v>#NAME?</v>
      </c>
      <c r="O264" s="12" t="e">
        <f t="shared" si="85"/>
        <v>#NAME?</v>
      </c>
      <c r="P264" s="12" t="e">
        <f t="shared" si="85"/>
        <v>#NAME?</v>
      </c>
      <c r="Q264" s="12" t="e">
        <f t="shared" si="85"/>
        <v>#NAME?</v>
      </c>
      <c r="R264" s="12" t="e">
        <f t="shared" si="85"/>
        <v>#NAME?</v>
      </c>
      <c r="S264" s="12" t="e">
        <f t="shared" si="85"/>
        <v>#NAME?</v>
      </c>
      <c r="T264" s="12" t="e">
        <f t="shared" si="85"/>
        <v>#NAME?</v>
      </c>
      <c r="U264" s="12" t="e">
        <f t="shared" si="85"/>
        <v>#NAME?</v>
      </c>
      <c r="V264" s="12" t="e">
        <f t="shared" si="85"/>
        <v>#NAME?</v>
      </c>
      <c r="W264" s="12" t="e">
        <f t="shared" si="85"/>
        <v>#NAME?</v>
      </c>
      <c r="X264" s="12" t="e">
        <f t="shared" si="85"/>
        <v>#NAME?</v>
      </c>
      <c r="Y264" s="12" t="e">
        <f t="shared" si="85"/>
        <v>#NAME?</v>
      </c>
      <c r="Z264" s="12" t="e">
        <f t="shared" si="85"/>
        <v>#NAME?</v>
      </c>
      <c r="AA264" s="12" t="e">
        <f t="shared" si="85"/>
        <v>#NAME?</v>
      </c>
      <c r="AB264" s="12" t="e">
        <f t="shared" si="85"/>
        <v>#NAME?</v>
      </c>
      <c r="AC264" s="12" t="e">
        <f t="shared" si="85"/>
        <v>#NAME?</v>
      </c>
      <c r="AD264" s="12" t="e">
        <f t="shared" si="85"/>
        <v>#NAME?</v>
      </c>
      <c r="AE264" s="12" t="e">
        <f t="shared" si="85"/>
        <v>#NAME?</v>
      </c>
      <c r="AF264" s="12" t="e">
        <f t="shared" si="85"/>
        <v>#NAME?</v>
      </c>
      <c r="AG264" s="12" t="e">
        <f t="shared" si="85"/>
        <v>#NAME?</v>
      </c>
      <c r="AH264" s="12" t="e">
        <f t="shared" si="85"/>
        <v>#NAME?</v>
      </c>
      <c r="AI264" s="12" t="e">
        <f t="shared" si="85"/>
        <v>#NAME?</v>
      </c>
      <c r="AJ264" s="12" t="e">
        <f t="shared" si="85"/>
        <v>#NAME?</v>
      </c>
      <c r="AK264" s="12" t="e">
        <f t="shared" si="85"/>
        <v>#NAME?</v>
      </c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</row>
    <row r="265" spans="1:2" ht="9.75">
      <c r="A265" s="1" t="s">
        <v>110</v>
      </c>
      <c r="B265" s="85" t="s">
        <v>206</v>
      </c>
    </row>
    <row r="266" spans="1:61" s="45" customFormat="1" ht="9.75">
      <c r="A266" s="45" t="s">
        <v>86</v>
      </c>
      <c r="B266" s="86">
        <f aca="true" t="shared" si="86" ref="B266:B271">NPV($B$288,C266:AK266)</f>
        <v>21728.730706894086</v>
      </c>
      <c r="C266" s="49">
        <f aca="true" t="shared" si="87" ref="C266:C271">C254/C$116</f>
        <v>0</v>
      </c>
      <c r="D266" s="49">
        <f aca="true" t="shared" si="88" ref="D266:AK266">D254/D$116</f>
        <v>0</v>
      </c>
      <c r="E266" s="49">
        <f t="shared" si="88"/>
        <v>0</v>
      </c>
      <c r="F266" s="49">
        <f t="shared" si="88"/>
        <v>0</v>
      </c>
      <c r="G266" s="49">
        <f t="shared" si="88"/>
        <v>0</v>
      </c>
      <c r="H266" s="49">
        <f t="shared" si="88"/>
        <v>481.95381763636357</v>
      </c>
      <c r="I266" s="49">
        <f t="shared" si="88"/>
        <v>521.9926519090909</v>
      </c>
      <c r="J266" s="49">
        <f t="shared" si="88"/>
        <v>565.3746904090909</v>
      </c>
      <c r="K266" s="49">
        <f t="shared" si="88"/>
        <v>614.0156893363635</v>
      </c>
      <c r="L266" s="49">
        <f t="shared" si="88"/>
        <v>663.2212076590907</v>
      </c>
      <c r="M266" s="49">
        <f t="shared" si="88"/>
        <v>718.3336974545456</v>
      </c>
      <c r="N266" s="49">
        <f t="shared" si="88"/>
        <v>778.02646275</v>
      </c>
      <c r="O266" s="49">
        <f t="shared" si="88"/>
        <v>844.9966739454545</v>
      </c>
      <c r="P266" s="49">
        <f t="shared" si="88"/>
        <v>897.4110824999999</v>
      </c>
      <c r="Q266" s="49">
        <f t="shared" si="88"/>
        <v>955.6653313636364</v>
      </c>
      <c r="R266" s="49">
        <f t="shared" si="88"/>
        <v>1017.7209672954542</v>
      </c>
      <c r="S266" s="49">
        <f t="shared" si="88"/>
        <v>1086.7582617545454</v>
      </c>
      <c r="T266" s="49">
        <f t="shared" si="88"/>
        <v>1154.1771795681816</v>
      </c>
      <c r="U266" s="49">
        <f t="shared" si="88"/>
        <v>1184.7612164318182</v>
      </c>
      <c r="V266" s="49">
        <f t="shared" si="88"/>
        <v>1217.0727452045453</v>
      </c>
      <c r="W266" s="49">
        <f t="shared" si="88"/>
        <v>1254.6279431999997</v>
      </c>
      <c r="X266" s="49">
        <f t="shared" si="88"/>
        <v>1287.21263175</v>
      </c>
      <c r="Y266" s="49">
        <f t="shared" si="88"/>
        <v>1325.2220975454543</v>
      </c>
      <c r="Z266" s="49">
        <f t="shared" si="88"/>
        <v>1325.2220975454547</v>
      </c>
      <c r="AA266" s="49">
        <f t="shared" si="88"/>
        <v>1328.8528430181818</v>
      </c>
      <c r="AB266" s="49">
        <f t="shared" si="88"/>
        <v>1325.2220975454543</v>
      </c>
      <c r="AC266" s="49">
        <f t="shared" si="88"/>
        <v>1325.2220975454543</v>
      </c>
      <c r="AD266" s="49">
        <f t="shared" si="88"/>
        <v>1325.2220975454545</v>
      </c>
      <c r="AE266" s="49">
        <f t="shared" si="88"/>
        <v>1328.8528430181818</v>
      </c>
      <c r="AF266" s="49">
        <f t="shared" si="88"/>
        <v>1325.2220975454545</v>
      </c>
      <c r="AG266" s="49">
        <f t="shared" si="88"/>
        <v>1325.2220975454545</v>
      </c>
      <c r="AH266" s="49">
        <f t="shared" si="88"/>
        <v>1325.2220975454545</v>
      </c>
      <c r="AI266" s="49">
        <f t="shared" si="88"/>
        <v>1328.8528430181816</v>
      </c>
      <c r="AJ266" s="49">
        <f t="shared" si="88"/>
        <v>1325.2220975454547</v>
      </c>
      <c r="AK266" s="49">
        <f t="shared" si="88"/>
        <v>1325.2220975454545</v>
      </c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</row>
    <row r="267" spans="1:61" s="45" customFormat="1" ht="9.75">
      <c r="A267" s="53" t="s">
        <v>129</v>
      </c>
      <c r="B267" s="83">
        <f t="shared" si="86"/>
        <v>467.12948009813323</v>
      </c>
      <c r="C267" s="49">
        <f t="shared" si="87"/>
        <v>0</v>
      </c>
      <c r="D267" s="49">
        <f aca="true" t="shared" si="89" ref="D267:AK267">D255/D$116</f>
        <v>0</v>
      </c>
      <c r="E267" s="49">
        <f t="shared" si="89"/>
        <v>0</v>
      </c>
      <c r="F267" s="49">
        <f t="shared" si="89"/>
        <v>0</v>
      </c>
      <c r="G267" s="49">
        <f t="shared" si="89"/>
        <v>0</v>
      </c>
      <c r="H267" s="49">
        <f t="shared" si="89"/>
        <v>10.467835</v>
      </c>
      <c r="I267" s="49">
        <f t="shared" si="89"/>
        <v>11.340915</v>
      </c>
      <c r="J267" s="49">
        <f t="shared" si="89"/>
        <v>12.286995000000001</v>
      </c>
      <c r="K267" s="49">
        <f t="shared" si="89"/>
        <v>13.348019999999998</v>
      </c>
      <c r="L267" s="49">
        <f t="shared" si="89"/>
        <v>14.421880000000002</v>
      </c>
      <c r="M267" s="49">
        <f t="shared" si="89"/>
        <v>15.624555000000003</v>
      </c>
      <c r="N267" s="49">
        <f t="shared" si="89"/>
        <v>16.927605</v>
      </c>
      <c r="O267" s="49">
        <f t="shared" si="89"/>
        <v>18.390036</v>
      </c>
      <c r="P267" s="49">
        <f t="shared" si="89"/>
        <v>19.527865</v>
      </c>
      <c r="Q267" s="49">
        <f t="shared" si="89"/>
        <v>20.79259</v>
      </c>
      <c r="R267" s="49">
        <f t="shared" si="89"/>
        <v>22.13944</v>
      </c>
      <c r="S267" s="49">
        <f t="shared" si="89"/>
        <v>23.638109999999998</v>
      </c>
      <c r="T267" s="49">
        <f t="shared" si="89"/>
        <v>25.100684999999995</v>
      </c>
      <c r="U267" s="49">
        <f t="shared" si="89"/>
        <v>25.657675</v>
      </c>
      <c r="V267" s="49">
        <f t="shared" si="89"/>
        <v>26.246055000000002</v>
      </c>
      <c r="W267" s="49">
        <f t="shared" si="89"/>
        <v>26.94126</v>
      </c>
      <c r="X267" s="49">
        <f t="shared" si="89"/>
        <v>27.523555</v>
      </c>
      <c r="Y267" s="49">
        <f t="shared" si="89"/>
        <v>28.21596</v>
      </c>
      <c r="Z267" s="49">
        <f t="shared" si="89"/>
        <v>28.215959999999995</v>
      </c>
      <c r="AA267" s="49">
        <f t="shared" si="89"/>
        <v>28.293264000000004</v>
      </c>
      <c r="AB267" s="49">
        <f t="shared" si="89"/>
        <v>28.21596</v>
      </c>
      <c r="AC267" s="49">
        <f t="shared" si="89"/>
        <v>28.21596</v>
      </c>
      <c r="AD267" s="49">
        <f t="shared" si="89"/>
        <v>28.215959999999995</v>
      </c>
      <c r="AE267" s="49">
        <f t="shared" si="89"/>
        <v>28.293264</v>
      </c>
      <c r="AF267" s="49">
        <f t="shared" si="89"/>
        <v>28.21596</v>
      </c>
      <c r="AG267" s="49">
        <f t="shared" si="89"/>
        <v>28.21596</v>
      </c>
      <c r="AH267" s="49">
        <f t="shared" si="89"/>
        <v>28.215960000000003</v>
      </c>
      <c r="AI267" s="49">
        <f t="shared" si="89"/>
        <v>28.293263999999997</v>
      </c>
      <c r="AJ267" s="49">
        <f t="shared" si="89"/>
        <v>28.215960000000003</v>
      </c>
      <c r="AK267" s="49">
        <f t="shared" si="89"/>
        <v>28.215960000000003</v>
      </c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</row>
    <row r="268" spans="1:61" s="45" customFormat="1" ht="9.75">
      <c r="A268" s="53" t="s">
        <v>123</v>
      </c>
      <c r="B268" s="83">
        <f t="shared" si="86"/>
        <v>55.18322083601778</v>
      </c>
      <c r="C268" s="49">
        <f t="shared" si="87"/>
        <v>0</v>
      </c>
      <c r="D268" s="49">
        <f aca="true" t="shared" si="90" ref="D268:AK268">D256/D$116</f>
        <v>0</v>
      </c>
      <c r="E268" s="49">
        <f t="shared" si="90"/>
        <v>0</v>
      </c>
      <c r="F268" s="49">
        <f t="shared" si="90"/>
        <v>0</v>
      </c>
      <c r="G268" s="49">
        <f t="shared" si="90"/>
        <v>0</v>
      </c>
      <c r="H268" s="49">
        <f t="shared" si="90"/>
        <v>2.64</v>
      </c>
      <c r="I268" s="49">
        <f t="shared" si="90"/>
        <v>2.6400000000000006</v>
      </c>
      <c r="J268" s="49">
        <f t="shared" si="90"/>
        <v>2.64</v>
      </c>
      <c r="K268" s="49">
        <f t="shared" si="90"/>
        <v>2.64</v>
      </c>
      <c r="L268" s="49">
        <f t="shared" si="90"/>
        <v>2.64</v>
      </c>
      <c r="M268" s="49">
        <f t="shared" si="90"/>
        <v>2.64</v>
      </c>
      <c r="N268" s="49">
        <f t="shared" si="90"/>
        <v>2.64</v>
      </c>
      <c r="O268" s="49">
        <f t="shared" si="90"/>
        <v>2.64</v>
      </c>
      <c r="P268" s="49">
        <f t="shared" si="90"/>
        <v>2.64</v>
      </c>
      <c r="Q268" s="49">
        <f t="shared" si="90"/>
        <v>2.64</v>
      </c>
      <c r="R268" s="49">
        <f t="shared" si="90"/>
        <v>2.64</v>
      </c>
      <c r="S268" s="49">
        <f t="shared" si="90"/>
        <v>2.64</v>
      </c>
      <c r="T268" s="49">
        <f t="shared" si="90"/>
        <v>2.64</v>
      </c>
      <c r="U268" s="49">
        <f t="shared" si="90"/>
        <v>2.6400000000000006</v>
      </c>
      <c r="V268" s="49">
        <f t="shared" si="90"/>
        <v>2.6400000000000006</v>
      </c>
      <c r="W268" s="49">
        <f t="shared" si="90"/>
        <v>2.64</v>
      </c>
      <c r="X268" s="49">
        <f t="shared" si="90"/>
        <v>2.64</v>
      </c>
      <c r="Y268" s="49">
        <f t="shared" si="90"/>
        <v>2.64</v>
      </c>
      <c r="Z268" s="49">
        <f t="shared" si="90"/>
        <v>2.64</v>
      </c>
      <c r="AA268" s="49">
        <f t="shared" si="90"/>
        <v>2.64</v>
      </c>
      <c r="AB268" s="49">
        <f t="shared" si="90"/>
        <v>2.64</v>
      </c>
      <c r="AC268" s="49">
        <f t="shared" si="90"/>
        <v>2.64</v>
      </c>
      <c r="AD268" s="49">
        <f t="shared" si="90"/>
        <v>2.64</v>
      </c>
      <c r="AE268" s="49">
        <f t="shared" si="90"/>
        <v>2.64</v>
      </c>
      <c r="AF268" s="49">
        <f t="shared" si="90"/>
        <v>2.64</v>
      </c>
      <c r="AG268" s="49">
        <f t="shared" si="90"/>
        <v>2.64</v>
      </c>
      <c r="AH268" s="49">
        <f t="shared" si="90"/>
        <v>2.64</v>
      </c>
      <c r="AI268" s="49">
        <f t="shared" si="90"/>
        <v>2.64</v>
      </c>
      <c r="AJ268" s="49">
        <f t="shared" si="90"/>
        <v>2.64</v>
      </c>
      <c r="AK268" s="49">
        <f t="shared" si="90"/>
        <v>2.64</v>
      </c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</row>
    <row r="269" spans="1:61" s="45" customFormat="1" ht="9.75">
      <c r="A269" s="53" t="s">
        <v>81</v>
      </c>
      <c r="B269" s="83">
        <f t="shared" si="86"/>
        <v>453.25997446745185</v>
      </c>
      <c r="C269" s="49">
        <f t="shared" si="87"/>
        <v>0</v>
      </c>
      <c r="D269" s="49">
        <f aca="true" t="shared" si="91" ref="D269:AK269">D257/D$116</f>
        <v>0</v>
      </c>
      <c r="E269" s="49">
        <f t="shared" si="91"/>
        <v>0</v>
      </c>
      <c r="F269" s="49">
        <f t="shared" si="91"/>
        <v>0</v>
      </c>
      <c r="G269" s="49">
        <f t="shared" si="91"/>
        <v>0</v>
      </c>
      <c r="H269" s="49">
        <f t="shared" si="91"/>
        <v>0</v>
      </c>
      <c r="I269" s="49">
        <f t="shared" si="91"/>
        <v>0</v>
      </c>
      <c r="J269" s="49">
        <f t="shared" si="91"/>
        <v>0</v>
      </c>
      <c r="K269" s="49">
        <f t="shared" si="91"/>
        <v>0</v>
      </c>
      <c r="L269" s="49">
        <f t="shared" si="91"/>
        <v>0</v>
      </c>
      <c r="M269" s="49">
        <f t="shared" si="91"/>
        <v>0</v>
      </c>
      <c r="N269" s="49">
        <f t="shared" si="91"/>
        <v>0</v>
      </c>
      <c r="O269" s="49">
        <f t="shared" si="91"/>
        <v>220</v>
      </c>
      <c r="P269" s="49">
        <f t="shared" si="91"/>
        <v>0</v>
      </c>
      <c r="Q269" s="49">
        <f t="shared" si="91"/>
        <v>0</v>
      </c>
      <c r="R269" s="49">
        <f t="shared" si="91"/>
        <v>0</v>
      </c>
      <c r="S269" s="49">
        <f t="shared" si="91"/>
        <v>0</v>
      </c>
      <c r="T269" s="49">
        <f t="shared" si="91"/>
        <v>0</v>
      </c>
      <c r="U269" s="49">
        <f t="shared" si="91"/>
        <v>0</v>
      </c>
      <c r="V269" s="49">
        <f t="shared" si="91"/>
        <v>0</v>
      </c>
      <c r="W269" s="49">
        <f t="shared" si="91"/>
        <v>220</v>
      </c>
      <c r="X269" s="49">
        <f t="shared" si="91"/>
        <v>0</v>
      </c>
      <c r="Y269" s="49">
        <f t="shared" si="91"/>
        <v>0</v>
      </c>
      <c r="Z269" s="49">
        <f t="shared" si="91"/>
        <v>0</v>
      </c>
      <c r="AA269" s="49">
        <f t="shared" si="91"/>
        <v>0</v>
      </c>
      <c r="AB269" s="49">
        <f t="shared" si="91"/>
        <v>0</v>
      </c>
      <c r="AC269" s="49">
        <f t="shared" si="91"/>
        <v>0</v>
      </c>
      <c r="AD269" s="49">
        <f t="shared" si="91"/>
        <v>0</v>
      </c>
      <c r="AE269" s="49">
        <f t="shared" si="91"/>
        <v>220</v>
      </c>
      <c r="AF269" s="49">
        <f t="shared" si="91"/>
        <v>0</v>
      </c>
      <c r="AG269" s="49">
        <f t="shared" si="91"/>
        <v>0</v>
      </c>
      <c r="AH269" s="49">
        <f t="shared" si="91"/>
        <v>0</v>
      </c>
      <c r="AI269" s="49">
        <f t="shared" si="91"/>
        <v>0</v>
      </c>
      <c r="AJ269" s="49">
        <f t="shared" si="91"/>
        <v>0</v>
      </c>
      <c r="AK269" s="49">
        <f t="shared" si="91"/>
        <v>0</v>
      </c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</row>
    <row r="270" spans="1:61" s="45" customFormat="1" ht="9.75">
      <c r="A270" s="45" t="s">
        <v>92</v>
      </c>
      <c r="B270" s="83" t="e">
        <f t="shared" si="86"/>
        <v>#NAME?</v>
      </c>
      <c r="C270" s="49">
        <f t="shared" si="87"/>
        <v>0</v>
      </c>
      <c r="D270" s="49">
        <f aca="true" t="shared" si="92" ref="D270:AK270">D258/D$116</f>
        <v>0</v>
      </c>
      <c r="E270" s="49">
        <f t="shared" si="92"/>
        <v>0</v>
      </c>
      <c r="F270" s="49">
        <f t="shared" si="92"/>
        <v>0</v>
      </c>
      <c r="G270" s="49">
        <f t="shared" si="92"/>
        <v>0</v>
      </c>
      <c r="H270" s="49" t="e">
        <f t="shared" si="92"/>
        <v>#NAME?</v>
      </c>
      <c r="I270" s="49" t="e">
        <f t="shared" si="92"/>
        <v>#NAME?</v>
      </c>
      <c r="J270" s="49" t="e">
        <f t="shared" si="92"/>
        <v>#NAME?</v>
      </c>
      <c r="K270" s="49" t="e">
        <f t="shared" si="92"/>
        <v>#NAME?</v>
      </c>
      <c r="L270" s="49" t="e">
        <f t="shared" si="92"/>
        <v>#NAME?</v>
      </c>
      <c r="M270" s="49" t="e">
        <f t="shared" si="92"/>
        <v>#NAME?</v>
      </c>
      <c r="N270" s="49" t="e">
        <f t="shared" si="92"/>
        <v>#NAME?</v>
      </c>
      <c r="O270" s="49" t="e">
        <f t="shared" si="92"/>
        <v>#NAME?</v>
      </c>
      <c r="P270" s="49" t="e">
        <f t="shared" si="92"/>
        <v>#NAME?</v>
      </c>
      <c r="Q270" s="49" t="e">
        <f t="shared" si="92"/>
        <v>#NAME?</v>
      </c>
      <c r="R270" s="49" t="e">
        <f t="shared" si="92"/>
        <v>#NAME?</v>
      </c>
      <c r="S270" s="49" t="e">
        <f t="shared" si="92"/>
        <v>#NAME?</v>
      </c>
      <c r="T270" s="49" t="e">
        <f t="shared" si="92"/>
        <v>#NAME?</v>
      </c>
      <c r="U270" s="49" t="e">
        <f t="shared" si="92"/>
        <v>#NAME?</v>
      </c>
      <c r="V270" s="49" t="e">
        <f t="shared" si="92"/>
        <v>#NAME?</v>
      </c>
      <c r="W270" s="49" t="e">
        <f t="shared" si="92"/>
        <v>#NAME?</v>
      </c>
      <c r="X270" s="49" t="e">
        <f t="shared" si="92"/>
        <v>#NAME?</v>
      </c>
      <c r="Y270" s="49" t="e">
        <f t="shared" si="92"/>
        <v>#NAME?</v>
      </c>
      <c r="Z270" s="49" t="e">
        <f t="shared" si="92"/>
        <v>#NAME?</v>
      </c>
      <c r="AA270" s="49" t="e">
        <f t="shared" si="92"/>
        <v>#NAME?</v>
      </c>
      <c r="AB270" s="49" t="e">
        <f t="shared" si="92"/>
        <v>#NAME?</v>
      </c>
      <c r="AC270" s="49" t="e">
        <f t="shared" si="92"/>
        <v>#NAME?</v>
      </c>
      <c r="AD270" s="49" t="e">
        <f t="shared" si="92"/>
        <v>#NAME?</v>
      </c>
      <c r="AE270" s="49" t="e">
        <f t="shared" si="92"/>
        <v>#NAME?</v>
      </c>
      <c r="AF270" s="49" t="e">
        <f t="shared" si="92"/>
        <v>#NAME?</v>
      </c>
      <c r="AG270" s="49" t="e">
        <f t="shared" si="92"/>
        <v>#NAME?</v>
      </c>
      <c r="AH270" s="49" t="e">
        <f t="shared" si="92"/>
        <v>#NAME?</v>
      </c>
      <c r="AI270" s="49" t="e">
        <f t="shared" si="92"/>
        <v>#NAME?</v>
      </c>
      <c r="AJ270" s="49" t="e">
        <f t="shared" si="92"/>
        <v>#NAME?</v>
      </c>
      <c r="AK270" s="49" t="e">
        <f t="shared" si="92"/>
        <v>#NAME?</v>
      </c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</row>
    <row r="271" spans="1:61" s="45" customFormat="1" ht="9.75">
      <c r="A271" s="45" t="s">
        <v>93</v>
      </c>
      <c r="B271" s="84">
        <f t="shared" si="86"/>
        <v>9976.985057589269</v>
      </c>
      <c r="C271" s="49">
        <f t="shared" si="87"/>
        <v>1030.6800917431192</v>
      </c>
      <c r="D271" s="49">
        <f aca="true" t="shared" si="93" ref="D271:AK271">D259/D$116</f>
        <v>2204.5818882401995</v>
      </c>
      <c r="E271" s="49">
        <f t="shared" si="93"/>
        <v>2553.2864870725602</v>
      </c>
      <c r="F271" s="49">
        <f t="shared" si="93"/>
        <v>2421.0545037531274</v>
      </c>
      <c r="G271" s="49">
        <f t="shared" si="93"/>
        <v>2378.312955796496</v>
      </c>
      <c r="H271" s="49">
        <f t="shared" si="93"/>
        <v>0</v>
      </c>
      <c r="I271" s="49">
        <f t="shared" si="93"/>
        <v>0</v>
      </c>
      <c r="J271" s="49">
        <f t="shared" si="93"/>
        <v>0</v>
      </c>
      <c r="K271" s="49">
        <f t="shared" si="93"/>
        <v>0</v>
      </c>
      <c r="L271" s="49">
        <f t="shared" si="93"/>
        <v>0</v>
      </c>
      <c r="M271" s="49">
        <f t="shared" si="93"/>
        <v>0</v>
      </c>
      <c r="N271" s="49">
        <f t="shared" si="93"/>
        <v>0</v>
      </c>
      <c r="O271" s="49">
        <f t="shared" si="93"/>
        <v>0</v>
      </c>
      <c r="P271" s="49">
        <f t="shared" si="93"/>
        <v>0</v>
      </c>
      <c r="Q271" s="49">
        <f t="shared" si="93"/>
        <v>0</v>
      </c>
      <c r="R271" s="49">
        <f t="shared" si="93"/>
        <v>0</v>
      </c>
      <c r="S271" s="49">
        <f t="shared" si="93"/>
        <v>0</v>
      </c>
      <c r="T271" s="49">
        <f t="shared" si="93"/>
        <v>0</v>
      </c>
      <c r="U271" s="49">
        <f t="shared" si="93"/>
        <v>0</v>
      </c>
      <c r="V271" s="49">
        <f t="shared" si="93"/>
        <v>0</v>
      </c>
      <c r="W271" s="49">
        <f t="shared" si="93"/>
        <v>0</v>
      </c>
      <c r="X271" s="49">
        <f t="shared" si="93"/>
        <v>0</v>
      </c>
      <c r="Y271" s="49">
        <f t="shared" si="93"/>
        <v>0</v>
      </c>
      <c r="Z271" s="49">
        <f t="shared" si="93"/>
        <v>0</v>
      </c>
      <c r="AA271" s="49">
        <f t="shared" si="93"/>
        <v>0</v>
      </c>
      <c r="AB271" s="49">
        <f t="shared" si="93"/>
        <v>0</v>
      </c>
      <c r="AC271" s="49">
        <f t="shared" si="93"/>
        <v>0</v>
      </c>
      <c r="AD271" s="49">
        <f t="shared" si="93"/>
        <v>0</v>
      </c>
      <c r="AE271" s="49">
        <f t="shared" si="93"/>
        <v>0</v>
      </c>
      <c r="AF271" s="49">
        <f t="shared" si="93"/>
        <v>0</v>
      </c>
      <c r="AG271" s="49">
        <f t="shared" si="93"/>
        <v>0</v>
      </c>
      <c r="AH271" s="49">
        <f t="shared" si="93"/>
        <v>0</v>
      </c>
      <c r="AI271" s="49">
        <f t="shared" si="93"/>
        <v>0</v>
      </c>
      <c r="AJ271" s="49">
        <f t="shared" si="93"/>
        <v>0</v>
      </c>
      <c r="AK271" s="49">
        <f t="shared" si="93"/>
        <v>0</v>
      </c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</row>
    <row r="272" ht="9.75">
      <c r="A272" s="1"/>
    </row>
    <row r="273" spans="1:37" ht="9.75">
      <c r="A273" s="11" t="s">
        <v>94</v>
      </c>
      <c r="B273" s="16"/>
      <c r="C273" s="12">
        <f aca="true" t="shared" si="94" ref="C273:AK273">C261/C$116</f>
        <v>-1030.6800917431192</v>
      </c>
      <c r="D273" s="12">
        <f t="shared" si="94"/>
        <v>-2204.5818882401995</v>
      </c>
      <c r="E273" s="12">
        <f t="shared" si="94"/>
        <v>-2553.2864870725602</v>
      </c>
      <c r="F273" s="12">
        <f t="shared" si="94"/>
        <v>-2421.0545037531274</v>
      </c>
      <c r="G273" s="12">
        <f t="shared" si="94"/>
        <v>-2378.312955796496</v>
      </c>
      <c r="H273" s="12" t="e">
        <f t="shared" si="94"/>
        <v>#NAME?</v>
      </c>
      <c r="I273" s="12" t="e">
        <f t="shared" si="94"/>
        <v>#NAME?</v>
      </c>
      <c r="J273" s="12" t="e">
        <f t="shared" si="94"/>
        <v>#NAME?</v>
      </c>
      <c r="K273" s="12" t="e">
        <f t="shared" si="94"/>
        <v>#NAME?</v>
      </c>
      <c r="L273" s="12" t="e">
        <f t="shared" si="94"/>
        <v>#NAME?</v>
      </c>
      <c r="M273" s="12" t="e">
        <f t="shared" si="94"/>
        <v>#NAME?</v>
      </c>
      <c r="N273" s="12" t="e">
        <f t="shared" si="94"/>
        <v>#NAME?</v>
      </c>
      <c r="O273" s="12" t="e">
        <f t="shared" si="94"/>
        <v>#NAME?</v>
      </c>
      <c r="P273" s="12" t="e">
        <f t="shared" si="94"/>
        <v>#NAME?</v>
      </c>
      <c r="Q273" s="12" t="e">
        <f t="shared" si="94"/>
        <v>#NAME?</v>
      </c>
      <c r="R273" s="12" t="e">
        <f t="shared" si="94"/>
        <v>#NAME?</v>
      </c>
      <c r="S273" s="12" t="e">
        <f t="shared" si="94"/>
        <v>#NAME?</v>
      </c>
      <c r="T273" s="12" t="e">
        <f t="shared" si="94"/>
        <v>#NAME?</v>
      </c>
      <c r="U273" s="12" t="e">
        <f t="shared" si="94"/>
        <v>#NAME?</v>
      </c>
      <c r="V273" s="12" t="e">
        <f t="shared" si="94"/>
        <v>#NAME?</v>
      </c>
      <c r="W273" s="12" t="e">
        <f t="shared" si="94"/>
        <v>#NAME?</v>
      </c>
      <c r="X273" s="12" t="e">
        <f t="shared" si="94"/>
        <v>#NAME?</v>
      </c>
      <c r="Y273" s="12" t="e">
        <f t="shared" si="94"/>
        <v>#NAME?</v>
      </c>
      <c r="Z273" s="12" t="e">
        <f t="shared" si="94"/>
        <v>#NAME?</v>
      </c>
      <c r="AA273" s="12" t="e">
        <f t="shared" si="94"/>
        <v>#NAME?</v>
      </c>
      <c r="AB273" s="12" t="e">
        <f t="shared" si="94"/>
        <v>#NAME?</v>
      </c>
      <c r="AC273" s="12" t="e">
        <f t="shared" si="94"/>
        <v>#NAME?</v>
      </c>
      <c r="AD273" s="12" t="e">
        <f t="shared" si="94"/>
        <v>#NAME?</v>
      </c>
      <c r="AE273" s="12" t="e">
        <f t="shared" si="94"/>
        <v>#NAME?</v>
      </c>
      <c r="AF273" s="12" t="e">
        <f t="shared" si="94"/>
        <v>#NAME?</v>
      </c>
      <c r="AG273" s="12" t="e">
        <f t="shared" si="94"/>
        <v>#NAME?</v>
      </c>
      <c r="AH273" s="12" t="e">
        <f t="shared" si="94"/>
        <v>#NAME?</v>
      </c>
      <c r="AI273" s="12" t="e">
        <f t="shared" si="94"/>
        <v>#NAME?</v>
      </c>
      <c r="AJ273" s="12" t="e">
        <f t="shared" si="94"/>
        <v>#NAME?</v>
      </c>
      <c r="AK273" s="12" t="e">
        <f t="shared" si="94"/>
        <v>#NAME?</v>
      </c>
    </row>
    <row r="274" spans="1:37" ht="9.75">
      <c r="A274" s="11" t="s">
        <v>95</v>
      </c>
      <c r="C274" s="12">
        <f aca="true" t="shared" si="95" ref="C274:AK274">C262/C$116</f>
        <v>1023.2477064220185</v>
      </c>
      <c r="D274" s="12">
        <f t="shared" si="95"/>
        <v>2204.6010564359185</v>
      </c>
      <c r="E274" s="12">
        <f t="shared" si="95"/>
        <v>2553.30169320995</v>
      </c>
      <c r="F274" s="12">
        <f t="shared" si="95"/>
        <v>2421.0608174220374</v>
      </c>
      <c r="G274" s="12">
        <f t="shared" si="95"/>
        <v>2378.3119778138366</v>
      </c>
      <c r="H274" s="12">
        <f t="shared" si="95"/>
        <v>-389.2661982527777</v>
      </c>
      <c r="I274" s="12">
        <f t="shared" si="95"/>
        <v>-391.0720090310934</v>
      </c>
      <c r="J274" s="12">
        <f t="shared" si="95"/>
        <v>-393.3102743911437</v>
      </c>
      <c r="K274" s="12">
        <f t="shared" si="95"/>
        <v>-396.01834027873275</v>
      </c>
      <c r="L274" s="12">
        <f t="shared" si="95"/>
        <v>-399.2369780562676</v>
      </c>
      <c r="M274" s="12">
        <f t="shared" si="95"/>
        <v>-502.8380843090975</v>
      </c>
      <c r="N274" s="12">
        <f t="shared" si="95"/>
        <v>-514.940210963736</v>
      </c>
      <c r="O274" s="12">
        <f t="shared" si="95"/>
        <v>-528.4150858883195</v>
      </c>
      <c r="P274" s="12">
        <f t="shared" si="95"/>
        <v>-543.3858711146984</v>
      </c>
      <c r="Q274" s="12">
        <f t="shared" si="95"/>
        <v>-559.986986546558</v>
      </c>
      <c r="R274" s="12">
        <f t="shared" si="95"/>
        <v>-578.3651373295245</v>
      </c>
      <c r="S274" s="12">
        <f t="shared" si="95"/>
        <v>-598.6804349902403</v>
      </c>
      <c r="T274" s="12">
        <f t="shared" si="95"/>
        <v>-621.1076209026832</v>
      </c>
      <c r="U274" s="12">
        <f t="shared" si="95"/>
        <v>-645.8374014211068</v>
      </c>
      <c r="V274" s="12">
        <f t="shared" si="95"/>
        <v>-673.0779048713931</v>
      </c>
      <c r="W274" s="12">
        <f t="shared" si="95"/>
        <v>-703.0562715228052</v>
      </c>
      <c r="X274" s="12">
        <f t="shared" si="95"/>
        <v>-736.0203886772308</v>
      </c>
      <c r="Y274" s="12">
        <f t="shared" si="95"/>
        <v>-772.2407841207603</v>
      </c>
      <c r="Z274" s="12">
        <f t="shared" si="95"/>
        <v>-812.0126923912977</v>
      </c>
      <c r="AA274" s="12">
        <f t="shared" si="95"/>
        <v>-855.6583096350847</v>
      </c>
      <c r="AB274" s="12">
        <f t="shared" si="95"/>
        <v>-401.65241791398233</v>
      </c>
      <c r="AC274" s="12">
        <f t="shared" si="95"/>
        <v>-430.0343614069261</v>
      </c>
      <c r="AD274" s="12">
        <f t="shared" si="95"/>
        <v>-461.07240933720783</v>
      </c>
      <c r="AE274" s="12">
        <f t="shared" si="95"/>
        <v>-495.0084625942684</v>
      </c>
      <c r="AF274" s="12">
        <f t="shared" si="95"/>
        <v>-532.1065044609579</v>
      </c>
      <c r="AG274" s="12">
        <f t="shared" si="95"/>
        <v>0</v>
      </c>
      <c r="AH274" s="12">
        <f t="shared" si="95"/>
        <v>0</v>
      </c>
      <c r="AI274" s="12">
        <f t="shared" si="95"/>
        <v>0</v>
      </c>
      <c r="AJ274" s="12">
        <f t="shared" si="95"/>
        <v>0</v>
      </c>
      <c r="AK274" s="12">
        <f t="shared" si="95"/>
        <v>0</v>
      </c>
    </row>
    <row r="275" spans="1:37" ht="9.75">
      <c r="A275" s="11" t="s">
        <v>106</v>
      </c>
      <c r="C275" s="12">
        <f aca="true" t="shared" si="96" ref="C275:AK275">C263/C$116</f>
        <v>-7.432385321100629</v>
      </c>
      <c r="D275" s="12">
        <f t="shared" si="96"/>
        <v>0.019168195719054815</v>
      </c>
      <c r="E275" s="12">
        <f t="shared" si="96"/>
        <v>0.01520613738971743</v>
      </c>
      <c r="F275" s="12">
        <f t="shared" si="96"/>
        <v>0.006313668910215032</v>
      </c>
      <c r="G275" s="12">
        <f t="shared" si="96"/>
        <v>-0.000977982659597932</v>
      </c>
      <c r="H275" s="12" t="e">
        <f t="shared" si="96"/>
        <v>#NAME?</v>
      </c>
      <c r="I275" s="12" t="e">
        <f t="shared" si="96"/>
        <v>#NAME?</v>
      </c>
      <c r="J275" s="12" t="e">
        <f t="shared" si="96"/>
        <v>#NAME?</v>
      </c>
      <c r="K275" s="12" t="e">
        <f t="shared" si="96"/>
        <v>#NAME?</v>
      </c>
      <c r="L275" s="12" t="e">
        <f t="shared" si="96"/>
        <v>#NAME?</v>
      </c>
      <c r="M275" s="12" t="e">
        <f t="shared" si="96"/>
        <v>#NAME?</v>
      </c>
      <c r="N275" s="12" t="e">
        <f t="shared" si="96"/>
        <v>#NAME?</v>
      </c>
      <c r="O275" s="12" t="e">
        <f t="shared" si="96"/>
        <v>#NAME?</v>
      </c>
      <c r="P275" s="12" t="e">
        <f t="shared" si="96"/>
        <v>#NAME?</v>
      </c>
      <c r="Q275" s="12" t="e">
        <f t="shared" si="96"/>
        <v>#NAME?</v>
      </c>
      <c r="R275" s="12" t="e">
        <f t="shared" si="96"/>
        <v>#NAME?</v>
      </c>
      <c r="S275" s="12" t="e">
        <f t="shared" si="96"/>
        <v>#NAME?</v>
      </c>
      <c r="T275" s="12" t="e">
        <f t="shared" si="96"/>
        <v>#NAME?</v>
      </c>
      <c r="U275" s="12" t="e">
        <f t="shared" si="96"/>
        <v>#NAME?</v>
      </c>
      <c r="V275" s="12" t="e">
        <f t="shared" si="96"/>
        <v>#NAME?</v>
      </c>
      <c r="W275" s="12" t="e">
        <f t="shared" si="96"/>
        <v>#NAME?</v>
      </c>
      <c r="X275" s="12" t="e">
        <f t="shared" si="96"/>
        <v>#NAME?</v>
      </c>
      <c r="Y275" s="12" t="e">
        <f t="shared" si="96"/>
        <v>#NAME?</v>
      </c>
      <c r="Z275" s="12" t="e">
        <f t="shared" si="96"/>
        <v>#NAME?</v>
      </c>
      <c r="AA275" s="12" t="e">
        <f t="shared" si="96"/>
        <v>#NAME?</v>
      </c>
      <c r="AB275" s="12" t="e">
        <f t="shared" si="96"/>
        <v>#NAME?</v>
      </c>
      <c r="AC275" s="12" t="e">
        <f t="shared" si="96"/>
        <v>#NAME?</v>
      </c>
      <c r="AD275" s="12" t="e">
        <f t="shared" si="96"/>
        <v>#NAME?</v>
      </c>
      <c r="AE275" s="12" t="e">
        <f t="shared" si="96"/>
        <v>#NAME?</v>
      </c>
      <c r="AF275" s="12" t="e">
        <f t="shared" si="96"/>
        <v>#NAME?</v>
      </c>
      <c r="AG275" s="12" t="e">
        <f t="shared" si="96"/>
        <v>#NAME?</v>
      </c>
      <c r="AH275" s="12" t="e">
        <f t="shared" si="96"/>
        <v>#NAME?</v>
      </c>
      <c r="AI275" s="12" t="e">
        <f t="shared" si="96"/>
        <v>#NAME?</v>
      </c>
      <c r="AJ275" s="12" t="e">
        <f t="shared" si="96"/>
        <v>#NAME?</v>
      </c>
      <c r="AK275" s="12" t="e">
        <f t="shared" si="96"/>
        <v>#NAME?</v>
      </c>
    </row>
    <row r="276" spans="1:37" ht="9.75">
      <c r="A276" s="11" t="s">
        <v>107</v>
      </c>
      <c r="C276" s="12">
        <f aca="true" t="shared" si="97" ref="C276:AK276">C264/C$116</f>
        <v>0</v>
      </c>
      <c r="D276" s="12">
        <f t="shared" si="97"/>
        <v>0</v>
      </c>
      <c r="E276" s="12">
        <f t="shared" si="97"/>
        <v>0</v>
      </c>
      <c r="F276" s="12">
        <f t="shared" si="97"/>
        <v>0</v>
      </c>
      <c r="G276" s="12">
        <f t="shared" si="97"/>
        <v>0</v>
      </c>
      <c r="H276" s="12" t="e">
        <f t="shared" si="97"/>
        <v>#NAME?</v>
      </c>
      <c r="I276" s="12" t="e">
        <f t="shared" si="97"/>
        <v>#NAME?</v>
      </c>
      <c r="J276" s="12" t="e">
        <f t="shared" si="97"/>
        <v>#NAME?</v>
      </c>
      <c r="K276" s="12" t="e">
        <f t="shared" si="97"/>
        <v>#NAME?</v>
      </c>
      <c r="L276" s="12" t="e">
        <f t="shared" si="97"/>
        <v>#NAME?</v>
      </c>
      <c r="M276" s="12" t="e">
        <f t="shared" si="97"/>
        <v>#NAME?</v>
      </c>
      <c r="N276" s="12" t="e">
        <f t="shared" si="97"/>
        <v>#NAME?</v>
      </c>
      <c r="O276" s="12" t="e">
        <f t="shared" si="97"/>
        <v>#NAME?</v>
      </c>
      <c r="P276" s="12" t="e">
        <f t="shared" si="97"/>
        <v>#NAME?</v>
      </c>
      <c r="Q276" s="12" t="e">
        <f t="shared" si="97"/>
        <v>#NAME?</v>
      </c>
      <c r="R276" s="12" t="e">
        <f t="shared" si="97"/>
        <v>#NAME?</v>
      </c>
      <c r="S276" s="12" t="e">
        <f t="shared" si="97"/>
        <v>#NAME?</v>
      </c>
      <c r="T276" s="12" t="e">
        <f t="shared" si="97"/>
        <v>#NAME?</v>
      </c>
      <c r="U276" s="12" t="e">
        <f t="shared" si="97"/>
        <v>#NAME?</v>
      </c>
      <c r="V276" s="12" t="e">
        <f t="shared" si="97"/>
        <v>#NAME?</v>
      </c>
      <c r="W276" s="12" t="e">
        <f t="shared" si="97"/>
        <v>#NAME?</v>
      </c>
      <c r="X276" s="12" t="e">
        <f t="shared" si="97"/>
        <v>#NAME?</v>
      </c>
      <c r="Y276" s="12" t="e">
        <f t="shared" si="97"/>
        <v>#NAME?</v>
      </c>
      <c r="Z276" s="12" t="e">
        <f t="shared" si="97"/>
        <v>#NAME?</v>
      </c>
      <c r="AA276" s="12" t="e">
        <f t="shared" si="97"/>
        <v>#NAME?</v>
      </c>
      <c r="AB276" s="12" t="e">
        <f t="shared" si="97"/>
        <v>#NAME?</v>
      </c>
      <c r="AC276" s="12" t="e">
        <f t="shared" si="97"/>
        <v>#NAME?</v>
      </c>
      <c r="AD276" s="12" t="e">
        <f t="shared" si="97"/>
        <v>#NAME?</v>
      </c>
      <c r="AE276" s="12" t="e">
        <f t="shared" si="97"/>
        <v>#NAME?</v>
      </c>
      <c r="AF276" s="12" t="e">
        <f t="shared" si="97"/>
        <v>#NAME?</v>
      </c>
      <c r="AG276" s="12" t="e">
        <f t="shared" si="97"/>
        <v>#NAME?</v>
      </c>
      <c r="AH276" s="12" t="e">
        <f t="shared" si="97"/>
        <v>#NAME?</v>
      </c>
      <c r="AI276" s="12" t="e">
        <f t="shared" si="97"/>
        <v>#NAME?</v>
      </c>
      <c r="AJ276" s="12" t="e">
        <f t="shared" si="97"/>
        <v>#NAME?</v>
      </c>
      <c r="AK276" s="12" t="e">
        <f t="shared" si="97"/>
        <v>#NAME?</v>
      </c>
    </row>
    <row r="277" spans="1:37" ht="9.75">
      <c r="A277" s="11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</row>
    <row r="278" spans="1:61" ht="9.75">
      <c r="A278" s="1" t="s">
        <v>96</v>
      </c>
      <c r="C278" s="12"/>
      <c r="D278" s="12"/>
      <c r="E278" s="12"/>
      <c r="F278" s="12"/>
      <c r="G278" s="12"/>
      <c r="H278" s="12" t="e">
        <f aca="true" t="shared" si="98" ref="H278:AF278">H261/-H262</f>
        <v>#NAME?</v>
      </c>
      <c r="I278" s="12" t="e">
        <f t="shared" si="98"/>
        <v>#NAME?</v>
      </c>
      <c r="J278" s="12" t="e">
        <f t="shared" si="98"/>
        <v>#NAME?</v>
      </c>
      <c r="K278" s="12" t="e">
        <f t="shared" si="98"/>
        <v>#NAME?</v>
      </c>
      <c r="L278" s="12" t="e">
        <f t="shared" si="98"/>
        <v>#NAME?</v>
      </c>
      <c r="M278" s="12" t="e">
        <f t="shared" si="98"/>
        <v>#NAME?</v>
      </c>
      <c r="N278" s="12" t="e">
        <f t="shared" si="98"/>
        <v>#NAME?</v>
      </c>
      <c r="O278" s="12" t="e">
        <f t="shared" si="98"/>
        <v>#NAME?</v>
      </c>
      <c r="P278" s="12" t="e">
        <f t="shared" si="98"/>
        <v>#NAME?</v>
      </c>
      <c r="Q278" s="12" t="e">
        <f t="shared" si="98"/>
        <v>#NAME?</v>
      </c>
      <c r="R278" s="12" t="e">
        <f t="shared" si="98"/>
        <v>#NAME?</v>
      </c>
      <c r="S278" s="12" t="e">
        <f t="shared" si="98"/>
        <v>#NAME?</v>
      </c>
      <c r="T278" s="12" t="e">
        <f t="shared" si="98"/>
        <v>#NAME?</v>
      </c>
      <c r="U278" s="12" t="e">
        <f t="shared" si="98"/>
        <v>#NAME?</v>
      </c>
      <c r="V278" s="12" t="e">
        <f t="shared" si="98"/>
        <v>#NAME?</v>
      </c>
      <c r="W278" s="12" t="e">
        <f t="shared" si="98"/>
        <v>#NAME?</v>
      </c>
      <c r="X278" s="12" t="e">
        <f t="shared" si="98"/>
        <v>#NAME?</v>
      </c>
      <c r="Y278" s="12" t="e">
        <f t="shared" si="98"/>
        <v>#NAME?</v>
      </c>
      <c r="Z278" s="12" t="e">
        <f t="shared" si="98"/>
        <v>#NAME?</v>
      </c>
      <c r="AA278" s="12" t="e">
        <f t="shared" si="98"/>
        <v>#NAME?</v>
      </c>
      <c r="AB278" s="12" t="e">
        <f t="shared" si="98"/>
        <v>#NAME?</v>
      </c>
      <c r="AC278" s="12" t="e">
        <f t="shared" si="98"/>
        <v>#NAME?</v>
      </c>
      <c r="AD278" s="12" t="e">
        <f t="shared" si="98"/>
        <v>#NAME?</v>
      </c>
      <c r="AE278" s="12" t="e">
        <f t="shared" si="98"/>
        <v>#NAME?</v>
      </c>
      <c r="AF278" s="12" t="e">
        <f t="shared" si="98"/>
        <v>#NAME?</v>
      </c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</row>
    <row r="279" spans="1:61" ht="9.75">
      <c r="A279" s="2" t="s">
        <v>119</v>
      </c>
      <c r="B279" s="16" t="e">
        <f>MIN(O278:AF278)</f>
        <v>#NAME?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</row>
    <row r="280" spans="1:61" ht="9.75">
      <c r="A280" s="1" t="s">
        <v>113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</row>
    <row r="281" spans="1:61" ht="9.75">
      <c r="A281" s="11" t="s">
        <v>111</v>
      </c>
      <c r="B281" s="23">
        <f>IRR(C262:AK262)</f>
        <v>0.07137763045414336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</row>
    <row r="282" spans="1:61" ht="9.75">
      <c r="A282" s="11" t="s">
        <v>103</v>
      </c>
      <c r="B282" s="33">
        <f>B111</f>
        <v>0.12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</row>
    <row r="283" spans="1:61" ht="9.75">
      <c r="A283" s="11" t="s">
        <v>112</v>
      </c>
      <c r="B283" s="23">
        <f>B281</f>
        <v>0.07137763045414336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</row>
    <row r="284" spans="1:61" ht="9.75">
      <c r="A284" s="11" t="s">
        <v>101</v>
      </c>
      <c r="B284" s="33">
        <f>B110</f>
        <v>0.1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</row>
    <row r="285" spans="1:61" ht="9.75">
      <c r="A285" s="1" t="s">
        <v>205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</row>
    <row r="286" spans="1:61" ht="9.75">
      <c r="A286" s="11" t="s">
        <v>111</v>
      </c>
      <c r="B286" s="23">
        <f>IRR(C274:AK274)</f>
        <v>0.018398249304832914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</row>
    <row r="287" spans="1:61" ht="9.75">
      <c r="A287" s="11" t="s">
        <v>103</v>
      </c>
      <c r="B287" s="23" t="e">
        <f>(1+B282)/(1+IRR(C263:AK263))*(1+IRR(C275:AK275))-1</f>
        <v>#VALUE!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</row>
    <row r="288" spans="1:61" ht="9.75">
      <c r="A288" s="11" t="s">
        <v>112</v>
      </c>
      <c r="B288" s="23">
        <f>B286</f>
        <v>0.018398249304832914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</row>
    <row r="289" spans="1:61" ht="9.75">
      <c r="A289" s="11" t="s">
        <v>101</v>
      </c>
      <c r="B289" s="23">
        <f>(1+B284)/(1+H5)-1</f>
        <v>0.04761904761904767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</row>
    <row r="290" spans="1:61" ht="9.75">
      <c r="A290" s="1" t="s">
        <v>115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</row>
    <row r="291" spans="1:61" ht="9.75">
      <c r="A291" s="11" t="s">
        <v>114</v>
      </c>
      <c r="B291" s="23" t="e">
        <f>IRR(C261:AK261)</f>
        <v>#VALUE!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</row>
    <row r="292" spans="1:61" ht="9.75">
      <c r="A292" s="11" t="s">
        <v>1</v>
      </c>
      <c r="B292" s="23" t="e">
        <f>IRR(C263:AK263)</f>
        <v>#VALUE!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</row>
    <row r="293" spans="1:61" ht="9.75">
      <c r="A293" s="1" t="s">
        <v>116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</row>
    <row r="294" spans="1:61" ht="9.75">
      <c r="A294" s="11" t="s">
        <v>114</v>
      </c>
      <c r="B294" s="23" t="e">
        <f>IRR(C273:AK273)</f>
        <v>#VALUE!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</row>
    <row r="295" spans="1:61" ht="9.75">
      <c r="A295" s="11" t="s">
        <v>1</v>
      </c>
      <c r="B295" s="23" t="e">
        <f>IRR(C275:AK275)</f>
        <v>#VALUE!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</row>
    <row r="296" spans="1:61" ht="9.75">
      <c r="A296" s="1" t="s">
        <v>117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</row>
    <row r="297" spans="1:61" ht="9.75">
      <c r="A297" s="90" t="s">
        <v>104</v>
      </c>
      <c r="B297" s="91" t="e">
        <f>NPV(B288,C273:AK273)</f>
        <v>#NAME?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</row>
    <row r="298" spans="1:61" ht="9.75">
      <c r="A298" s="11" t="s">
        <v>105</v>
      </c>
      <c r="B298" s="12" t="e">
        <f>NPV(B287,C275:AK275)</f>
        <v>#VALUE!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</row>
    <row r="299" spans="1:61" ht="9.75">
      <c r="A299" s="11" t="s">
        <v>108</v>
      </c>
      <c r="B299" s="12" t="e">
        <f>NPV(B289,C276:AK276)</f>
        <v>#NAME?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</row>
    <row r="301" spans="8:61" ht="9.75"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</row>
    <row r="302" spans="8:61" ht="9.75"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</row>
    <row r="303" spans="8:61" ht="9.75"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</row>
    <row r="304" spans="8:61" ht="9.75"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</row>
    <row r="305" spans="8:61" ht="9.75"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</row>
    <row r="306" spans="8:61" ht="9.75"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</row>
    <row r="307" spans="8:61" ht="9.75"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</row>
    <row r="308" spans="8:61" ht="9.75"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</row>
    <row r="309" spans="8:61" ht="9.75"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</row>
    <row r="310" spans="8:61" ht="9.75"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</row>
    <row r="311" spans="8:61" ht="9.75"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</row>
    <row r="312" spans="8:61" ht="9.75"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</row>
    <row r="313" spans="8:61" ht="9.75"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</row>
    <row r="314" spans="8:61" ht="9.75"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</row>
    <row r="315" spans="8:61" ht="9.75"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</row>
    <row r="316" spans="8:61" ht="9.75"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</row>
    <row r="317" spans="8:61" ht="9.75"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</row>
    <row r="318" spans="8:61" ht="9.75"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</row>
    <row r="319" spans="8:61" ht="9.75"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</row>
    <row r="320" spans="8:61" ht="9.75"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</row>
    <row r="321" spans="8:61" ht="9.75"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</row>
    <row r="322" spans="8:61" ht="9.75"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</row>
    <row r="323" spans="8:61" ht="9.75"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</row>
    <row r="324" spans="8:61" ht="9.75"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</row>
    <row r="325" spans="8:61" ht="9.75"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</row>
    <row r="326" spans="8:61" ht="9.75"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</row>
    <row r="327" spans="8:61" ht="9.75"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</row>
    <row r="328" spans="8:61" ht="9.75"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</row>
    <row r="329" spans="8:61" ht="9.75"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</row>
    <row r="330" spans="8:61" ht="9.75"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</row>
    <row r="331" spans="8:61" ht="9.75"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</row>
    <row r="332" spans="8:61" ht="9.75"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</row>
    <row r="333" spans="8:61" ht="9.75"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</row>
    <row r="334" spans="8:61" ht="9.75"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</row>
    <row r="335" spans="8:61" ht="9.75"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</row>
    <row r="336" spans="8:61" ht="9.75"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</row>
    <row r="337" spans="8:61" ht="9.75"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</row>
    <row r="338" spans="8:61" ht="9.75"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</row>
    <row r="339" spans="8:61" ht="9.75"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</row>
    <row r="340" spans="8:61" ht="9.75"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</row>
    <row r="341" spans="8:61" ht="9.75"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</row>
    <row r="342" spans="8:61" ht="9.75"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</row>
    <row r="343" spans="8:61" ht="9.75"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</row>
    <row r="344" spans="8:61" ht="9.75"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</row>
    <row r="345" spans="8:61" ht="9.75"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</row>
    <row r="346" spans="8:61" ht="9.75"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</row>
    <row r="347" spans="8:61" ht="9.75"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</row>
    <row r="348" spans="8:61" ht="9.75"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</row>
    <row r="349" spans="8:61" ht="9.75"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</row>
    <row r="350" spans="8:61" ht="9.75"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</row>
    <row r="351" spans="8:61" ht="9.75"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</row>
    <row r="352" spans="8:61" ht="9.75"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</row>
    <row r="353" spans="8:61" ht="9.75"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</row>
    <row r="354" spans="8:61" ht="9.75"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</row>
    <row r="355" spans="8:61" ht="9.75"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</row>
    <row r="356" spans="8:61" ht="9.75"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</row>
    <row r="357" spans="8:61" ht="9.75"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</row>
    <row r="358" spans="8:61" ht="9.75"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</row>
    <row r="359" spans="8:61" ht="9.75"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</row>
    <row r="360" spans="8:61" ht="9.75"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</row>
    <row r="361" spans="8:61" ht="9.75"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</row>
    <row r="362" spans="8:61" ht="9.75"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</row>
    <row r="363" spans="8:61" ht="9.75"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</row>
    <row r="364" spans="8:61" ht="9.75"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</row>
    <row r="365" spans="37:61" ht="9.75"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</row>
    <row r="366" spans="37:61" ht="9.75"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</row>
    <row r="367" spans="37:61" ht="9.75"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</row>
    <row r="368" spans="37:61" ht="9.75"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</row>
    <row r="369" spans="37:61" ht="9.75"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</row>
    <row r="370" spans="37:61" ht="9.75"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</row>
    <row r="371" spans="37:61" ht="9.75"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</row>
    <row r="372" spans="37:61" ht="9.75"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</row>
    <row r="373" spans="37:61" ht="9.75"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</row>
    <row r="374" spans="37:61" ht="9.75"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</row>
    <row r="375" spans="37:61" ht="9.75"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</row>
    <row r="376" spans="37:61" ht="9.75"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</row>
    <row r="377" spans="37:61" ht="9.75"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</row>
    <row r="378" spans="37:61" ht="9.75"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</row>
    <row r="379" spans="37:61" ht="9.75"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</row>
    <row r="380" spans="37:61" ht="9.75"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</row>
    <row r="381" spans="37:61" ht="9.75"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</row>
    <row r="382" spans="37:61" ht="9.75"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</row>
    <row r="383" spans="37:61" ht="9.75"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</row>
    <row r="384" spans="37:61" ht="9.75"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</row>
    <row r="385" spans="37:61" ht="9.75"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</row>
    <row r="386" spans="37:61" ht="9.75"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</row>
    <row r="387" spans="37:61" ht="9.75"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</row>
    <row r="388" spans="37:61" ht="9.75"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</row>
    <row r="389" spans="37:61" ht="9.75"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</row>
    <row r="390" spans="37:61" ht="9.75"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</row>
    <row r="391" spans="37:61" ht="9.75"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</row>
    <row r="392" spans="37:61" ht="9.75"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</row>
    <row r="393" spans="37:61" ht="9.75"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</row>
    <row r="394" spans="37:61" ht="9.75"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</row>
    <row r="395" spans="37:61" ht="9.75"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</row>
    <row r="396" spans="37:61" ht="9.75"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</row>
    <row r="397" spans="37:61" ht="9.75"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</row>
    <row r="398" spans="37:61" ht="9.75"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</row>
    <row r="399" spans="37:61" ht="9.75"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</row>
    <row r="400" spans="37:61" ht="9.75"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</row>
    <row r="401" spans="37:61" ht="9.75"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</row>
    <row r="402" spans="37:61" ht="9.75"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</row>
    <row r="403" spans="37:61" ht="9.75"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</row>
    <row r="404" spans="37:61" ht="9.75"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</row>
    <row r="405" spans="37:61" ht="9.75"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</row>
    <row r="406" spans="37:61" ht="9.75"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</row>
    <row r="407" spans="37:61" ht="9.75"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</row>
    <row r="408" spans="37:61" ht="9.75"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</row>
    <row r="409" spans="37:61" ht="9.75"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</row>
    <row r="410" spans="37:61" ht="9.75"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</row>
    <row r="411" spans="37:61" ht="9.75"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</row>
    <row r="412" spans="37:61" ht="9.75"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</row>
    <row r="413" spans="37:61" ht="9.75"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</row>
    <row r="414" spans="37:61" ht="9.75"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</row>
    <row r="415" spans="37:61" ht="9.75"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</row>
    <row r="416" spans="37:61" ht="9.75"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</row>
    <row r="417" spans="37:61" ht="9.75"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</row>
    <row r="418" spans="37:61" ht="9.75"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</row>
    <row r="419" spans="37:61" ht="9.75"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</row>
    <row r="420" spans="37:61" ht="9.75"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</row>
    <row r="421" spans="37:61" ht="9.75"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</row>
    <row r="422" spans="37:61" ht="9.75"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</row>
    <row r="423" spans="37:61" ht="9.75"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</row>
    <row r="424" spans="37:61" ht="9.75"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</row>
    <row r="425" spans="37:61" ht="9.75"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</row>
    <row r="426" spans="37:61" ht="9.75"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</row>
    <row r="427" spans="37:61" ht="9.75"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</row>
    <row r="428" spans="37:61" ht="9.75"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</row>
    <row r="429" spans="37:61" ht="9.75"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</row>
    <row r="430" spans="37:61" ht="9.75"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</row>
    <row r="431" spans="37:61" ht="9.75"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</row>
    <row r="432" spans="37:61" ht="9.75"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</row>
    <row r="433" spans="37:61" ht="9.75"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</row>
    <row r="434" spans="37:61" ht="9.75"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</row>
    <row r="435" spans="37:61" ht="9.75"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</row>
    <row r="436" spans="37:61" ht="9.75"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</row>
    <row r="437" spans="37:61" ht="9.75"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</row>
    <row r="438" spans="37:61" ht="9.75"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</row>
    <row r="439" spans="37:61" ht="9.75"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</row>
    <row r="440" spans="37:61" ht="9.75"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</row>
    <row r="441" spans="37:61" ht="9.75"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</row>
    <row r="442" spans="37:61" ht="9.75"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</row>
    <row r="443" spans="37:61" ht="9.75"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</row>
    <row r="444" spans="37:61" ht="9.75"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</row>
    <row r="445" spans="37:61" ht="9.75"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</row>
    <row r="446" spans="37:61" ht="9.75"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</row>
    <row r="447" spans="37:61" ht="9.75"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</row>
    <row r="448" spans="37:61" ht="9.75"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</row>
    <row r="449" spans="37:61" ht="9.75"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</row>
    <row r="450" spans="37:61" ht="9.75"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</row>
    <row r="451" spans="37:61" ht="9.75"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</row>
    <row r="452" spans="37:61" ht="9.75"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</row>
    <row r="453" spans="37:61" ht="9.75"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</row>
    <row r="454" spans="37:61" ht="9.75"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</row>
    <row r="455" spans="37:61" ht="9.75"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</row>
    <row r="456" spans="37:61" ht="9.75"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</row>
    <row r="457" spans="37:61" ht="9.75"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</row>
    <row r="458" spans="37:61" ht="9.75"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</row>
    <row r="459" spans="37:61" ht="9.75"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</row>
    <row r="460" spans="37:61" ht="9.75"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</row>
    <row r="461" spans="37:61" ht="9.75"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</row>
    <row r="462" spans="37:61" ht="9.75"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</row>
    <row r="463" spans="37:61" ht="9.75"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</row>
    <row r="464" spans="37:61" ht="9.75"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</row>
    <row r="465" spans="37:61" ht="9.75"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</row>
    <row r="466" spans="37:61" ht="9.75"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</row>
    <row r="467" spans="37:61" ht="9.75"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</row>
    <row r="468" spans="37:61" ht="9.75"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</row>
    <row r="469" spans="37:61" ht="9.75"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</row>
    <row r="470" spans="37:61" ht="9.75"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</row>
    <row r="471" spans="37:61" ht="9.75"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</row>
    <row r="472" spans="37:61" ht="9.75"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</row>
    <row r="473" spans="37:61" ht="9.75"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</row>
    <row r="474" spans="37:61" ht="9.75"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</row>
    <row r="475" spans="37:61" ht="9.75"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</row>
  </sheetData>
  <sheetProtection/>
  <conditionalFormatting sqref="H278:AF278">
    <cfRule type="cellIs" priority="1" dxfId="0" operator="lessThan" stopIfTrue="1">
      <formula>$B$112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L143"/>
  <sheetViews>
    <sheetView zoomScalePageLayoutView="0" workbookViewId="0" topLeftCell="A1">
      <pane xSplit="1" ySplit="3" topLeftCell="B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60" sqref="F60"/>
    </sheetView>
  </sheetViews>
  <sheetFormatPr defaultColWidth="9.140625" defaultRowHeight="12.75"/>
  <cols>
    <col min="1" max="1" width="41.57421875" style="45" bestFit="1" customWidth="1"/>
    <col min="2" max="2" width="10.140625" style="45" bestFit="1" customWidth="1"/>
    <col min="3" max="7" width="9.140625" style="45" customWidth="1"/>
    <col min="8" max="8" width="10.421875" style="45" bestFit="1" customWidth="1"/>
    <col min="9" max="37" width="9.140625" style="45" customWidth="1"/>
    <col min="38" max="38" width="11.28125" style="45" customWidth="1"/>
    <col min="39" max="16384" width="9.140625" style="45" customWidth="1"/>
  </cols>
  <sheetData>
    <row r="1" spans="1:2" ht="9.75">
      <c r="A1" s="1" t="s">
        <v>2</v>
      </c>
      <c r="B1" s="17"/>
    </row>
    <row r="2" spans="2:37" ht="9.75">
      <c r="B2" s="44">
        <v>2007</v>
      </c>
      <c r="C2" s="45">
        <v>2008</v>
      </c>
      <c r="D2" s="45">
        <v>2009</v>
      </c>
      <c r="E2" s="45">
        <v>2010</v>
      </c>
      <c r="F2" s="45">
        <v>2011</v>
      </c>
      <c r="G2" s="45">
        <v>2012</v>
      </c>
      <c r="H2" s="45">
        <v>2013</v>
      </c>
      <c r="I2" s="45">
        <v>2014</v>
      </c>
      <c r="J2" s="45">
        <v>2015</v>
      </c>
      <c r="K2" s="45">
        <v>2016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>
        <v>2022</v>
      </c>
      <c r="R2" s="45">
        <v>2023</v>
      </c>
      <c r="S2" s="45">
        <v>2024</v>
      </c>
      <c r="T2" s="45">
        <v>2025</v>
      </c>
      <c r="U2" s="45">
        <v>2026</v>
      </c>
      <c r="V2" s="45">
        <v>2027</v>
      </c>
      <c r="W2" s="45">
        <v>2028</v>
      </c>
      <c r="X2" s="45">
        <v>2029</v>
      </c>
      <c r="Y2" s="45">
        <v>2030</v>
      </c>
      <c r="Z2" s="45">
        <v>2031</v>
      </c>
      <c r="AA2" s="45">
        <v>2032</v>
      </c>
      <c r="AB2" s="45">
        <v>2033</v>
      </c>
      <c r="AC2" s="45">
        <v>2034</v>
      </c>
      <c r="AD2" s="45">
        <v>2035</v>
      </c>
      <c r="AE2" s="45">
        <v>2036</v>
      </c>
      <c r="AF2" s="45">
        <v>2037</v>
      </c>
      <c r="AG2" s="45">
        <v>2038</v>
      </c>
      <c r="AH2" s="45">
        <v>2039</v>
      </c>
      <c r="AI2" s="45">
        <v>2040</v>
      </c>
      <c r="AJ2" s="45">
        <v>2041</v>
      </c>
      <c r="AK2" s="45">
        <v>2042</v>
      </c>
    </row>
    <row r="3" spans="1:37" ht="9.75">
      <c r="A3" s="1" t="s">
        <v>157</v>
      </c>
      <c r="B3" s="44">
        <v>0</v>
      </c>
      <c r="C3" s="45">
        <v>1</v>
      </c>
      <c r="D3" s="45">
        <v>2</v>
      </c>
      <c r="E3" s="45">
        <v>3</v>
      </c>
      <c r="F3" s="45">
        <v>4</v>
      </c>
      <c r="G3" s="45">
        <v>5</v>
      </c>
      <c r="H3" s="45">
        <v>6</v>
      </c>
      <c r="I3" s="45">
        <v>7</v>
      </c>
      <c r="J3" s="45">
        <v>8</v>
      </c>
      <c r="K3" s="45">
        <v>9</v>
      </c>
      <c r="L3" s="45">
        <v>10</v>
      </c>
      <c r="M3" s="45">
        <v>11</v>
      </c>
      <c r="N3" s="45">
        <v>12</v>
      </c>
      <c r="O3" s="45">
        <v>13</v>
      </c>
      <c r="P3" s="45">
        <v>14</v>
      </c>
      <c r="Q3" s="45">
        <v>15</v>
      </c>
      <c r="R3" s="45">
        <v>16</v>
      </c>
      <c r="S3" s="45">
        <v>17</v>
      </c>
      <c r="T3" s="45">
        <v>18</v>
      </c>
      <c r="U3" s="45">
        <v>19</v>
      </c>
      <c r="V3" s="45">
        <v>20</v>
      </c>
      <c r="W3" s="45">
        <v>21</v>
      </c>
      <c r="X3" s="45">
        <v>22</v>
      </c>
      <c r="Y3" s="45">
        <v>23</v>
      </c>
      <c r="Z3" s="45">
        <v>24</v>
      </c>
      <c r="AA3" s="45">
        <v>25</v>
      </c>
      <c r="AB3" s="45">
        <v>26</v>
      </c>
      <c r="AC3" s="45">
        <v>27</v>
      </c>
      <c r="AD3" s="45">
        <v>28</v>
      </c>
      <c r="AE3" s="45">
        <v>29</v>
      </c>
      <c r="AF3" s="45">
        <v>30</v>
      </c>
      <c r="AG3" s="45">
        <v>31</v>
      </c>
      <c r="AH3" s="45">
        <v>32</v>
      </c>
      <c r="AI3" s="45">
        <v>33</v>
      </c>
      <c r="AJ3" s="45">
        <v>34</v>
      </c>
      <c r="AK3" s="45">
        <v>35</v>
      </c>
    </row>
    <row r="4" spans="1:2" ht="9.75">
      <c r="A4" s="45" t="s">
        <v>143</v>
      </c>
      <c r="B4" s="66">
        <v>1.1</v>
      </c>
    </row>
    <row r="5" spans="1:2" ht="9.75">
      <c r="A5" s="45" t="s">
        <v>144</v>
      </c>
      <c r="B5" s="44">
        <v>0.55</v>
      </c>
    </row>
    <row r="6" spans="1:2" ht="9.75">
      <c r="A6" s="45" t="s">
        <v>145</v>
      </c>
      <c r="B6" s="46">
        <v>0.15</v>
      </c>
    </row>
    <row r="7" spans="1:2" ht="9.75">
      <c r="A7" s="45" t="s">
        <v>146</v>
      </c>
      <c r="B7" s="46">
        <v>0.15</v>
      </c>
    </row>
    <row r="8" spans="1:2" ht="9.75">
      <c r="A8" s="45" t="s">
        <v>147</v>
      </c>
      <c r="B8" s="46">
        <v>0.15</v>
      </c>
    </row>
    <row r="9" spans="1:4" ht="9.75">
      <c r="A9" s="45" t="s">
        <v>148</v>
      </c>
      <c r="B9" s="44" t="s">
        <v>149</v>
      </c>
      <c r="C9" s="45" t="s">
        <v>150</v>
      </c>
      <c r="D9" s="45" t="s">
        <v>151</v>
      </c>
    </row>
    <row r="10" spans="1:5" ht="9.75">
      <c r="A10" s="47" t="s">
        <v>62</v>
      </c>
      <c r="B10" s="48">
        <v>1624</v>
      </c>
      <c r="C10" s="48">
        <v>2017</v>
      </c>
      <c r="D10" s="49">
        <f aca="true" t="shared" si="0" ref="D10:D15">C10-B10</f>
        <v>393</v>
      </c>
      <c r="E10" s="49"/>
    </row>
    <row r="11" spans="1:5" ht="9.75">
      <c r="A11" s="47" t="s">
        <v>132</v>
      </c>
      <c r="B11" s="48">
        <v>2755</v>
      </c>
      <c r="C11" s="48">
        <v>3626</v>
      </c>
      <c r="D11" s="49">
        <f t="shared" si="0"/>
        <v>871</v>
      </c>
      <c r="E11" s="49"/>
    </row>
    <row r="12" spans="1:5" ht="9.75">
      <c r="A12" s="47" t="s">
        <v>133</v>
      </c>
      <c r="B12" s="48">
        <v>5603</v>
      </c>
      <c r="C12" s="48">
        <v>8319</v>
      </c>
      <c r="D12" s="49">
        <f t="shared" si="0"/>
        <v>2716</v>
      </c>
      <c r="E12" s="49"/>
    </row>
    <row r="13" spans="1:5" ht="9.75">
      <c r="A13" s="47" t="s">
        <v>134</v>
      </c>
      <c r="B13" s="48">
        <v>3280</v>
      </c>
      <c r="C13" s="48">
        <v>4338</v>
      </c>
      <c r="D13" s="49">
        <f t="shared" si="0"/>
        <v>1058</v>
      </c>
      <c r="E13" s="49"/>
    </row>
    <row r="14" spans="1:5" ht="9.75">
      <c r="A14" s="47" t="s">
        <v>135</v>
      </c>
      <c r="B14" s="48">
        <v>5912</v>
      </c>
      <c r="C14" s="48">
        <v>7844</v>
      </c>
      <c r="D14" s="49">
        <f t="shared" si="0"/>
        <v>1932</v>
      </c>
      <c r="E14" s="49"/>
    </row>
    <row r="15" spans="1:5" ht="9.75">
      <c r="A15" s="47" t="s">
        <v>136</v>
      </c>
      <c r="B15" s="48">
        <v>14984</v>
      </c>
      <c r="C15" s="48">
        <v>19724</v>
      </c>
      <c r="D15" s="49">
        <f t="shared" si="0"/>
        <v>4740</v>
      </c>
      <c r="E15" s="49"/>
    </row>
    <row r="16" spans="1:2" ht="9.75">
      <c r="A16" s="45" t="s">
        <v>198</v>
      </c>
      <c r="B16" s="44"/>
    </row>
    <row r="17" spans="1:2" ht="9.75">
      <c r="A17" s="47" t="s">
        <v>62</v>
      </c>
      <c r="B17" s="44">
        <v>3</v>
      </c>
    </row>
    <row r="18" spans="1:2" ht="9.75">
      <c r="A18" s="47" t="s">
        <v>132</v>
      </c>
      <c r="B18" s="44">
        <v>10</v>
      </c>
    </row>
    <row r="19" spans="1:2" ht="9.75">
      <c r="A19" s="47" t="s">
        <v>133</v>
      </c>
      <c r="B19" s="44">
        <v>28</v>
      </c>
    </row>
    <row r="20" spans="1:2" ht="9.75">
      <c r="A20" s="47" t="s">
        <v>134</v>
      </c>
      <c r="B20" s="44">
        <v>3</v>
      </c>
    </row>
    <row r="21" spans="1:2" ht="9.75">
      <c r="A21" s="47" t="s">
        <v>135</v>
      </c>
      <c r="B21" s="44">
        <v>10</v>
      </c>
    </row>
    <row r="22" spans="1:2" ht="9.75">
      <c r="A22" s="47" t="s">
        <v>136</v>
      </c>
      <c r="B22" s="44">
        <v>20</v>
      </c>
    </row>
    <row r="23" spans="1:2" ht="9.75">
      <c r="A23" s="45" t="s">
        <v>199</v>
      </c>
      <c r="B23" s="44"/>
    </row>
    <row r="24" spans="1:2" ht="9.75">
      <c r="A24" s="47" t="s">
        <v>62</v>
      </c>
      <c r="B24" s="48">
        <v>14000</v>
      </c>
    </row>
    <row r="25" spans="1:2" ht="9.75">
      <c r="A25" s="47" t="s">
        <v>132</v>
      </c>
      <c r="B25" s="48">
        <v>4500</v>
      </c>
    </row>
    <row r="26" spans="1:2" ht="9.75">
      <c r="A26" s="47" t="s">
        <v>133</v>
      </c>
      <c r="B26" s="48">
        <v>4500</v>
      </c>
    </row>
    <row r="27" spans="1:2" ht="9.75">
      <c r="A27" s="47" t="s">
        <v>134</v>
      </c>
      <c r="B27" s="48">
        <v>2720</v>
      </c>
    </row>
    <row r="28" spans="1:2" ht="9.75">
      <c r="A28" s="47" t="s">
        <v>135</v>
      </c>
      <c r="B28" s="48">
        <v>2720</v>
      </c>
    </row>
    <row r="29" spans="1:2" ht="9.75">
      <c r="A29" s="47" t="s">
        <v>136</v>
      </c>
      <c r="B29" s="48">
        <v>3520</v>
      </c>
    </row>
    <row r="30" spans="1:2" ht="9.75">
      <c r="A30" s="45" t="s">
        <v>152</v>
      </c>
      <c r="B30" s="44"/>
    </row>
    <row r="31" spans="1:2" ht="9.75">
      <c r="A31" s="50" t="s">
        <v>153</v>
      </c>
      <c r="B31" s="44">
        <v>45</v>
      </c>
    </row>
    <row r="32" spans="1:2" ht="9.75">
      <c r="A32" s="50" t="s">
        <v>65</v>
      </c>
      <c r="B32" s="44">
        <v>30</v>
      </c>
    </row>
    <row r="33" spans="1:2" ht="9.75">
      <c r="A33" s="45" t="s">
        <v>154</v>
      </c>
      <c r="B33" s="46">
        <v>0.8</v>
      </c>
    </row>
    <row r="34" spans="1:2" ht="9.75">
      <c r="A34" s="45" t="s">
        <v>155</v>
      </c>
      <c r="B34" s="46">
        <f>1-B33</f>
        <v>0.19999999999999996</v>
      </c>
    </row>
    <row r="35" spans="1:2" ht="9.75">
      <c r="A35" s="45" t="s">
        <v>156</v>
      </c>
      <c r="B35" s="46">
        <v>0.08</v>
      </c>
    </row>
    <row r="36" spans="3:7" ht="9.75">
      <c r="C36" s="48"/>
      <c r="D36" s="48"/>
      <c r="E36" s="48"/>
      <c r="F36" s="48"/>
      <c r="G36" s="48"/>
    </row>
    <row r="37" spans="1:14" s="52" customFormat="1" ht="9.75">
      <c r="A37" s="34" t="s">
        <v>45</v>
      </c>
      <c r="B37" s="70" t="s">
        <v>201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1:14" s="44" customFormat="1" ht="9.75">
      <c r="A38" s="67" t="s">
        <v>186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s="44" customFormat="1" ht="9.75">
      <c r="A39" s="2" t="s">
        <v>195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s="44" customFormat="1" ht="9.75">
      <c r="A40" s="11" t="s">
        <v>3</v>
      </c>
      <c r="B40" s="48"/>
      <c r="C40" s="48">
        <f>Financial!C10</f>
        <v>0</v>
      </c>
      <c r="D40" s="48">
        <f>Financial!D10</f>
        <v>0.97</v>
      </c>
      <c r="E40" s="48">
        <f>Financial!E10</f>
        <v>2.92</v>
      </c>
      <c r="F40" s="48">
        <f>Financial!F10</f>
        <v>2.92</v>
      </c>
      <c r="G40" s="48">
        <f>Financial!G10</f>
        <v>2.92</v>
      </c>
      <c r="H40" s="48"/>
      <c r="I40" s="48"/>
      <c r="J40" s="48"/>
      <c r="K40" s="48"/>
      <c r="L40" s="48"/>
      <c r="M40" s="48"/>
      <c r="N40" s="48"/>
    </row>
    <row r="41" spans="1:14" s="44" customFormat="1" ht="9.75">
      <c r="A41" s="11" t="s">
        <v>4</v>
      </c>
      <c r="B41" s="48"/>
      <c r="C41" s="48">
        <f>Financial!C11</f>
        <v>3.02</v>
      </c>
      <c r="D41" s="48">
        <f>Financial!D11</f>
        <v>4.54</v>
      </c>
      <c r="E41" s="48">
        <f>Financial!E11</f>
        <v>0</v>
      </c>
      <c r="F41" s="48">
        <f>Financial!F11</f>
        <v>0</v>
      </c>
      <c r="G41" s="48">
        <f>Financial!G11</f>
        <v>0</v>
      </c>
      <c r="H41" s="48"/>
      <c r="I41" s="48"/>
      <c r="J41" s="48"/>
      <c r="K41" s="48"/>
      <c r="L41" s="48"/>
      <c r="M41" s="48"/>
      <c r="N41" s="48"/>
    </row>
    <row r="42" spans="1:14" s="44" customFormat="1" ht="9.75">
      <c r="A42" s="11" t="s">
        <v>5</v>
      </c>
      <c r="B42" s="48"/>
      <c r="C42" s="48">
        <f>Financial!C12</f>
        <v>0.31</v>
      </c>
      <c r="D42" s="48">
        <f>Financial!D12</f>
        <v>0.31</v>
      </c>
      <c r="E42" s="48">
        <f>Financial!E12</f>
        <v>0.42</v>
      </c>
      <c r="F42" s="48">
        <f>Financial!F12</f>
        <v>0</v>
      </c>
      <c r="G42" s="48">
        <f>Financial!G12</f>
        <v>0</v>
      </c>
      <c r="H42" s="48"/>
      <c r="I42" s="48"/>
      <c r="J42" s="48"/>
      <c r="K42" s="48"/>
      <c r="L42" s="48"/>
      <c r="M42" s="48"/>
      <c r="N42" s="48"/>
    </row>
    <row r="43" spans="1:14" s="44" customFormat="1" ht="9.75">
      <c r="A43" s="11" t="s">
        <v>6</v>
      </c>
      <c r="B43" s="48"/>
      <c r="C43" s="48">
        <f>Financial!C13</f>
        <v>0</v>
      </c>
      <c r="D43" s="48">
        <f>Financial!D13</f>
        <v>0</v>
      </c>
      <c r="E43" s="48">
        <f>Financial!E13</f>
        <v>0</v>
      </c>
      <c r="F43" s="48">
        <f>Financial!F13</f>
        <v>0</v>
      </c>
      <c r="G43" s="48">
        <f>Financial!G13</f>
        <v>0</v>
      </c>
      <c r="H43" s="48"/>
      <c r="I43" s="48"/>
      <c r="J43" s="48"/>
      <c r="K43" s="48"/>
      <c r="L43" s="48"/>
      <c r="M43" s="48"/>
      <c r="N43" s="48"/>
    </row>
    <row r="44" spans="1:14" s="44" customFormat="1" ht="9.75">
      <c r="A44" s="11" t="s">
        <v>7</v>
      </c>
      <c r="B44" s="48"/>
      <c r="C44" s="48">
        <f>Financial!C14</f>
        <v>1.19</v>
      </c>
      <c r="D44" s="48">
        <f>Financial!D14</f>
        <v>1.79</v>
      </c>
      <c r="E44" s="48">
        <f>Financial!E14</f>
        <v>3.58</v>
      </c>
      <c r="F44" s="48">
        <f>Financial!F14</f>
        <v>3.58</v>
      </c>
      <c r="G44" s="48">
        <f>Financial!G14</f>
        <v>1.79</v>
      </c>
      <c r="H44" s="48"/>
      <c r="I44" s="48"/>
      <c r="J44" s="48"/>
      <c r="K44" s="48"/>
      <c r="L44" s="48"/>
      <c r="M44" s="48"/>
      <c r="N44" s="48"/>
    </row>
    <row r="45" spans="1:14" s="44" customFormat="1" ht="9.75">
      <c r="A45" s="11" t="s">
        <v>8</v>
      </c>
      <c r="B45" s="48"/>
      <c r="C45" s="48">
        <f>Financial!C15</f>
        <v>0</v>
      </c>
      <c r="D45" s="48">
        <f>Financial!D15</f>
        <v>0</v>
      </c>
      <c r="E45" s="48">
        <f>Financial!E15</f>
        <v>0</v>
      </c>
      <c r="F45" s="48">
        <f>Financial!F15</f>
        <v>0</v>
      </c>
      <c r="G45" s="48">
        <f>Financial!G15</f>
        <v>0</v>
      </c>
      <c r="H45" s="48"/>
      <c r="I45" s="48"/>
      <c r="J45" s="48"/>
      <c r="K45" s="48"/>
      <c r="L45" s="48"/>
      <c r="M45" s="48"/>
      <c r="N45" s="48"/>
    </row>
    <row r="46" spans="1:14" s="44" customFormat="1" ht="9.75">
      <c r="A46" s="11" t="s">
        <v>9</v>
      </c>
      <c r="B46" s="48"/>
      <c r="C46" s="48">
        <f>Financial!C16</f>
        <v>1.63</v>
      </c>
      <c r="D46" s="48">
        <f>Financial!D16</f>
        <v>0</v>
      </c>
      <c r="E46" s="48">
        <f>Financial!E16</f>
        <v>0</v>
      </c>
      <c r="F46" s="48">
        <f>Financial!F16</f>
        <v>0</v>
      </c>
      <c r="G46" s="48">
        <f>Financial!G16</f>
        <v>0</v>
      </c>
      <c r="H46" s="48"/>
      <c r="I46" s="48"/>
      <c r="J46" s="48"/>
      <c r="K46" s="48"/>
      <c r="L46" s="48"/>
      <c r="M46" s="48"/>
      <c r="N46" s="48"/>
    </row>
    <row r="47" spans="1:14" s="44" customFormat="1" ht="9.75">
      <c r="A47" s="11" t="s">
        <v>24</v>
      </c>
      <c r="B47" s="48"/>
      <c r="C47" s="48">
        <f>SUM(C40:C46)</f>
        <v>6.1499999999999995</v>
      </c>
      <c r="D47" s="48">
        <f>SUM(D40:D46)</f>
        <v>7.609999999999999</v>
      </c>
      <c r="E47" s="48">
        <f>SUM(E40:E46)</f>
        <v>6.92</v>
      </c>
      <c r="F47" s="48">
        <f>SUM(F40:F46)</f>
        <v>6.5</v>
      </c>
      <c r="G47" s="48">
        <f>SUM(G40:G46)</f>
        <v>4.71</v>
      </c>
      <c r="H47" s="48"/>
      <c r="I47" s="48"/>
      <c r="J47" s="48"/>
      <c r="K47" s="48"/>
      <c r="L47" s="48"/>
      <c r="M47" s="48"/>
      <c r="N47" s="48"/>
    </row>
    <row r="48" spans="1:14" s="44" customFormat="1" ht="9.75">
      <c r="A48" s="2" t="s">
        <v>194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s="44" customFormat="1" ht="9.75">
      <c r="A49" s="11" t="s">
        <v>3</v>
      </c>
      <c r="B49" s="48"/>
      <c r="C49" s="48">
        <f>Financial!C19</f>
        <v>0</v>
      </c>
      <c r="D49" s="48">
        <f>Financial!D19</f>
        <v>753.88</v>
      </c>
      <c r="E49" s="48">
        <f>Financial!E19</f>
        <v>2261.64</v>
      </c>
      <c r="F49" s="48">
        <f>Financial!F19</f>
        <v>2261.64</v>
      </c>
      <c r="G49" s="48">
        <f>Financial!G19</f>
        <v>2261.64</v>
      </c>
      <c r="H49" s="48"/>
      <c r="I49" s="48"/>
      <c r="J49" s="48"/>
      <c r="K49" s="48"/>
      <c r="L49" s="48"/>
      <c r="M49" s="48"/>
      <c r="N49" s="48"/>
    </row>
    <row r="50" spans="1:14" s="44" customFormat="1" ht="9.75">
      <c r="A50" s="11" t="s">
        <v>4</v>
      </c>
      <c r="B50" s="48"/>
      <c r="C50" s="48">
        <f>Financial!C20</f>
        <v>798.89</v>
      </c>
      <c r="D50" s="48">
        <f>Financial!D20</f>
        <v>1198.34</v>
      </c>
      <c r="E50" s="48">
        <f>Financial!E20</f>
        <v>0</v>
      </c>
      <c r="F50" s="48">
        <f>Financial!F20</f>
        <v>0</v>
      </c>
      <c r="G50" s="48">
        <f>Financial!G20</f>
        <v>0</v>
      </c>
      <c r="H50" s="48"/>
      <c r="I50" s="48"/>
      <c r="J50" s="48"/>
      <c r="K50" s="48"/>
      <c r="L50" s="48"/>
      <c r="M50" s="48"/>
      <c r="N50" s="48"/>
    </row>
    <row r="51" spans="1:14" s="44" customFormat="1" ht="9.75">
      <c r="A51" s="11" t="s">
        <v>5</v>
      </c>
      <c r="B51" s="48"/>
      <c r="C51" s="48">
        <f>Financial!C21</f>
        <v>94.73</v>
      </c>
      <c r="D51" s="48">
        <f>Financial!D21</f>
        <v>94.73</v>
      </c>
      <c r="E51" s="48">
        <f>Financial!E21</f>
        <v>126.3</v>
      </c>
      <c r="F51" s="48">
        <f>Financial!F21</f>
        <v>0</v>
      </c>
      <c r="G51" s="48">
        <f>Financial!G21</f>
        <v>0</v>
      </c>
      <c r="H51" s="48"/>
      <c r="I51" s="48"/>
      <c r="J51" s="48"/>
      <c r="K51" s="48"/>
      <c r="L51" s="48"/>
      <c r="M51" s="48"/>
      <c r="N51" s="48"/>
    </row>
    <row r="52" spans="1:14" s="44" customFormat="1" ht="9.75">
      <c r="A52" s="11" t="s">
        <v>6</v>
      </c>
      <c r="B52" s="48"/>
      <c r="C52" s="48">
        <f>Financial!C22</f>
        <v>7.43</v>
      </c>
      <c r="D52" s="48">
        <f>Financial!D22</f>
        <v>0</v>
      </c>
      <c r="E52" s="48">
        <f>Financial!E22</f>
        <v>0</v>
      </c>
      <c r="F52" s="48">
        <f>Financial!F22</f>
        <v>0</v>
      </c>
      <c r="G52" s="48">
        <f>Financial!G22</f>
        <v>0</v>
      </c>
      <c r="H52" s="48"/>
      <c r="I52" s="48"/>
      <c r="J52" s="48"/>
      <c r="K52" s="48"/>
      <c r="L52" s="48"/>
      <c r="M52" s="48"/>
      <c r="N52" s="48"/>
    </row>
    <row r="53" spans="1:14" s="44" customFormat="1" ht="9.75">
      <c r="A53" s="11" t="s">
        <v>7</v>
      </c>
      <c r="B53" s="48"/>
      <c r="C53" s="48">
        <f>Financial!C23</f>
        <v>11.64</v>
      </c>
      <c r="D53" s="48">
        <f>Financial!D23</f>
        <v>17.47</v>
      </c>
      <c r="E53" s="48">
        <f>Financial!E23</f>
        <v>34.93</v>
      </c>
      <c r="F53" s="48">
        <f>Financial!F23</f>
        <v>34.93</v>
      </c>
      <c r="G53" s="48">
        <f>Financial!G23</f>
        <v>17.47</v>
      </c>
      <c r="H53" s="48"/>
      <c r="I53" s="48"/>
      <c r="J53" s="48"/>
      <c r="K53" s="48"/>
      <c r="L53" s="48"/>
      <c r="M53" s="48"/>
      <c r="N53" s="48"/>
    </row>
    <row r="54" spans="1:14" s="44" customFormat="1" ht="9.75">
      <c r="A54" s="11" t="s">
        <v>8</v>
      </c>
      <c r="B54" s="48"/>
      <c r="C54" s="48">
        <f>Financial!C24</f>
        <v>32.68</v>
      </c>
      <c r="D54" s="48">
        <f>Financial!D24</f>
        <v>32.68</v>
      </c>
      <c r="E54" s="48">
        <f>Financial!E24</f>
        <v>32.68</v>
      </c>
      <c r="F54" s="48">
        <f>Financial!F24</f>
        <v>32.68</v>
      </c>
      <c r="G54" s="48">
        <f>Financial!G24</f>
        <v>32.68</v>
      </c>
      <c r="H54" s="48"/>
      <c r="I54" s="48"/>
      <c r="J54" s="48"/>
      <c r="K54" s="48"/>
      <c r="L54" s="48"/>
      <c r="M54" s="48"/>
      <c r="N54" s="48"/>
    </row>
    <row r="55" spans="1:14" s="44" customFormat="1" ht="9.75">
      <c r="A55" s="11" t="s">
        <v>9</v>
      </c>
      <c r="B55" s="48"/>
      <c r="C55" s="48">
        <f>Financial!C25</f>
        <v>0</v>
      </c>
      <c r="D55" s="48">
        <f>Financial!D25</f>
        <v>0</v>
      </c>
      <c r="E55" s="48">
        <f>Financial!E25</f>
        <v>0</v>
      </c>
      <c r="F55" s="48">
        <f>Financial!F25</f>
        <v>0</v>
      </c>
      <c r="G55" s="48">
        <f>Financial!G25</f>
        <v>0</v>
      </c>
      <c r="H55" s="48"/>
      <c r="I55" s="48"/>
      <c r="J55" s="48"/>
      <c r="K55" s="48"/>
      <c r="L55" s="48"/>
      <c r="M55" s="48"/>
      <c r="N55" s="48"/>
    </row>
    <row r="56" spans="1:14" s="44" customFormat="1" ht="9.75">
      <c r="A56" s="11" t="s">
        <v>24</v>
      </c>
      <c r="B56" s="48"/>
      <c r="C56" s="48">
        <f>SUM(C49:C55)</f>
        <v>945.3699999999999</v>
      </c>
      <c r="D56" s="48">
        <f>SUM(D49:D55)</f>
        <v>2097.0999999999995</v>
      </c>
      <c r="E56" s="48">
        <f>SUM(E49:E55)</f>
        <v>2455.5499999999997</v>
      </c>
      <c r="F56" s="48">
        <f>SUM(F49:F55)</f>
        <v>2329.2499999999995</v>
      </c>
      <c r="G56" s="48">
        <f>SUM(G49:G55)</f>
        <v>2311.7899999999995</v>
      </c>
      <c r="H56" s="48"/>
      <c r="I56" s="48"/>
      <c r="J56" s="48"/>
      <c r="K56" s="48"/>
      <c r="L56" s="48"/>
      <c r="M56" s="48"/>
      <c r="N56" s="48"/>
    </row>
    <row r="57" spans="1:14" s="44" customFormat="1" ht="9.75">
      <c r="A57" s="67" t="s">
        <v>187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s="44" customFormat="1" ht="9.75">
      <c r="A58" s="45" t="s">
        <v>160</v>
      </c>
      <c r="B58" s="45"/>
      <c r="C58" s="48">
        <f>Financial!C19*Economic!$B$6</f>
        <v>0</v>
      </c>
      <c r="D58" s="48">
        <f>Financial!D19*Economic!$B$6</f>
        <v>113.082</v>
      </c>
      <c r="E58" s="48">
        <f>Financial!E19*Economic!$B$6</f>
        <v>339.246</v>
      </c>
      <c r="F58" s="48">
        <f>Financial!F19*Economic!$B$6</f>
        <v>339.246</v>
      </c>
      <c r="G58" s="48">
        <f>Financial!G19*Economic!$B$6</f>
        <v>339.246</v>
      </c>
      <c r="H58" s="48"/>
      <c r="I58" s="48"/>
      <c r="J58" s="48"/>
      <c r="K58" s="48"/>
      <c r="L58" s="48"/>
      <c r="M58" s="48"/>
      <c r="N58" s="48"/>
    </row>
    <row r="59" spans="1:14" s="44" customFormat="1" ht="9.75">
      <c r="A59" s="45" t="s">
        <v>161</v>
      </c>
      <c r="B59" s="45"/>
      <c r="C59" s="48">
        <f>C58*$B$5</f>
        <v>0</v>
      </c>
      <c r="D59" s="48">
        <f>D58*$B$5</f>
        <v>62.195100000000004</v>
      </c>
      <c r="E59" s="48">
        <f>E58*$B$5</f>
        <v>186.58530000000002</v>
      </c>
      <c r="F59" s="48">
        <f>F58*$B$5</f>
        <v>186.58530000000002</v>
      </c>
      <c r="G59" s="48">
        <f>G58*$B$5</f>
        <v>186.58530000000002</v>
      </c>
      <c r="H59" s="48"/>
      <c r="I59" s="48"/>
      <c r="J59" s="48"/>
      <c r="K59" s="48"/>
      <c r="L59" s="48"/>
      <c r="M59" s="48"/>
      <c r="N59" s="48"/>
    </row>
    <row r="60" spans="1:14" s="44" customFormat="1" ht="9.75">
      <c r="A60" s="45" t="s">
        <v>159</v>
      </c>
      <c r="B60" s="45"/>
      <c r="C60" s="48">
        <f>C59-C58</f>
        <v>0</v>
      </c>
      <c r="D60" s="48">
        <f>D59-D58</f>
        <v>-50.88689999999999</v>
      </c>
      <c r="E60" s="48">
        <f>E59-E58</f>
        <v>-152.66069999999996</v>
      </c>
      <c r="F60" s="48">
        <f>F59-F58</f>
        <v>-152.66069999999996</v>
      </c>
      <c r="G60" s="48">
        <f>G59-G58</f>
        <v>-152.66069999999996</v>
      </c>
      <c r="H60" s="48"/>
      <c r="I60" s="48"/>
      <c r="J60" s="48"/>
      <c r="K60" s="48"/>
      <c r="L60" s="48"/>
      <c r="M60" s="48"/>
      <c r="N60" s="48"/>
    </row>
    <row r="61" spans="1:14" s="44" customFormat="1" ht="9.75">
      <c r="A61" s="6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1:14" s="44" customFormat="1" ht="9.75">
      <c r="A62" s="69" t="s">
        <v>188</v>
      </c>
      <c r="B62" s="48"/>
      <c r="C62" s="48">
        <f>C49</f>
        <v>0</v>
      </c>
      <c r="D62" s="48">
        <f>D49</f>
        <v>753.88</v>
      </c>
      <c r="E62" s="48">
        <f>E49</f>
        <v>2261.64</v>
      </c>
      <c r="F62" s="48">
        <f>F49</f>
        <v>2261.64</v>
      </c>
      <c r="G62" s="48">
        <f>G49</f>
        <v>2261.64</v>
      </c>
      <c r="H62" s="48"/>
      <c r="I62" s="48"/>
      <c r="J62" s="48"/>
      <c r="K62" s="48"/>
      <c r="L62" s="48"/>
      <c r="M62" s="48"/>
      <c r="N62" s="48"/>
    </row>
    <row r="63" spans="1:14" s="44" customFormat="1" ht="9.75">
      <c r="A63" s="38" t="s">
        <v>189</v>
      </c>
      <c r="B63" s="48"/>
      <c r="C63" s="48">
        <f>C62*$B$6</f>
        <v>0</v>
      </c>
      <c r="D63" s="48">
        <f>D62*$B$6</f>
        <v>113.082</v>
      </c>
      <c r="E63" s="48">
        <f>E62*$B$6</f>
        <v>339.246</v>
      </c>
      <c r="F63" s="48">
        <f>F62*$B$6</f>
        <v>339.246</v>
      </c>
      <c r="G63" s="48">
        <f>G62*$B$6</f>
        <v>339.246</v>
      </c>
      <c r="H63" s="48"/>
      <c r="I63" s="48"/>
      <c r="J63" s="48"/>
      <c r="K63" s="48"/>
      <c r="L63" s="48"/>
      <c r="M63" s="48"/>
      <c r="N63" s="48"/>
    </row>
    <row r="64" spans="1:14" s="44" customFormat="1" ht="9.75">
      <c r="A64" s="38" t="s">
        <v>190</v>
      </c>
      <c r="B64" s="48"/>
      <c r="C64" s="48">
        <f>C63*$B$5</f>
        <v>0</v>
      </c>
      <c r="D64" s="48">
        <f>D63*$B$5</f>
        <v>62.195100000000004</v>
      </c>
      <c r="E64" s="48">
        <f>E63*$B$5</f>
        <v>186.58530000000002</v>
      </c>
      <c r="F64" s="48">
        <f>F63*$B$5</f>
        <v>186.58530000000002</v>
      </c>
      <c r="G64" s="48">
        <f>G63*$B$5</f>
        <v>186.58530000000002</v>
      </c>
      <c r="H64" s="48"/>
      <c r="I64" s="48"/>
      <c r="J64" s="48"/>
      <c r="K64" s="48"/>
      <c r="L64" s="48"/>
      <c r="M64" s="48"/>
      <c r="N64" s="48"/>
    </row>
    <row r="65" spans="1:14" s="44" customFormat="1" ht="9.75">
      <c r="A65" s="69" t="s">
        <v>191</v>
      </c>
      <c r="B65" s="48"/>
      <c r="C65" s="48">
        <f>C62-C63+C64</f>
        <v>0</v>
      </c>
      <c r="D65" s="48">
        <f>D62-D63+D64</f>
        <v>702.9931</v>
      </c>
      <c r="E65" s="48">
        <f>E62-E63+E64</f>
        <v>2108.9793</v>
      </c>
      <c r="F65" s="48">
        <f>F62-F63+F64</f>
        <v>2108.9793</v>
      </c>
      <c r="G65" s="48">
        <f>G62-G63+G64</f>
        <v>2108.9793</v>
      </c>
      <c r="H65" s="48"/>
      <c r="I65" s="48"/>
      <c r="J65" s="48"/>
      <c r="K65" s="48"/>
      <c r="L65" s="48"/>
      <c r="M65" s="48"/>
      <c r="N65" s="48"/>
    </row>
    <row r="66" spans="1:14" s="44" customFormat="1" ht="9.75">
      <c r="A66" s="68" t="s">
        <v>192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1:14" s="44" customFormat="1" ht="9.75">
      <c r="A67" s="2" t="s">
        <v>193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1:14" s="44" customFormat="1" ht="9.75">
      <c r="A68" s="11" t="s">
        <v>3</v>
      </c>
      <c r="B68" s="48"/>
      <c r="C68" s="48">
        <f>C40*Financial!$B$7*Economic!$B$4/1000</f>
        <v>0</v>
      </c>
      <c r="D68" s="48">
        <f>D40*Financial!$B$7*Economic!$B$4/1000</f>
        <v>17.072</v>
      </c>
      <c r="E68" s="48">
        <f>E40*Financial!$B$7*Economic!$B$4/1000</f>
        <v>51.39200000000001</v>
      </c>
      <c r="F68" s="48">
        <f>F40*Financial!$B$7*Economic!$B$4/1000</f>
        <v>51.39200000000001</v>
      </c>
      <c r="G68" s="48">
        <f>G40*Financial!$B$7*Economic!$B$4/1000</f>
        <v>51.39200000000001</v>
      </c>
      <c r="H68" s="48"/>
      <c r="I68" s="48"/>
      <c r="J68" s="48"/>
      <c r="K68" s="48"/>
      <c r="L68" s="48"/>
      <c r="M68" s="48"/>
      <c r="N68" s="48"/>
    </row>
    <row r="69" spans="1:14" s="44" customFormat="1" ht="9.75">
      <c r="A69" s="11" t="s">
        <v>4</v>
      </c>
      <c r="B69" s="48"/>
      <c r="C69" s="48">
        <f>C41*Financial!$B$7*Economic!$B$4/1000</f>
        <v>53.15200000000001</v>
      </c>
      <c r="D69" s="48">
        <f>D41*Financial!$B$7*Economic!$B$4/1000</f>
        <v>79.904</v>
      </c>
      <c r="E69" s="48">
        <f>E41*Financial!$B$7*Economic!$B$4/1000</f>
        <v>0</v>
      </c>
      <c r="F69" s="48">
        <f>F41*Financial!$B$7*Economic!$B$4/1000</f>
        <v>0</v>
      </c>
      <c r="G69" s="48">
        <f>G41*Financial!$B$7*Economic!$B$4/1000</f>
        <v>0</v>
      </c>
      <c r="H69" s="48"/>
      <c r="I69" s="48"/>
      <c r="J69" s="48"/>
      <c r="K69" s="48"/>
      <c r="L69" s="48"/>
      <c r="M69" s="48"/>
      <c r="N69" s="48"/>
    </row>
    <row r="70" spans="1:14" s="44" customFormat="1" ht="9.75">
      <c r="A70" s="11" t="s">
        <v>5</v>
      </c>
      <c r="B70" s="48"/>
      <c r="C70" s="48">
        <f>C42*Financial!$B$7*Economic!$B$4/1000</f>
        <v>5.456</v>
      </c>
      <c r="D70" s="48">
        <f>D42*Financial!$B$7*Economic!$B$4/1000</f>
        <v>5.456</v>
      </c>
      <c r="E70" s="48">
        <f>E42*Financial!$B$7*Economic!$B$4/1000</f>
        <v>7.392000000000001</v>
      </c>
      <c r="F70" s="48">
        <f>F42*Financial!$B$7*Economic!$B$4/1000</f>
        <v>0</v>
      </c>
      <c r="G70" s="48">
        <f>G42*Financial!$B$7*Economic!$B$4/1000</f>
        <v>0</v>
      </c>
      <c r="H70" s="48"/>
      <c r="I70" s="48"/>
      <c r="J70" s="48"/>
      <c r="K70" s="48"/>
      <c r="L70" s="48"/>
      <c r="M70" s="48"/>
      <c r="N70" s="48"/>
    </row>
    <row r="71" spans="1:14" s="44" customFormat="1" ht="9.75">
      <c r="A71" s="11" t="s">
        <v>6</v>
      </c>
      <c r="B71" s="48"/>
      <c r="C71" s="48">
        <f>C43*Financial!$B$7*Economic!$B$4/1000</f>
        <v>0</v>
      </c>
      <c r="D71" s="48">
        <f>D43*Financial!$B$7*Economic!$B$4/1000</f>
        <v>0</v>
      </c>
      <c r="E71" s="48">
        <f>E43*Financial!$B$7*Economic!$B$4/1000</f>
        <v>0</v>
      </c>
      <c r="F71" s="48">
        <f>F43*Financial!$B$7*Economic!$B$4/1000</f>
        <v>0</v>
      </c>
      <c r="G71" s="48">
        <f>G43*Financial!$B$7*Economic!$B$4/1000</f>
        <v>0</v>
      </c>
      <c r="H71" s="48"/>
      <c r="I71" s="48"/>
      <c r="J71" s="48"/>
      <c r="K71" s="48"/>
      <c r="L71" s="48"/>
      <c r="M71" s="48"/>
      <c r="N71" s="48"/>
    </row>
    <row r="72" spans="1:14" s="44" customFormat="1" ht="9.75">
      <c r="A72" s="11" t="s">
        <v>7</v>
      </c>
      <c r="B72" s="48"/>
      <c r="C72" s="48">
        <f>C44*Financial!$B$7*Economic!$B$4/1000</f>
        <v>20.944</v>
      </c>
      <c r="D72" s="48">
        <f>D44*Financial!$B$7*Economic!$B$4/1000</f>
        <v>31.504000000000005</v>
      </c>
      <c r="E72" s="48">
        <f>E44*Financial!$B$7*Economic!$B$4/1000</f>
        <v>63.00800000000001</v>
      </c>
      <c r="F72" s="48">
        <f>F44*Financial!$B$7*Economic!$B$4/1000</f>
        <v>63.00800000000001</v>
      </c>
      <c r="G72" s="48">
        <f>G44*Financial!$B$7*Economic!$B$4/1000</f>
        <v>31.504000000000005</v>
      </c>
      <c r="H72" s="48"/>
      <c r="I72" s="48"/>
      <c r="J72" s="48"/>
      <c r="K72" s="48"/>
      <c r="L72" s="48"/>
      <c r="M72" s="48"/>
      <c r="N72" s="48"/>
    </row>
    <row r="73" spans="1:14" s="44" customFormat="1" ht="9.75">
      <c r="A73" s="11" t="s">
        <v>8</v>
      </c>
      <c r="B73" s="48"/>
      <c r="C73" s="48">
        <f>C45*Financial!$B$7*Economic!$B$4/1000</f>
        <v>0</v>
      </c>
      <c r="D73" s="48">
        <f>D45*Financial!$B$7*Economic!$B$4/1000</f>
        <v>0</v>
      </c>
      <c r="E73" s="48">
        <f>E45*Financial!$B$7*Economic!$B$4/1000</f>
        <v>0</v>
      </c>
      <c r="F73" s="48">
        <f>F45*Financial!$B$7*Economic!$B$4/1000</f>
        <v>0</v>
      </c>
      <c r="G73" s="48">
        <f>G45*Financial!$B$7*Economic!$B$4/1000</f>
        <v>0</v>
      </c>
      <c r="H73" s="48"/>
      <c r="I73" s="48"/>
      <c r="J73" s="48"/>
      <c r="K73" s="48"/>
      <c r="L73" s="48"/>
      <c r="M73" s="48"/>
      <c r="N73" s="48"/>
    </row>
    <row r="74" spans="1:14" s="44" customFormat="1" ht="9.75">
      <c r="A74" s="11" t="s">
        <v>9</v>
      </c>
      <c r="B74" s="48"/>
      <c r="C74" s="48">
        <f>C46*Financial!$B$7*Economic!$B$4/1000</f>
        <v>28.688000000000002</v>
      </c>
      <c r="D74" s="48">
        <f>D46*Financial!$B$7*Economic!$B$4/1000</f>
        <v>0</v>
      </c>
      <c r="E74" s="48">
        <f>E46*Financial!$B$7*Economic!$B$4/1000</f>
        <v>0</v>
      </c>
      <c r="F74" s="48">
        <f>F46*Financial!$B$7*Economic!$B$4/1000</f>
        <v>0</v>
      </c>
      <c r="G74" s="48">
        <f>G46*Financial!$B$7*Economic!$B$4/1000</f>
        <v>0</v>
      </c>
      <c r="H74" s="48"/>
      <c r="I74" s="48"/>
      <c r="J74" s="48"/>
      <c r="K74" s="48"/>
      <c r="L74" s="48"/>
      <c r="M74" s="48"/>
      <c r="N74" s="48"/>
    </row>
    <row r="75" spans="1:14" s="44" customFormat="1" ht="9.75">
      <c r="A75" s="11" t="s">
        <v>24</v>
      </c>
      <c r="B75" s="48"/>
      <c r="C75" s="48">
        <f>SUM(C68:C74)</f>
        <v>108.24000000000001</v>
      </c>
      <c r="D75" s="48">
        <f>SUM(D68:D74)</f>
        <v>133.936</v>
      </c>
      <c r="E75" s="48">
        <f>SUM(E68:E74)</f>
        <v>121.79200000000003</v>
      </c>
      <c r="F75" s="48">
        <f>SUM(F68:F74)</f>
        <v>114.40000000000002</v>
      </c>
      <c r="G75" s="48">
        <f>SUM(G68:G74)</f>
        <v>82.89600000000002</v>
      </c>
      <c r="H75" s="48"/>
      <c r="I75" s="48"/>
      <c r="J75" s="48"/>
      <c r="K75" s="48"/>
      <c r="L75" s="48"/>
      <c r="M75" s="48"/>
      <c r="N75" s="48"/>
    </row>
    <row r="76" spans="1:14" s="44" customFormat="1" ht="9.75">
      <c r="A76" s="2" t="s">
        <v>196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</row>
    <row r="77" spans="1:14" s="44" customFormat="1" ht="9.75">
      <c r="A77" s="11" t="s">
        <v>3</v>
      </c>
      <c r="B77" s="48"/>
      <c r="C77" s="48">
        <f>C65</f>
        <v>0</v>
      </c>
      <c r="D77" s="48">
        <f>D65</f>
        <v>702.9931</v>
      </c>
      <c r="E77" s="48">
        <f>E65</f>
        <v>2108.9793</v>
      </c>
      <c r="F77" s="48">
        <f>F65</f>
        <v>2108.9793</v>
      </c>
      <c r="G77" s="48">
        <f>G65</f>
        <v>2108.9793</v>
      </c>
      <c r="H77" s="48"/>
      <c r="I77" s="48"/>
      <c r="J77" s="48"/>
      <c r="K77" s="48"/>
      <c r="L77" s="48"/>
      <c r="M77" s="48"/>
      <c r="N77" s="48"/>
    </row>
    <row r="78" spans="1:14" s="44" customFormat="1" ht="9.75">
      <c r="A78" s="11" t="s">
        <v>4</v>
      </c>
      <c r="B78" s="48"/>
      <c r="C78" s="48">
        <f aca="true" t="shared" si="1" ref="C78:G81">C50</f>
        <v>798.89</v>
      </c>
      <c r="D78" s="48">
        <f t="shared" si="1"/>
        <v>1198.34</v>
      </c>
      <c r="E78" s="48">
        <f t="shared" si="1"/>
        <v>0</v>
      </c>
      <c r="F78" s="48">
        <f t="shared" si="1"/>
        <v>0</v>
      </c>
      <c r="G78" s="48">
        <f t="shared" si="1"/>
        <v>0</v>
      </c>
      <c r="H78" s="48"/>
      <c r="I78" s="48"/>
      <c r="J78" s="48"/>
      <c r="K78" s="48"/>
      <c r="L78" s="48"/>
      <c r="M78" s="48"/>
      <c r="N78" s="48"/>
    </row>
    <row r="79" spans="1:14" s="44" customFormat="1" ht="9.75">
      <c r="A79" s="11" t="s">
        <v>5</v>
      </c>
      <c r="B79" s="48"/>
      <c r="C79" s="48">
        <f t="shared" si="1"/>
        <v>94.73</v>
      </c>
      <c r="D79" s="48">
        <f t="shared" si="1"/>
        <v>94.73</v>
      </c>
      <c r="E79" s="48">
        <f t="shared" si="1"/>
        <v>126.3</v>
      </c>
      <c r="F79" s="48">
        <f t="shared" si="1"/>
        <v>0</v>
      </c>
      <c r="G79" s="48">
        <f t="shared" si="1"/>
        <v>0</v>
      </c>
      <c r="H79" s="48"/>
      <c r="I79" s="48"/>
      <c r="J79" s="48"/>
      <c r="K79" s="48"/>
      <c r="L79" s="48"/>
      <c r="M79" s="48"/>
      <c r="N79" s="48"/>
    </row>
    <row r="80" spans="1:14" s="44" customFormat="1" ht="9.75">
      <c r="A80" s="11" t="s">
        <v>6</v>
      </c>
      <c r="B80" s="48"/>
      <c r="C80" s="48">
        <f t="shared" si="1"/>
        <v>7.43</v>
      </c>
      <c r="D80" s="48">
        <f t="shared" si="1"/>
        <v>0</v>
      </c>
      <c r="E80" s="48">
        <f t="shared" si="1"/>
        <v>0</v>
      </c>
      <c r="F80" s="48">
        <f t="shared" si="1"/>
        <v>0</v>
      </c>
      <c r="G80" s="48">
        <f t="shared" si="1"/>
        <v>0</v>
      </c>
      <c r="H80" s="48"/>
      <c r="I80" s="48"/>
      <c r="J80" s="48"/>
      <c r="K80" s="48"/>
      <c r="L80" s="48"/>
      <c r="M80" s="48"/>
      <c r="N80" s="48"/>
    </row>
    <row r="81" spans="1:14" s="44" customFormat="1" ht="9.75">
      <c r="A81" s="11" t="s">
        <v>7</v>
      </c>
      <c r="B81" s="48"/>
      <c r="C81" s="48">
        <f t="shared" si="1"/>
        <v>11.64</v>
      </c>
      <c r="D81" s="48">
        <f t="shared" si="1"/>
        <v>17.47</v>
      </c>
      <c r="E81" s="48">
        <f t="shared" si="1"/>
        <v>34.93</v>
      </c>
      <c r="F81" s="48">
        <f t="shared" si="1"/>
        <v>34.93</v>
      </c>
      <c r="G81" s="48">
        <f t="shared" si="1"/>
        <v>17.47</v>
      </c>
      <c r="H81" s="48"/>
      <c r="I81" s="48"/>
      <c r="J81" s="48"/>
      <c r="K81" s="48"/>
      <c r="L81" s="48"/>
      <c r="M81" s="48"/>
      <c r="N81" s="48"/>
    </row>
    <row r="82" spans="1:14" s="44" customFormat="1" ht="9.75">
      <c r="A82" s="11" t="s">
        <v>8</v>
      </c>
      <c r="B82" s="48"/>
      <c r="C82" s="48">
        <f aca="true" t="shared" si="2" ref="C82:G83">C54</f>
        <v>32.68</v>
      </c>
      <c r="D82" s="48">
        <f t="shared" si="2"/>
        <v>32.68</v>
      </c>
      <c r="E82" s="48">
        <f t="shared" si="2"/>
        <v>32.68</v>
      </c>
      <c r="F82" s="48">
        <f t="shared" si="2"/>
        <v>32.68</v>
      </c>
      <c r="G82" s="48">
        <f t="shared" si="2"/>
        <v>32.68</v>
      </c>
      <c r="H82" s="48"/>
      <c r="I82" s="48"/>
      <c r="J82" s="48"/>
      <c r="K82" s="48"/>
      <c r="L82" s="48"/>
      <c r="M82" s="48"/>
      <c r="N82" s="48"/>
    </row>
    <row r="83" spans="1:14" s="44" customFormat="1" ht="9.75">
      <c r="A83" s="11" t="s">
        <v>9</v>
      </c>
      <c r="B83" s="48"/>
      <c r="C83" s="48">
        <f t="shared" si="2"/>
        <v>0</v>
      </c>
      <c r="D83" s="48">
        <f t="shared" si="2"/>
        <v>0</v>
      </c>
      <c r="E83" s="48">
        <f t="shared" si="2"/>
        <v>0</v>
      </c>
      <c r="F83" s="48">
        <f t="shared" si="2"/>
        <v>0</v>
      </c>
      <c r="G83" s="48">
        <f t="shared" si="2"/>
        <v>0</v>
      </c>
      <c r="H83" s="48"/>
      <c r="I83" s="48"/>
      <c r="J83" s="48"/>
      <c r="K83" s="48"/>
      <c r="L83" s="48"/>
      <c r="M83" s="48"/>
      <c r="N83" s="48"/>
    </row>
    <row r="84" spans="1:14" s="44" customFormat="1" ht="9.75">
      <c r="A84" s="11" t="s">
        <v>24</v>
      </c>
      <c r="B84" s="48"/>
      <c r="C84" s="48">
        <f>SUM(C77:C83)</f>
        <v>945.3699999999999</v>
      </c>
      <c r="D84" s="48">
        <f>SUM(D77:D83)</f>
        <v>2046.2131</v>
      </c>
      <c r="E84" s="48">
        <f>SUM(E77:E83)</f>
        <v>2302.8893</v>
      </c>
      <c r="F84" s="48">
        <f>SUM(F77:F83)</f>
        <v>2176.5892999999996</v>
      </c>
      <c r="G84" s="48">
        <f>SUM(G77:G83)</f>
        <v>2159.1292999999996</v>
      </c>
      <c r="H84" s="48"/>
      <c r="I84" s="48"/>
      <c r="J84" s="48"/>
      <c r="K84" s="48"/>
      <c r="L84" s="48"/>
      <c r="M84" s="48"/>
      <c r="N84" s="48"/>
    </row>
    <row r="85" spans="1:14" s="44" customFormat="1" ht="9.75">
      <c r="A85" s="67" t="s">
        <v>197</v>
      </c>
      <c r="B85" s="48"/>
      <c r="C85" s="55">
        <f>C84+C75</f>
        <v>1053.61</v>
      </c>
      <c r="D85" s="55">
        <f>D84+D75</f>
        <v>2180.1491</v>
      </c>
      <c r="E85" s="55">
        <f>E84+E75</f>
        <v>2424.6812999999997</v>
      </c>
      <c r="F85" s="55">
        <f>F84+F75</f>
        <v>2290.9892999999997</v>
      </c>
      <c r="G85" s="55">
        <f>G84+G75</f>
        <v>2242.0253</v>
      </c>
      <c r="H85" s="48"/>
      <c r="I85" s="48"/>
      <c r="J85" s="48"/>
      <c r="K85" s="48"/>
      <c r="L85" s="48"/>
      <c r="M85" s="48"/>
      <c r="N85" s="48"/>
    </row>
    <row r="87" ht="9.75">
      <c r="A87" s="1" t="s">
        <v>162</v>
      </c>
    </row>
    <row r="88" spans="1:37" ht="9.75">
      <c r="A88" s="45" t="s">
        <v>163</v>
      </c>
      <c r="C88" s="54"/>
      <c r="D88" s="54"/>
      <c r="E88" s="54"/>
      <c r="F88" s="54"/>
      <c r="G88" s="54"/>
      <c r="H88" s="54">
        <f>Financial!H235/Financial!H116</f>
        <v>10.467835</v>
      </c>
      <c r="I88" s="54">
        <f>Financial!I235/Financial!I116</f>
        <v>11.340915</v>
      </c>
      <c r="J88" s="54">
        <f>Financial!J235/Financial!J116</f>
        <v>12.286995000000001</v>
      </c>
      <c r="K88" s="54">
        <f>Financial!K235/Financial!K116</f>
        <v>13.348019999999998</v>
      </c>
      <c r="L88" s="54">
        <f>Financial!L235/Financial!L116</f>
        <v>14.421880000000002</v>
      </c>
      <c r="M88" s="54">
        <f>Financial!M235/Financial!M116</f>
        <v>15.624555000000003</v>
      </c>
      <c r="N88" s="54">
        <f>Financial!N235/Financial!N116</f>
        <v>16.927605</v>
      </c>
      <c r="O88" s="54">
        <f>Financial!O235/Financial!O116</f>
        <v>18.390036</v>
      </c>
      <c r="P88" s="54">
        <f>Financial!P235/Financial!P116</f>
        <v>19.527865</v>
      </c>
      <c r="Q88" s="54">
        <f>Financial!Q235/Financial!Q116</f>
        <v>20.79259</v>
      </c>
      <c r="R88" s="54">
        <f>Financial!R235/Financial!R116</f>
        <v>22.13944</v>
      </c>
      <c r="S88" s="54">
        <f>Financial!S235/Financial!S116</f>
        <v>23.638109999999998</v>
      </c>
      <c r="T88" s="54">
        <f>Financial!T235/Financial!T116</f>
        <v>25.100684999999995</v>
      </c>
      <c r="U88" s="54">
        <f>Financial!U235/Financial!U116</f>
        <v>25.657675</v>
      </c>
      <c r="V88" s="54">
        <f>Financial!V235/Financial!V116</f>
        <v>26.246055000000002</v>
      </c>
      <c r="W88" s="54">
        <f>Financial!W235/Financial!W116</f>
        <v>26.94126</v>
      </c>
      <c r="X88" s="54">
        <f>Financial!X235/Financial!X116</f>
        <v>27.523555</v>
      </c>
      <c r="Y88" s="54">
        <f>Financial!Y235/Financial!Y116</f>
        <v>28.21596</v>
      </c>
      <c r="Z88" s="54">
        <f>Financial!Z235/Financial!Z116</f>
        <v>28.215959999999995</v>
      </c>
      <c r="AA88" s="54">
        <f>Financial!AA235/Financial!AA116</f>
        <v>28.293264000000004</v>
      </c>
      <c r="AB88" s="54">
        <f>Financial!AB235/Financial!AB116</f>
        <v>28.21596</v>
      </c>
      <c r="AC88" s="54">
        <f>Financial!AC235/Financial!AC116</f>
        <v>28.21596</v>
      </c>
      <c r="AD88" s="54">
        <f>Financial!AD235/Financial!AD116</f>
        <v>28.215959999999995</v>
      </c>
      <c r="AE88" s="54">
        <f>Financial!AE235/Financial!AE116</f>
        <v>28.293264</v>
      </c>
      <c r="AF88" s="54">
        <f>Financial!AF235/Financial!AF116</f>
        <v>28.21596</v>
      </c>
      <c r="AG88" s="54">
        <f>Financial!AG235/Financial!AG116</f>
        <v>28.21596</v>
      </c>
      <c r="AH88" s="54">
        <f>Financial!AH235/Financial!AH116</f>
        <v>28.215960000000003</v>
      </c>
      <c r="AI88" s="54">
        <f>Financial!AI235/Financial!AI116</f>
        <v>28.293263999999997</v>
      </c>
      <c r="AJ88" s="54">
        <f>Financial!AJ235/Financial!AJ116</f>
        <v>28.215960000000003</v>
      </c>
      <c r="AK88" s="54">
        <f>Financial!AK235/Financial!AK116</f>
        <v>28.215960000000003</v>
      </c>
    </row>
    <row r="89" spans="1:37" ht="9.75">
      <c r="A89" s="53" t="s">
        <v>164</v>
      </c>
      <c r="H89" s="49">
        <f>Financial!$B$102*(1-$B7*(1-$B$5))</f>
        <v>2.4618</v>
      </c>
      <c r="I89" s="49">
        <f>Financial!$B$102*(1-$B7*(1-$B$5))</f>
        <v>2.4618</v>
      </c>
      <c r="J89" s="49">
        <f>Financial!$B$102*(1-$B7*(1-$B$5))</f>
        <v>2.4618</v>
      </c>
      <c r="K89" s="49">
        <f>Financial!$B$102*(1-$B7*(1-$B$5))</f>
        <v>2.4618</v>
      </c>
      <c r="L89" s="49">
        <f>Financial!$B$102*(1-$B7*(1-$B$5))</f>
        <v>2.4618</v>
      </c>
      <c r="M89" s="49">
        <f>Financial!$B$102*(1-$B7*(1-$B$5))</f>
        <v>2.4618</v>
      </c>
      <c r="N89" s="49">
        <f>Financial!$B$102*(1-$B7*(1-$B$5))</f>
        <v>2.4618</v>
      </c>
      <c r="O89" s="49">
        <f>Financial!$B$102*(1-$B7*(1-$B$5))</f>
        <v>2.4618</v>
      </c>
      <c r="P89" s="49">
        <f>Financial!$B$102*(1-$B7*(1-$B$5))</f>
        <v>2.4618</v>
      </c>
      <c r="Q89" s="49">
        <f>Financial!$B$102*(1-$B7*(1-$B$5))</f>
        <v>2.4618</v>
      </c>
      <c r="R89" s="49">
        <f>Financial!$B$102*(1-$B7*(1-$B$5))</f>
        <v>2.4618</v>
      </c>
      <c r="S89" s="49">
        <f>Financial!$B$102*(1-$B7*(1-$B$5))</f>
        <v>2.4618</v>
      </c>
      <c r="T89" s="49">
        <f>Financial!$B$102*(1-$B7*(1-$B$5))</f>
        <v>2.4618</v>
      </c>
      <c r="U89" s="49">
        <f>Financial!$B$102*(1-$B7*(1-$B$5))</f>
        <v>2.4618</v>
      </c>
      <c r="V89" s="49">
        <f>Financial!$B$102*(1-$B7*(1-$B$5))</f>
        <v>2.4618</v>
      </c>
      <c r="W89" s="49">
        <f>Financial!$B$102*(1-$B7*(1-$B$5))</f>
        <v>2.4618</v>
      </c>
      <c r="X89" s="49">
        <f>Financial!$B$102*(1-$B7*(1-$B$5))</f>
        <v>2.4618</v>
      </c>
      <c r="Y89" s="49">
        <f>Financial!$B$102*(1-$B7*(1-$B$5))</f>
        <v>2.4618</v>
      </c>
      <c r="Z89" s="49">
        <f>Financial!$B$102*(1-$B7*(1-$B$5))</f>
        <v>2.4618</v>
      </c>
      <c r="AA89" s="49">
        <f>Financial!$B$102*(1-$B7*(1-$B$5))</f>
        <v>2.4618</v>
      </c>
      <c r="AB89" s="49">
        <f>Financial!$B$102*(1-$B7*(1-$B$5))</f>
        <v>2.4618</v>
      </c>
      <c r="AC89" s="49">
        <f>Financial!$B$102*(1-$B7*(1-$B$5))</f>
        <v>2.4618</v>
      </c>
      <c r="AD89" s="49">
        <f>Financial!$B$102*(1-$B7*(1-$B$5))</f>
        <v>2.4618</v>
      </c>
      <c r="AE89" s="49">
        <f>Financial!$B$102*(1-$B7*(1-$B$5))</f>
        <v>2.4618</v>
      </c>
      <c r="AF89" s="49">
        <f>Financial!$B$102*(1-$B7*(1-$B$5))</f>
        <v>2.4618</v>
      </c>
      <c r="AG89" s="49">
        <f>Financial!$B$102*(1-$B7*(1-$B$5))</f>
        <v>2.4618</v>
      </c>
      <c r="AH89" s="49">
        <f>Financial!$B$102*(1-$B7*(1-$B$5))</f>
        <v>2.4618</v>
      </c>
      <c r="AI89" s="49">
        <f>Financial!$B$102*(1-$B7*(1-$B$5))</f>
        <v>2.4618</v>
      </c>
      <c r="AJ89" s="49">
        <f>Financial!$B$102*(1-$B7*(1-$B$5))</f>
        <v>2.4618</v>
      </c>
      <c r="AK89" s="49">
        <f>Financial!$B$102*(1-$B7*(1-$B$5))</f>
        <v>2.4618</v>
      </c>
    </row>
    <row r="90" spans="1:37" ht="9.75">
      <c r="A90" s="53" t="s">
        <v>165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49">
        <f>Financial!$B$103*(1-$B7*(1-$B$5))</f>
        <v>205.15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49">
        <f>Financial!$B$103*(1-$B7*(1-$B$5))</f>
        <v>205.15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49">
        <f>Financial!$B$103*(1-$B7*(1-$B$5))</f>
        <v>205.15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4">
        <v>0</v>
      </c>
    </row>
    <row r="92" ht="9.75">
      <c r="A92" s="1" t="s">
        <v>166</v>
      </c>
    </row>
    <row r="93" spans="1:37" ht="9.75">
      <c r="A93" s="47" t="s">
        <v>62</v>
      </c>
      <c r="H93" s="48">
        <f>($C10-$B10)*(Financial!H211*Financial!$B$74+Financial!H218*Financial!$B$75)*Financial!H$228*$B$33/10^9</f>
        <v>17.420201787600003</v>
      </c>
      <c r="I93" s="48">
        <f>($C10-$B10)*(Financial!I211*Financial!$B$74+Financial!I218*Financial!$B$75)*Financial!I$228*$B$33/10^9</f>
        <v>18.875984928</v>
      </c>
      <c r="J93" s="48">
        <f>($C10-$B10)*(Financial!J211*Financial!$B$74+Financial!J218*Financial!$B$75)*Financial!J$228*$B$33/10^9</f>
        <v>20.4513897228</v>
      </c>
      <c r="K93" s="48">
        <f>($C10-$B10)*(Financial!K211*Financial!$B$74+Financial!K218*Financial!$B$75)*Financial!K$228*$B$33/10^9</f>
        <v>22.218920521919998</v>
      </c>
      <c r="L93" s="48">
        <f>($C10-$B10)*(Financial!L211*Financial!$B$74+Financial!L218*Financial!$B$75)*Financial!L$228*$B$33/10^9</f>
        <v>24.009078186</v>
      </c>
      <c r="M93" s="48">
        <f>($C10-$B10)*(Financial!M211*Financial!$B$74+Financial!M218*Financial!$B$75)*Financial!M$228*$B$33/10^9</f>
        <v>26.0122130196</v>
      </c>
      <c r="N93" s="48">
        <f>($C10-$B10)*(Financial!N211*Financial!$B$74+Financial!N218*Financial!$B$75)*Financial!N$228*$B$33/10^9</f>
        <v>28.182983418</v>
      </c>
      <c r="O93" s="48">
        <f>($C10-$B10)*(Financial!O211*Financial!$B$74+Financial!O218*Financial!$B$75)*Financial!O$228*$B$33/10^9</f>
        <v>30.619589045760005</v>
      </c>
      <c r="P93" s="48">
        <f>($C10-$B10)*(Financial!P211*Financial!$B$74+Financial!P218*Financial!$B$75)*Financial!P$228*$B$33/10^9</f>
        <v>32.5111092384</v>
      </c>
      <c r="Q93" s="48">
        <f>($C10-$B10)*(Financial!Q211*Financial!$B$74+Financial!Q218*Financial!$B$75)*Financial!Q$228*$B$33/10^9</f>
        <v>34.6157916564</v>
      </c>
      <c r="R93" s="48">
        <f>($C10-$B10)*(Financial!R211*Financial!$B$74+Financial!R218*Financial!$B$75)*Financial!R$228*$B$33/10^9</f>
        <v>36.856287800400004</v>
      </c>
      <c r="S93" s="48">
        <f>($C10-$B10)*(Financial!S211*Financial!$B$74+Financial!S218*Financial!$B$75)*Financial!S$228*$B$33/10^9</f>
        <v>39.34916329392001</v>
      </c>
      <c r="T93" s="48">
        <f>($C10-$B10)*(Financial!T211*Financial!$B$74+Financial!T218*Financial!$B$75)*Financial!T$228*$B$33/10^9</f>
        <v>41.78093826</v>
      </c>
      <c r="U93" s="48">
        <f>($C10-$B10)*(Financial!U211*Financial!$B$74+Financial!U218*Financial!$B$75)*Financial!U$228*$B$33/10^9</f>
        <v>42.66959724840001</v>
      </c>
      <c r="V93" s="48">
        <f>($C10-$B10)*(Financial!V211*Financial!$B$74+Financial!V218*Financial!$B$75)*Financial!V$228*$B$33/10^9</f>
        <v>43.60822099920001</v>
      </c>
      <c r="W93" s="48">
        <f>($C10-$B10)*(Financial!W211*Financial!$B$74+Financial!W218*Financial!$B$75)*Financial!W$228*$B$33/10^9</f>
        <v>44.72257124160001</v>
      </c>
      <c r="X93" s="48">
        <f>($C10-$B10)*(Financial!X211*Financial!$B$74+Financial!X218*Financial!$B$75)*Financial!X$228*$B$33/10^9</f>
        <v>45.646069522800005</v>
      </c>
      <c r="Y93" s="48">
        <f>($C10-$B10)*(Financial!Y211*Financial!$B$74+Financial!Y218*Financial!$B$75)*Financial!Y$228*$B$33/10^9</f>
        <v>46.7524321188</v>
      </c>
      <c r="Z93" s="48">
        <f>($C10-$B10)*(Financial!Z211*Financial!$B$74+Financial!Z218*Financial!$B$75)*Financial!Z$228*$B$33/10^9</f>
        <v>46.7524321188</v>
      </c>
      <c r="AA93" s="48">
        <f>($C10-$B10)*(Financial!AA211*Financial!$B$74+Financial!AA218*Financial!$B$75)*Financial!AA$228*$B$33/10^9</f>
        <v>46.88052097392001</v>
      </c>
      <c r="AB93" s="48">
        <f>($C10-$B10)*(Financial!AB211*Financial!$B$74+Financial!AB218*Financial!$B$75)*Financial!AB$228*$B$33/10^9</f>
        <v>46.7524321188</v>
      </c>
      <c r="AC93" s="48">
        <f>($C10-$B10)*(Financial!AC211*Financial!$B$74+Financial!AC218*Financial!$B$75)*Financial!AC$228*$B$33/10^9</f>
        <v>46.7524321188</v>
      </c>
      <c r="AD93" s="48">
        <f>($C10-$B10)*(Financial!AD211*Financial!$B$74+Financial!AD218*Financial!$B$75)*Financial!AD$228*$B$33/10^9</f>
        <v>46.7524321188</v>
      </c>
      <c r="AE93" s="48">
        <f>($C10-$B10)*(Financial!AE211*Financial!$B$74+Financial!AE218*Financial!$B$75)*Financial!AE$228*$B$33/10^9</f>
        <v>46.88052097392001</v>
      </c>
      <c r="AF93" s="48">
        <f>($C10-$B10)*(Financial!AF211*Financial!$B$74+Financial!AF218*Financial!$B$75)*Financial!AF$228*$B$33/10^9</f>
        <v>46.7524321188</v>
      </c>
      <c r="AG93" s="48">
        <f>($C10-$B10)*(Financial!AG211*Financial!$B$74+Financial!AG218*Financial!$B$75)*Financial!AG$228*$B$33/10^9</f>
        <v>46.7524321188</v>
      </c>
      <c r="AH93" s="48">
        <f>($C10-$B10)*(Financial!AH211*Financial!$B$74+Financial!AH218*Financial!$B$75)*Financial!AH$228*$B$33/10^9</f>
        <v>46.7524321188</v>
      </c>
      <c r="AI93" s="48">
        <f>($C10-$B10)*(Financial!AI211*Financial!$B$74+Financial!AI218*Financial!$B$75)*Financial!AI$228*$B$33/10^9</f>
        <v>46.88052097392001</v>
      </c>
      <c r="AJ93" s="48">
        <f>($C10-$B10)*(Financial!AJ211*Financial!$B$74+Financial!AJ218*Financial!$B$75)*Financial!AJ$228*$B$33/10^9</f>
        <v>46.7524321188</v>
      </c>
      <c r="AK93" s="48">
        <f>($C10-$B10)*(Financial!AK211*Financial!$B$74+Financial!AK218*Financial!$B$75)*Financial!AK$228*$B$33/10^9</f>
        <v>46.7524321188</v>
      </c>
    </row>
    <row r="94" spans="1:37" ht="9.75">
      <c r="A94" s="47" t="s">
        <v>132</v>
      </c>
      <c r="H94" s="48">
        <f>($C11-$B11)*(Financial!H212*Financial!$B$74+Financial!H219*Financial!$B$75)*Financial!H$228*$B$33/10^9</f>
        <v>49.4700155872</v>
      </c>
      <c r="I94" s="48">
        <f>($C11-$B11)*(Financial!I212*Financial!$B$74+Financial!I219*Financial!$B$75)*Financial!I$228*$B$33/10^9</f>
        <v>53.58202993</v>
      </c>
      <c r="J94" s="48">
        <f>($C11-$B11)*(Financial!J212*Financial!$B$74+Financial!J219*Financial!$B$75)*Financial!J$228*$B$33/10^9</f>
        <v>58.0449207</v>
      </c>
      <c r="K94" s="48">
        <f>($C11-$B11)*(Financial!K212*Financial!$B$74+Financial!K219*Financial!$B$75)*Financial!K$228*$B$33/10^9</f>
        <v>63.049189045439995</v>
      </c>
      <c r="L94" s="48">
        <f>($C11-$B11)*(Financial!L212*Financial!$B$74+Financial!L219*Financial!$B$75)*Financial!L$228*$B$33/10^9</f>
        <v>68.10601485480001</v>
      </c>
      <c r="M94" s="48">
        <f>($C11-$B11)*(Financial!M212*Financial!$B$74+Financial!M219*Financial!$B$75)*Financial!M$228*$B$33/10^9</f>
        <v>73.7723283492</v>
      </c>
      <c r="N94" s="48">
        <f>($C11-$B11)*(Financial!N212*Financial!$B$74+Financial!N219*Financial!$B$75)*Financial!N$228*$B$33/10^9</f>
        <v>79.90991903960001</v>
      </c>
      <c r="O94" s="48">
        <f>($C11-$B11)*(Financial!O212*Financial!$B$74+Financial!O219*Financial!$B$75)*Financial!O$228*$B$33/10^9</f>
        <v>86.80216343136</v>
      </c>
      <c r="P94" s="48">
        <f>($C11-$B11)*(Financial!P212*Financial!$B$74+Financial!P219*Financial!$B$75)*Financial!P$228*$B$33/10^9</f>
        <v>92.1809293756</v>
      </c>
      <c r="Q94" s="48">
        <f>($C11-$B11)*(Financial!Q212*Financial!$B$74+Financial!Q219*Financial!$B$75)*Financial!Q$228*$B$33/10^9</f>
        <v>98.15747704360001</v>
      </c>
      <c r="R94" s="48">
        <f>($C11-$B11)*(Financial!R212*Financial!$B$74+Financial!R219*Financial!$B$75)*Financial!R$228*$B$33/10^9</f>
        <v>104.520787384</v>
      </c>
      <c r="S94" s="48">
        <f>($C11-$B11)*(Financial!S212*Financial!$B$74+Financial!S219*Financial!$B$75)*Financial!S$228*$B$33/10^9</f>
        <v>111.60986042544002</v>
      </c>
      <c r="T94" s="48">
        <f>($C11-$B11)*(Financial!T212*Financial!$B$74+Financial!T219*Financial!$B$75)*Financial!T$228*$B$33/10^9</f>
        <v>118.52384950640001</v>
      </c>
      <c r="U94" s="48">
        <f>($C11-$B11)*(Financial!U212*Financial!$B$74+Financial!U219*Financial!$B$75)*Financial!U$228*$B$33/10^9</f>
        <v>121.43462838</v>
      </c>
      <c r="V94" s="48">
        <f>($C11-$B11)*(Financial!V212*Financial!$B$74+Financial!V219*Financial!$B$75)*Financial!V$228*$B$33/10^9</f>
        <v>124.5115114828</v>
      </c>
      <c r="W94" s="48">
        <f>($C11-$B11)*(Financial!W212*Financial!$B$74+Financial!W219*Financial!$B$75)*Financial!W$228*$B$33/10^9</f>
        <v>128.112442536</v>
      </c>
      <c r="X94" s="48">
        <f>($C11-$B11)*(Financial!X212*Financial!$B$74+Financial!X219*Financial!$B$75)*Financial!X$228*$B$33/10^9</f>
        <v>131.1952292768</v>
      </c>
      <c r="Y94" s="48">
        <f>($C11-$B11)*(Financial!Y212*Financial!$B$74+Financial!Y219*Financial!$B$75)*Financial!Y$228*$B$33/10^9</f>
        <v>134.81788341840002</v>
      </c>
      <c r="Z94" s="48">
        <f>($C11-$B11)*(Financial!Z212*Financial!$B$74+Financial!Z219*Financial!$B$75)*Financial!Z$228*$B$33/10^9</f>
        <v>134.81788341840002</v>
      </c>
      <c r="AA94" s="48">
        <f>($C11-$B11)*(Financial!AA212*Financial!$B$74+Financial!AA219*Financial!$B$75)*Financial!AA$228*$B$33/10^9</f>
        <v>135.18724748256</v>
      </c>
      <c r="AB94" s="48">
        <f>($C11-$B11)*(Financial!AB212*Financial!$B$74+Financial!AB219*Financial!$B$75)*Financial!AB$228*$B$33/10^9</f>
        <v>134.81788341840002</v>
      </c>
      <c r="AC94" s="48">
        <f>($C11-$B11)*(Financial!AC212*Financial!$B$74+Financial!AC219*Financial!$B$75)*Financial!AC$228*$B$33/10^9</f>
        <v>134.81788341840002</v>
      </c>
      <c r="AD94" s="48">
        <f>($C11-$B11)*(Financial!AD212*Financial!$B$74+Financial!AD219*Financial!$B$75)*Financial!AD$228*$B$33/10^9</f>
        <v>134.81788341840002</v>
      </c>
      <c r="AE94" s="48">
        <f>($C11-$B11)*(Financial!AE212*Financial!$B$74+Financial!AE219*Financial!$B$75)*Financial!AE$228*$B$33/10^9</f>
        <v>135.18724748256</v>
      </c>
      <c r="AF94" s="48">
        <f>($C11-$B11)*(Financial!AF212*Financial!$B$74+Financial!AF219*Financial!$B$75)*Financial!AF$228*$B$33/10^9</f>
        <v>134.81788341840002</v>
      </c>
      <c r="AG94" s="48">
        <f>($C11-$B11)*(Financial!AG212*Financial!$B$74+Financial!AG219*Financial!$B$75)*Financial!AG$228*$B$33/10^9</f>
        <v>134.81788341840002</v>
      </c>
      <c r="AH94" s="48">
        <f>($C11-$B11)*(Financial!AH212*Financial!$B$74+Financial!AH219*Financial!$B$75)*Financial!AH$228*$B$33/10^9</f>
        <v>134.81788341840002</v>
      </c>
      <c r="AI94" s="48">
        <f>($C11-$B11)*(Financial!AI212*Financial!$B$74+Financial!AI219*Financial!$B$75)*Financial!AI$228*$B$33/10^9</f>
        <v>135.18724748256</v>
      </c>
      <c r="AJ94" s="48">
        <f>($C11-$B11)*(Financial!AJ212*Financial!$B$74+Financial!AJ219*Financial!$B$75)*Financial!AJ$228*$B$33/10^9</f>
        <v>134.81788341840002</v>
      </c>
      <c r="AK94" s="48">
        <f>($C11-$B11)*(Financial!AK212*Financial!$B$74+Financial!AK219*Financial!$B$75)*Financial!AK$228*$B$33/10^9</f>
        <v>134.81788341840002</v>
      </c>
    </row>
    <row r="95" spans="1:37" ht="9.75">
      <c r="A95" s="47" t="s">
        <v>133</v>
      </c>
      <c r="H95" s="48">
        <f>($C12-$B12)*(Financial!H213*Financial!$B$74+Financial!H220*Financial!$B$75)*Financial!H$228*$B$33/10^9</f>
        <v>66.046639624</v>
      </c>
      <c r="I95" s="48">
        <f>($C12-$B12)*(Financial!I213*Financial!$B$74+Financial!I220*Financial!$B$75)*Financial!I$228*$B$33/10^9</f>
        <v>71.52502238560001</v>
      </c>
      <c r="J95" s="48">
        <f>($C12-$B12)*(Financial!J213*Financial!$B$74+Financial!J220*Financial!$B$75)*Financial!J$228*$B$33/10^9</f>
        <v>77.466083352</v>
      </c>
      <c r="K95" s="48">
        <f>($C12-$B12)*(Financial!K213*Financial!$B$74+Financial!K220*Financial!$B$75)*Financial!K$228*$B$33/10^9</f>
        <v>84.12433497216001</v>
      </c>
      <c r="L95" s="48">
        <f>($C12-$B12)*(Financial!L213*Financial!$B$74+Financial!L220*Financial!$B$75)*Financial!L$228*$B$33/10^9</f>
        <v>90.85385247679999</v>
      </c>
      <c r="M95" s="48">
        <f>($C12-$B12)*(Financial!M213*Financial!$B$74+Financial!M220*Financial!$B$75)*Financial!M$228*$B$33/10^9</f>
        <v>98.406752976</v>
      </c>
      <c r="N95" s="48">
        <f>($C12-$B12)*(Financial!N213*Financial!$B$74+Financial!N220*Financial!$B$75)*Financial!N$228*$B$33/10^9</f>
        <v>106.5910974016</v>
      </c>
      <c r="O95" s="48">
        <f>($C12-$B12)*(Financial!O213*Financial!$B$74+Financial!O220*Financial!$B$75)*Financial!O$228*$B$33/10^9</f>
        <v>115.74780111552002</v>
      </c>
      <c r="P95" s="48">
        <f>($C12-$B12)*(Financial!P213*Financial!$B$74+Financial!P220*Financial!$B$75)*Financial!P$228*$B$33/10^9</f>
        <v>122.93147358240003</v>
      </c>
      <c r="Q95" s="48">
        <f>($C12-$B12)*(Financial!Q213*Financial!$B$74+Financial!Q220*Financial!$B$75)*Financial!Q$228*$B$33/10^9</f>
        <v>130.89978519520002</v>
      </c>
      <c r="R95" s="48">
        <f>($C12-$B12)*(Financial!R213*Financial!$B$74+Financial!R220*Financial!$B$75)*Financial!R$228*$B$33/10^9</f>
        <v>139.4047686304</v>
      </c>
      <c r="S95" s="48">
        <f>($C12-$B12)*(Financial!S213*Financial!$B$74+Financial!S220*Financial!$B$75)*Financial!S$228*$B$33/10^9</f>
        <v>148.84740065664</v>
      </c>
      <c r="T95" s="48">
        <f>($C12-$B12)*(Financial!T213*Financial!$B$74+Financial!T220*Financial!$B$75)*Financial!T$228*$B$33/10^9</f>
        <v>158.075904112</v>
      </c>
      <c r="U95" s="48">
        <f>($C12-$B12)*(Financial!U213*Financial!$B$74+Financial!U220*Financial!$B$75)*Financial!U$228*$B$33/10^9</f>
        <v>162.24421123680003</v>
      </c>
      <c r="V95" s="48">
        <f>($C12-$B12)*(Financial!V213*Financial!$B$74+Financial!V220*Financial!$B$75)*Financial!V$228*$B$33/10^9</f>
        <v>166.65916375359998</v>
      </c>
      <c r="W95" s="48">
        <f>($C12-$B12)*(Financial!W213*Financial!$B$74+Financial!W220*Financial!$B$75)*Financial!W$228*$B$33/10^9</f>
        <v>171.79013361216005</v>
      </c>
      <c r="X95" s="48">
        <f>($C12-$B12)*(Financial!X213*Financial!$B$74+Financial!X220*Financial!$B$75)*Financial!X$228*$B$33/10^9</f>
        <v>176.22900496320003</v>
      </c>
      <c r="Y95" s="48">
        <f>($C12-$B12)*(Financial!Y213*Financial!$B$74+Financial!Y220*Financial!$B$75)*Financial!Y$228*$B$33/10^9</f>
        <v>181.40855819520002</v>
      </c>
      <c r="Z95" s="48">
        <f>($C12-$B12)*(Financial!Z213*Financial!$B$74+Financial!Z220*Financial!$B$75)*Financial!Z$228*$B$33/10^9</f>
        <v>181.40855819520002</v>
      </c>
      <c r="AA95" s="48">
        <f>($C12-$B12)*(Financial!AA213*Financial!$B$74+Financial!AA220*Financial!$B$75)*Financial!AA$228*$B$33/10^9</f>
        <v>181.90556794368</v>
      </c>
      <c r="AB95" s="48">
        <f>($C12-$B12)*(Financial!AB213*Financial!$B$74+Financial!AB220*Financial!$B$75)*Financial!AB$228*$B$33/10^9</f>
        <v>181.40855819520002</v>
      </c>
      <c r="AC95" s="48">
        <f>($C12-$B12)*(Financial!AC213*Financial!$B$74+Financial!AC220*Financial!$B$75)*Financial!AC$228*$B$33/10^9</f>
        <v>181.40855819520002</v>
      </c>
      <c r="AD95" s="48">
        <f>($C12-$B12)*(Financial!AD213*Financial!$B$74+Financial!AD220*Financial!$B$75)*Financial!AD$228*$B$33/10^9</f>
        <v>181.40855819520002</v>
      </c>
      <c r="AE95" s="48">
        <f>($C12-$B12)*(Financial!AE213*Financial!$B$74+Financial!AE220*Financial!$B$75)*Financial!AE$228*$B$33/10^9</f>
        <v>181.90556794368</v>
      </c>
      <c r="AF95" s="48">
        <f>($C12-$B12)*(Financial!AF213*Financial!$B$74+Financial!AF220*Financial!$B$75)*Financial!AF$228*$B$33/10^9</f>
        <v>181.40855819520002</v>
      </c>
      <c r="AG95" s="48">
        <f>($C12-$B12)*(Financial!AG213*Financial!$B$74+Financial!AG220*Financial!$B$75)*Financial!AG$228*$B$33/10^9</f>
        <v>181.40855819520002</v>
      </c>
      <c r="AH95" s="48">
        <f>($C12-$B12)*(Financial!AH213*Financial!$B$74+Financial!AH220*Financial!$B$75)*Financial!AH$228*$B$33/10^9</f>
        <v>181.40855819520002</v>
      </c>
      <c r="AI95" s="48">
        <f>($C12-$B12)*(Financial!AI213*Financial!$B$74+Financial!AI220*Financial!$B$75)*Financial!AI$228*$B$33/10^9</f>
        <v>181.90556794368</v>
      </c>
      <c r="AJ95" s="48">
        <f>($C12-$B12)*(Financial!AJ213*Financial!$B$74+Financial!AJ220*Financial!$B$75)*Financial!AJ$228*$B$33/10^9</f>
        <v>181.40855819520002</v>
      </c>
      <c r="AK95" s="48">
        <f>($C12-$B12)*(Financial!AK213*Financial!$B$74+Financial!AK220*Financial!$B$75)*Financial!AK$228*$B$33/10^9</f>
        <v>181.40855819520002</v>
      </c>
    </row>
    <row r="96" spans="1:37" ht="9.75">
      <c r="A96" s="47" t="s">
        <v>134</v>
      </c>
      <c r="H96" s="48">
        <f>($C13-$B13)*(Financial!H214*Financial!$B$74+Financial!H221*Financial!$B$75)*Financial!H$228*$B$33/10^9</f>
        <v>40.573491688</v>
      </c>
      <c r="I96" s="48">
        <f>($C13-$B13)*(Financial!I214*Financial!$B$74+Financial!I221*Financial!$B$75)*Financial!I$228*$B$33/10^9</f>
        <v>43.944910256</v>
      </c>
      <c r="J96" s="48">
        <f>($C13-$B13)*(Financial!J214*Financial!$B$74+Financial!J221*Financial!$B$75)*Financial!J$228*$B$33/10^9</f>
        <v>47.59851096639999</v>
      </c>
      <c r="K96" s="48">
        <f>($C13-$B13)*(Financial!K214*Financial!$B$74+Financial!K221*Financial!$B$75)*Financial!K$228*$B$33/10^9</f>
        <v>51.690291264</v>
      </c>
      <c r="L96" s="48">
        <f>($C13-$B13)*(Financial!L214*Financial!$B$74+Financial!L221*Financial!$B$75)*Financial!L$228*$B$33/10^9</f>
        <v>55.83054319679999</v>
      </c>
      <c r="M96" s="48">
        <f>($C13-$B13)*(Financial!M214*Financial!$B$74+Financial!M221*Financial!$B$75)*Financial!M$228*$B$33/10^9</f>
        <v>60.459949156799986</v>
      </c>
      <c r="N96" s="48">
        <f>($C13-$B13)*(Financial!N214*Financial!$B$74+Financial!N221*Financial!$B$75)*Financial!N$228*$B$33/10^9</f>
        <v>65.4786453704</v>
      </c>
      <c r="O96" s="48">
        <f>($C13-$B13)*(Financial!O214*Financial!$B$74+Financial!O221*Financial!$B$75)*Financial!O$228*$B$33/10^9</f>
        <v>71.11268741856</v>
      </c>
      <c r="P96" s="48">
        <f>($C13-$B13)*(Financial!P214*Financial!$B$74+Financial!P221*Financial!$B$75)*Financial!P$228*$B$33/10^9</f>
        <v>75.5264489408</v>
      </c>
      <c r="Q96" s="48">
        <f>($C13-$B13)*(Financial!Q214*Financial!$B$74+Financial!Q221*Financial!$B$75)*Financial!Q$228*$B$33/10^9</f>
        <v>80.4359053848</v>
      </c>
      <c r="R96" s="48">
        <f>($C13-$B13)*(Financial!R214*Financial!$B$74+Financial!R221*Financial!$B$75)*Financial!R$228*$B$33/10^9</f>
        <v>85.6615269312</v>
      </c>
      <c r="S96" s="48">
        <f>($C13-$B13)*(Financial!S214*Financial!$B$74+Financial!S221*Financial!$B$75)*Financial!S$228*$B$33/10^9</f>
        <v>91.47985793664</v>
      </c>
      <c r="T96" s="48">
        <f>($C13-$B13)*(Financial!T214*Financial!$B$74+Financial!T221*Financial!$B$75)*Financial!T$228*$B$33/10^9</f>
        <v>97.15805498</v>
      </c>
      <c r="U96" s="48">
        <f>($C13-$B13)*(Financial!U214*Financial!$B$74+Financial!U221*Financial!$B$75)*Financial!U$228*$B$33/10^9</f>
        <v>99.80983802959999</v>
      </c>
      <c r="V96" s="48">
        <f>($C13-$B13)*(Financial!V214*Financial!$B$74+Financial!V221*Financial!$B$75)*Financial!V$228*$B$33/10^9</f>
        <v>102.60573972320002</v>
      </c>
      <c r="W96" s="48">
        <f>($C13-$B13)*(Financial!W214*Financial!$B$74+Financial!W221*Financial!$B$75)*Financial!W$228*$B$33/10^9</f>
        <v>105.854194992</v>
      </c>
      <c r="X96" s="48">
        <f>($C13-$B13)*(Financial!X214*Financial!$B$74+Financial!X221*Financial!$B$75)*Financial!X$228*$B$33/10^9</f>
        <v>108.6875465</v>
      </c>
      <c r="Y96" s="48">
        <f>($C13-$B13)*(Financial!Y214*Financial!$B$74+Financial!Y221*Financial!$B$75)*Financial!Y$228*$B$33/10^9</f>
        <v>111.98305949280001</v>
      </c>
      <c r="Z96" s="48">
        <f>($C13-$B13)*(Financial!Z214*Financial!$B$74+Financial!Z221*Financial!$B$75)*Financial!Z$228*$B$33/10^9</f>
        <v>111.98305949280001</v>
      </c>
      <c r="AA96" s="48">
        <f>($C13-$B13)*(Financial!AA214*Financial!$B$74+Financial!AA221*Financial!$B$75)*Financial!AA$228*$B$33/10^9</f>
        <v>112.28986239552002</v>
      </c>
      <c r="AB96" s="48">
        <f>($C13-$B13)*(Financial!AB214*Financial!$B$74+Financial!AB221*Financial!$B$75)*Financial!AB$228*$B$33/10^9</f>
        <v>111.98305949280001</v>
      </c>
      <c r="AC96" s="48">
        <f>($C13-$B13)*(Financial!AC214*Financial!$B$74+Financial!AC221*Financial!$B$75)*Financial!AC$228*$B$33/10^9</f>
        <v>111.98305949280001</v>
      </c>
      <c r="AD96" s="48">
        <f>($C13-$B13)*(Financial!AD214*Financial!$B$74+Financial!AD221*Financial!$B$75)*Financial!AD$228*$B$33/10^9</f>
        <v>111.98305949280001</v>
      </c>
      <c r="AE96" s="48">
        <f>($C13-$B13)*(Financial!AE214*Financial!$B$74+Financial!AE221*Financial!$B$75)*Financial!AE$228*$B$33/10^9</f>
        <v>112.28986239552002</v>
      </c>
      <c r="AF96" s="48">
        <f>($C13-$B13)*(Financial!AF214*Financial!$B$74+Financial!AF221*Financial!$B$75)*Financial!AF$228*$B$33/10^9</f>
        <v>111.98305949280001</v>
      </c>
      <c r="AG96" s="48">
        <f>($C13-$B13)*(Financial!AG214*Financial!$B$74+Financial!AG221*Financial!$B$75)*Financial!AG$228*$B$33/10^9</f>
        <v>111.98305949280001</v>
      </c>
      <c r="AH96" s="48">
        <f>($C13-$B13)*(Financial!AH214*Financial!$B$74+Financial!AH221*Financial!$B$75)*Financial!AH$228*$B$33/10^9</f>
        <v>111.98305949280001</v>
      </c>
      <c r="AI96" s="48">
        <f>($C13-$B13)*(Financial!AI214*Financial!$B$74+Financial!AI221*Financial!$B$75)*Financial!AI$228*$B$33/10^9</f>
        <v>112.28986239552002</v>
      </c>
      <c r="AJ96" s="48">
        <f>($C13-$B13)*(Financial!AJ214*Financial!$B$74+Financial!AJ221*Financial!$B$75)*Financial!AJ$228*$B$33/10^9</f>
        <v>111.98305949280001</v>
      </c>
      <c r="AK96" s="48">
        <f>($C13-$B13)*(Financial!AK214*Financial!$B$74+Financial!AK221*Financial!$B$75)*Financial!AK$228*$B$33/10^9</f>
        <v>111.98305949280001</v>
      </c>
    </row>
    <row r="97" spans="1:37" ht="9.75">
      <c r="A97" s="47" t="s">
        <v>135</v>
      </c>
      <c r="H97" s="48">
        <f>($C14-$B14)*(Financial!H215*Financial!$B$74+Financial!H222*Financial!$B$75)*Financial!H$228*$B$33/10^9</f>
        <v>68.7284224032</v>
      </c>
      <c r="I97" s="48">
        <f>($C14-$B14)*(Financial!I215*Financial!$B$74+Financial!I222*Financial!$B$75)*Financial!I$228*$B$33/10^9</f>
        <v>74.4239073984</v>
      </c>
      <c r="J97" s="48">
        <f>($C14-$B14)*(Financial!J215*Financial!$B$74+Financial!J222*Financial!$B$75)*Financial!J$228*$B$33/10^9</f>
        <v>80.58074935680001</v>
      </c>
      <c r="K97" s="48">
        <f>($C14-$B14)*(Financial!K215*Financial!$B$74+Financial!K222*Financial!$B$75)*Financial!K$228*$B$33/10^9</f>
        <v>87.482482416</v>
      </c>
      <c r="L97" s="48">
        <f>($C14-$B14)*(Financial!L215*Financial!$B$74+Financial!L222*Financial!$B$75)*Financial!L$228*$B$33/10^9</f>
        <v>94.474092888</v>
      </c>
      <c r="M97" s="48">
        <f>($C14-$B14)*(Financial!M215*Financial!$B$74+Financial!M222*Financial!$B$75)*Financial!M$228*$B$33/10^9</f>
        <v>102.30367822080002</v>
      </c>
      <c r="N97" s="48">
        <f>($C14-$B14)*(Financial!N215*Financial!$B$74+Financial!N222*Financial!$B$75)*Financial!N$228*$B$33/10^9</f>
        <v>110.7767262</v>
      </c>
      <c r="O97" s="48">
        <f>($C14-$B14)*(Financial!O215*Financial!$B$74+Financial!O222*Financial!$B$75)*Financial!O$228*$B$33/10^9</f>
        <v>120.28393730304002</v>
      </c>
      <c r="P97" s="48">
        <f>($C14-$B14)*(Financial!P215*Financial!$B$74+Financial!P222*Financial!$B$75)*Financial!P$228*$B$33/10^9</f>
        <v>127.77286173120001</v>
      </c>
      <c r="Q97" s="48">
        <f>($C14-$B14)*(Financial!Q215*Financial!$B$74+Financial!Q222*Financial!$B$75)*Financial!Q$228*$B$33/10^9</f>
        <v>136.0868775168</v>
      </c>
      <c r="R97" s="48">
        <f>($C14-$B14)*(Financial!R215*Financial!$B$74+Financial!R222*Financial!$B$75)*Financial!R$228*$B$33/10^9</f>
        <v>144.941850984</v>
      </c>
      <c r="S97" s="48">
        <f>($C14-$B14)*(Financial!S215*Financial!$B$74+Financial!S222*Financial!$B$75)*Financial!S$228*$B$33/10^9</f>
        <v>154.79173829952</v>
      </c>
      <c r="T97" s="48">
        <f>($C14-$B14)*(Financial!T215*Financial!$B$74+Financial!T222*Financial!$B$75)*Financial!T$228*$B$33/10^9</f>
        <v>164.41632752160004</v>
      </c>
      <c r="U97" s="48">
        <f>($C14-$B14)*(Financial!U215*Financial!$B$74+Financial!U222*Financial!$B$75)*Financial!U$228*$B$33/10^9</f>
        <v>169.434162744</v>
      </c>
      <c r="V97" s="48">
        <f>($C14-$B14)*(Financial!V215*Financial!$B$74+Financial!V222*Financial!$B$75)*Financial!V$228*$B$33/10^9</f>
        <v>174.7327160208</v>
      </c>
      <c r="W97" s="48">
        <f>($C14-$B14)*(Financial!W215*Financial!$B$74+Financial!W222*Financial!$B$75)*Financial!W$228*$B$33/10^9</f>
        <v>180.82358574335998</v>
      </c>
      <c r="X97" s="48">
        <f>($C14-$B14)*(Financial!X215*Financial!$B$74+Financial!X222*Financial!$B$75)*Financial!X$228*$B$33/10^9</f>
        <v>186.24215625120007</v>
      </c>
      <c r="Y97" s="48">
        <f>($C14-$B14)*(Financial!Y215*Financial!$B$74+Financial!Y222*Financial!$B$75)*Financial!Y$228*$B$33/10^9</f>
        <v>192.47058808320008</v>
      </c>
      <c r="Z97" s="48">
        <f>($C14-$B14)*(Financial!Z215*Financial!$B$74+Financial!Z222*Financial!$B$75)*Financial!Z$228*$B$33/10^9</f>
        <v>192.47058808320008</v>
      </c>
      <c r="AA97" s="48">
        <f>($C14-$B14)*(Financial!AA215*Financial!$B$74+Financial!AA222*Financial!$B$75)*Financial!AA$228*$B$33/10^9</f>
        <v>192.99790476288007</v>
      </c>
      <c r="AB97" s="48">
        <f>($C14-$B14)*(Financial!AB215*Financial!$B$74+Financial!AB222*Financial!$B$75)*Financial!AB$228*$B$33/10^9</f>
        <v>192.47058808320008</v>
      </c>
      <c r="AC97" s="48">
        <f>($C14-$B14)*(Financial!AC215*Financial!$B$74+Financial!AC222*Financial!$B$75)*Financial!AC$228*$B$33/10^9</f>
        <v>192.47058808320008</v>
      </c>
      <c r="AD97" s="48">
        <f>($C14-$B14)*(Financial!AD215*Financial!$B$74+Financial!AD222*Financial!$B$75)*Financial!AD$228*$B$33/10^9</f>
        <v>192.47058808320008</v>
      </c>
      <c r="AE97" s="48">
        <f>($C14-$B14)*(Financial!AE215*Financial!$B$74+Financial!AE222*Financial!$B$75)*Financial!AE$228*$B$33/10^9</f>
        <v>192.99790476288007</v>
      </c>
      <c r="AF97" s="48">
        <f>($C14-$B14)*(Financial!AF215*Financial!$B$74+Financial!AF222*Financial!$B$75)*Financial!AF$228*$B$33/10^9</f>
        <v>192.47058808320008</v>
      </c>
      <c r="AG97" s="48">
        <f>($C14-$B14)*(Financial!AG215*Financial!$B$74+Financial!AG222*Financial!$B$75)*Financial!AG$228*$B$33/10^9</f>
        <v>192.47058808320008</v>
      </c>
      <c r="AH97" s="48">
        <f>($C14-$B14)*(Financial!AH215*Financial!$B$74+Financial!AH222*Financial!$B$75)*Financial!AH$228*$B$33/10^9</f>
        <v>192.47058808320008</v>
      </c>
      <c r="AI97" s="48">
        <f>($C14-$B14)*(Financial!AI215*Financial!$B$74+Financial!AI222*Financial!$B$75)*Financial!AI$228*$B$33/10^9</f>
        <v>192.99790476288007</v>
      </c>
      <c r="AJ97" s="48">
        <f>($C14-$B14)*(Financial!AJ215*Financial!$B$74+Financial!AJ222*Financial!$B$75)*Financial!AJ$228*$B$33/10^9</f>
        <v>192.47058808320008</v>
      </c>
      <c r="AK97" s="48">
        <f>($C14-$B14)*(Financial!AK215*Financial!$B$74+Financial!AK222*Financial!$B$75)*Financial!AK$228*$B$33/10^9</f>
        <v>192.47058808320008</v>
      </c>
    </row>
    <row r="98" spans="1:37" ht="9.75">
      <c r="A98" s="47" t="s">
        <v>136</v>
      </c>
      <c r="H98" s="48">
        <f>($C15-$B15)*(Financial!H216*Financial!$B$74+Financial!H223*Financial!$B$75)*Financial!H$228*$B$33/10^9</f>
        <v>118.08652221600003</v>
      </c>
      <c r="I98" s="48">
        <f>($C15-$B15)*(Financial!I216*Financial!$B$74+Financial!I223*Financial!$B$75)*Financial!I$228*$B$33/10^9</f>
        <v>127.895773992</v>
      </c>
      <c r="J98" s="48">
        <f>($C15-$B15)*(Financial!J216*Financial!$B$74+Financial!J223*Financial!$B$75)*Financial!J$228*$B$33/10^9</f>
        <v>138.52246341600002</v>
      </c>
      <c r="K98" s="48">
        <f>($C15-$B15)*(Financial!K216*Financial!$B$74+Financial!K223*Financial!$B$75)*Financial!K$228*$B$33/10^9</f>
        <v>150.4537908192</v>
      </c>
      <c r="L98" s="48">
        <f>($C15-$B15)*(Financial!L216*Financial!$B$74+Financial!L223*Financial!$B$75)*Financial!L$228*$B$33/10^9</f>
        <v>162.522687432</v>
      </c>
      <c r="M98" s="48">
        <f>($C15-$B15)*(Financial!M216*Financial!$B$74+Financial!M223*Financial!$B$75)*Financial!M$228*$B$33/10^9</f>
        <v>176.038505448</v>
      </c>
      <c r="N98" s="48">
        <f>($C15-$B15)*(Financial!N216*Financial!$B$74+Financial!N223*Financial!$B$75)*Financial!N$228*$B$33/10^9</f>
        <v>190.666293336</v>
      </c>
      <c r="O98" s="48">
        <f>($C15-$B15)*(Financial!O216*Financial!$B$74+Financial!O223*Financial!$B$75)*Financial!O$228*$B$33/10^9</f>
        <v>207.0810502272</v>
      </c>
      <c r="P98" s="48">
        <f>($C15-$B15)*(Financial!P216*Financial!$B$74+Financial!P223*Financial!$B$75)*Financial!P$228*$B$33/10^9</f>
        <v>219.905536968</v>
      </c>
      <c r="Q98" s="48">
        <f>($C15-$B15)*(Financial!Q216*Financial!$B$74+Financial!Q223*Financial!$B$75)*Financial!Q$228*$B$33/10^9</f>
        <v>234.189380976</v>
      </c>
      <c r="R98" s="48">
        <f>($C15-$B15)*(Financial!R216*Financial!$B$74+Financial!R223*Financial!$B$75)*Financial!R$228*$B$33/10^9</f>
        <v>249.40983192</v>
      </c>
      <c r="S98" s="48">
        <f>($C15-$B15)*(Financial!S216*Financial!$B$74+Financial!S223*Financial!$B$75)*Financial!S$228*$B$33/10^9</f>
        <v>266.3276404608</v>
      </c>
      <c r="T98" s="48">
        <f>($C15-$B15)*(Financial!T216*Financial!$B$74+Financial!T223*Financial!$B$75)*Financial!T$228*$B$33/10^9</f>
        <v>282.87896244</v>
      </c>
      <c r="U98" s="48">
        <f>($C15-$B15)*(Financial!U216*Financial!$B$74+Financial!U223*Financial!$B$75)*Financial!U$228*$B$33/10^9</f>
        <v>290.540952504</v>
      </c>
      <c r="V98" s="48">
        <f>($C15-$B15)*(Financial!V216*Financial!$B$74+Financial!V223*Financial!$B$75)*Financial!V$228*$B$33/10^9</f>
        <v>298.633391448</v>
      </c>
      <c r="W98" s="48">
        <f>($C15-$B15)*(Financial!W216*Financial!$B$74+Financial!W223*Financial!$B$75)*Financial!W$228*$B$33/10^9</f>
        <v>307.99780332480003</v>
      </c>
      <c r="X98" s="48">
        <f>($C15-$B15)*(Financial!X216*Financial!$B$74+Financial!X223*Financial!$B$75)*Financial!X$228*$B$33/10^9</f>
        <v>316.152660864</v>
      </c>
      <c r="Y98" s="48">
        <f>($C15-$B15)*(Financial!Y216*Financial!$B$74+Financial!Y223*Financial!$B$75)*Financial!Y$228*$B$33/10^9</f>
        <v>325.665581112</v>
      </c>
      <c r="Z98" s="48">
        <f>($C15-$B15)*(Financial!Z216*Financial!$B$74+Financial!Z223*Financial!$B$75)*Financial!Z$228*$B$33/10^9</f>
        <v>325.665581112</v>
      </c>
      <c r="AA98" s="48">
        <f>($C15-$B15)*(Financial!AA216*Financial!$B$74+Financial!AA223*Financial!$B$75)*Financial!AA$228*$B$33/10^9</f>
        <v>326.55781558079997</v>
      </c>
      <c r="AB98" s="48">
        <f>($C15-$B15)*(Financial!AB216*Financial!$B$74+Financial!AB223*Financial!$B$75)*Financial!AB$228*$B$33/10^9</f>
        <v>325.665581112</v>
      </c>
      <c r="AC98" s="48">
        <f>($C15-$B15)*(Financial!AC216*Financial!$B$74+Financial!AC223*Financial!$B$75)*Financial!AC$228*$B$33/10^9</f>
        <v>325.665581112</v>
      </c>
      <c r="AD98" s="48">
        <f>($C15-$B15)*(Financial!AD216*Financial!$B$74+Financial!AD223*Financial!$B$75)*Financial!AD$228*$B$33/10^9</f>
        <v>325.665581112</v>
      </c>
      <c r="AE98" s="48">
        <f>($C15-$B15)*(Financial!AE216*Financial!$B$74+Financial!AE223*Financial!$B$75)*Financial!AE$228*$B$33/10^9</f>
        <v>326.55781558079997</v>
      </c>
      <c r="AF98" s="48">
        <f>($C15-$B15)*(Financial!AF216*Financial!$B$74+Financial!AF223*Financial!$B$75)*Financial!AF$228*$B$33/10^9</f>
        <v>325.665581112</v>
      </c>
      <c r="AG98" s="48">
        <f>($C15-$B15)*(Financial!AG216*Financial!$B$74+Financial!AG223*Financial!$B$75)*Financial!AG$228*$B$33/10^9</f>
        <v>325.665581112</v>
      </c>
      <c r="AH98" s="48">
        <f>($C15-$B15)*(Financial!AH216*Financial!$B$74+Financial!AH223*Financial!$B$75)*Financial!AH$228*$B$33/10^9</f>
        <v>325.665581112</v>
      </c>
      <c r="AI98" s="48">
        <f>($C15-$B15)*(Financial!AI216*Financial!$B$74+Financial!AI223*Financial!$B$75)*Financial!AI$228*$B$33/10^9</f>
        <v>326.55781558079997</v>
      </c>
      <c r="AJ98" s="48">
        <f>($C15-$B15)*(Financial!AJ216*Financial!$B$74+Financial!AJ223*Financial!$B$75)*Financial!AJ$228*$B$33/10^9</f>
        <v>325.665581112</v>
      </c>
      <c r="AK98" s="48">
        <f>($C15-$B15)*(Financial!AK216*Financial!$B$74+Financial!AK223*Financial!$B$75)*Financial!AK$228*$B$33/10^9</f>
        <v>325.665581112</v>
      </c>
    </row>
    <row r="99" spans="1:37" ht="9.75">
      <c r="A99" s="50" t="s">
        <v>24</v>
      </c>
      <c r="H99" s="49">
        <f>SUM(H93:H98)</f>
        <v>360.32529330600005</v>
      </c>
      <c r="I99" s="49">
        <f aca="true" t="shared" si="3" ref="I99:AK99">SUM(I93:I98)</f>
        <v>390.24762889</v>
      </c>
      <c r="J99" s="49">
        <f t="shared" si="3"/>
        <v>422.66411751400005</v>
      </c>
      <c r="K99" s="49">
        <f t="shared" si="3"/>
        <v>459.01900903872</v>
      </c>
      <c r="L99" s="49">
        <f t="shared" si="3"/>
        <v>495.7962690344</v>
      </c>
      <c r="M99" s="49">
        <f t="shared" si="3"/>
        <v>536.9934271704</v>
      </c>
      <c r="N99" s="49">
        <f t="shared" si="3"/>
        <v>581.6056647656</v>
      </c>
      <c r="O99" s="49">
        <f t="shared" si="3"/>
        <v>631.6472285414401</v>
      </c>
      <c r="P99" s="49">
        <f t="shared" si="3"/>
        <v>670.8283598364001</v>
      </c>
      <c r="Q99" s="49">
        <f t="shared" si="3"/>
        <v>714.3852177727999</v>
      </c>
      <c r="R99" s="49">
        <f t="shared" si="3"/>
        <v>760.79505365</v>
      </c>
      <c r="S99" s="49">
        <f t="shared" si="3"/>
        <v>812.40566107296</v>
      </c>
      <c r="T99" s="49">
        <f t="shared" si="3"/>
        <v>862.83403682</v>
      </c>
      <c r="U99" s="49">
        <f t="shared" si="3"/>
        <v>886.1333901428</v>
      </c>
      <c r="V99" s="49">
        <f t="shared" si="3"/>
        <v>910.7507434276</v>
      </c>
      <c r="W99" s="49">
        <f t="shared" si="3"/>
        <v>939.30073144992</v>
      </c>
      <c r="X99" s="49">
        <f t="shared" si="3"/>
        <v>964.1526673779999</v>
      </c>
      <c r="Y99" s="49">
        <f t="shared" si="3"/>
        <v>993.0981024204002</v>
      </c>
      <c r="Z99" s="49">
        <f t="shared" si="3"/>
        <v>993.0981024204002</v>
      </c>
      <c r="AA99" s="49">
        <f t="shared" si="3"/>
        <v>995.8189191393601</v>
      </c>
      <c r="AB99" s="49">
        <f t="shared" si="3"/>
        <v>993.0981024204002</v>
      </c>
      <c r="AC99" s="49">
        <f t="shared" si="3"/>
        <v>993.0981024204002</v>
      </c>
      <c r="AD99" s="49">
        <f t="shared" si="3"/>
        <v>993.0981024204002</v>
      </c>
      <c r="AE99" s="49">
        <f t="shared" si="3"/>
        <v>995.8189191393601</v>
      </c>
      <c r="AF99" s="49">
        <f t="shared" si="3"/>
        <v>993.0981024204002</v>
      </c>
      <c r="AG99" s="49">
        <f t="shared" si="3"/>
        <v>993.0981024204002</v>
      </c>
      <c r="AH99" s="49">
        <f t="shared" si="3"/>
        <v>993.0981024204002</v>
      </c>
      <c r="AI99" s="49">
        <f t="shared" si="3"/>
        <v>995.8189191393601</v>
      </c>
      <c r="AJ99" s="49">
        <f t="shared" si="3"/>
        <v>993.0981024204002</v>
      </c>
      <c r="AK99" s="49">
        <f t="shared" si="3"/>
        <v>993.0981024204002</v>
      </c>
    </row>
    <row r="100" ht="9.75">
      <c r="A100" s="1" t="s">
        <v>167</v>
      </c>
    </row>
    <row r="101" spans="1:37" ht="9.75">
      <c r="A101" s="47" t="s">
        <v>62</v>
      </c>
      <c r="H101" s="48">
        <f>($C10-$B10)*(Financial!H211*Financial!$B$74+Financial!H218*Financial!$B$75)*Financial!H$228*$B$34*0.5/10^9</f>
        <v>2.1775252234499995</v>
      </c>
      <c r="I101" s="48">
        <f>($C10-$B10)*(Financial!I211*Financial!$B$74+Financial!I218*Financial!$B$75)*Financial!I$228*$B$34*0.5/10^9</f>
        <v>2.3594981159999997</v>
      </c>
      <c r="J101" s="48">
        <f>($C10-$B10)*(Financial!J211*Financial!$B$74+Financial!J218*Financial!$B$75)*Financial!J$228*$B$34*0.5/10^9</f>
        <v>2.556423715349999</v>
      </c>
      <c r="K101" s="48">
        <f>($C10-$B10)*(Financial!K211*Financial!$B$74+Financial!K218*Financial!$B$75)*Financial!K$228*$B$34*0.5/10^9</f>
        <v>2.7773650652399993</v>
      </c>
      <c r="L101" s="48">
        <f>($C10-$B10)*(Financial!L211*Financial!$B$74+Financial!L218*Financial!$B$75)*Financial!L$228*$B$34*0.5/10^9</f>
        <v>3.0011347732499996</v>
      </c>
      <c r="M101" s="48">
        <f>($C10-$B10)*(Financial!M211*Financial!$B$74+Financial!M218*Financial!$B$75)*Financial!M$228*$B$34*0.5/10^9</f>
        <v>3.251526627449999</v>
      </c>
      <c r="N101" s="48">
        <f>($C10-$B10)*(Financial!N211*Financial!$B$74+Financial!N218*Financial!$B$75)*Financial!N$228*$B$34*0.5/10^9</f>
        <v>3.522872927249999</v>
      </c>
      <c r="O101" s="48">
        <f>($C10-$B10)*(Financial!O211*Financial!$B$74+Financial!O218*Financial!$B$75)*Financial!O$228*$B$34*0.5/10^9</f>
        <v>3.8274486307199997</v>
      </c>
      <c r="P101" s="48">
        <f>($C10-$B10)*(Financial!P211*Financial!$B$74+Financial!P218*Financial!$B$75)*Financial!P$228*$B$34*0.5/10^9</f>
        <v>4.0638886547999995</v>
      </c>
      <c r="Q101" s="48">
        <f>($C10-$B10)*(Financial!Q211*Financial!$B$74+Financial!Q218*Financial!$B$75)*Financial!Q$228*$B$34*0.5/10^9</f>
        <v>4.326973957049999</v>
      </c>
      <c r="R101" s="48">
        <f>($C10-$B10)*(Financial!R211*Financial!$B$74+Financial!R218*Financial!$B$75)*Financial!R$228*$B$34*0.5/10^9</f>
        <v>4.60703597505</v>
      </c>
      <c r="S101" s="48">
        <f>($C10-$B10)*(Financial!S211*Financial!$B$74+Financial!S218*Financial!$B$75)*Financial!S$228*$B$34*0.5/10^9</f>
        <v>4.918645411739999</v>
      </c>
      <c r="T101" s="48">
        <f>($C10-$B10)*(Financial!T211*Financial!$B$74+Financial!T218*Financial!$B$75)*Financial!T$228*$B$34*0.5/10^9</f>
        <v>5.222617282499999</v>
      </c>
      <c r="U101" s="48">
        <f>($C10-$B10)*(Financial!U211*Financial!$B$74+Financial!U218*Financial!$B$75)*Financial!U$228*$B$34*0.5/10^9</f>
        <v>5.333699656049999</v>
      </c>
      <c r="V101" s="48">
        <f>($C10-$B10)*(Financial!V211*Financial!$B$74+Financial!V218*Financial!$B$75)*Financial!V$228*$B$34*0.5/10^9</f>
        <v>5.451027624899998</v>
      </c>
      <c r="W101" s="48">
        <f>($C10-$B10)*(Financial!W211*Financial!$B$74+Financial!W218*Financial!$B$75)*Financial!W$228*$B$34*0.5/10^9</f>
        <v>5.590321405199999</v>
      </c>
      <c r="X101" s="48">
        <f>($C10-$B10)*(Financial!X211*Financial!$B$74+Financial!X218*Financial!$B$75)*Financial!X$228*$B$34*0.5/10^9</f>
        <v>5.705758690349999</v>
      </c>
      <c r="Y101" s="48">
        <f>($C10-$B10)*(Financial!Y211*Financial!$B$74+Financial!Y218*Financial!$B$75)*Financial!Y$228*$B$34*0.5/10^9</f>
        <v>5.844054014849998</v>
      </c>
      <c r="Z101" s="48">
        <f>($C10-$B10)*(Financial!Z211*Financial!$B$74+Financial!Z218*Financial!$B$75)*Financial!Z$228*$B$34*0.5/10^9</f>
        <v>5.844054014849998</v>
      </c>
      <c r="AA101" s="48">
        <f>($C10-$B10)*(Financial!AA211*Financial!$B$74+Financial!AA218*Financial!$B$75)*Financial!AA$228*$B$34*0.5/10^9</f>
        <v>5.860065121739999</v>
      </c>
      <c r="AB101" s="48">
        <f>($C10-$B10)*(Financial!AB211*Financial!$B$74+Financial!AB218*Financial!$B$75)*Financial!AB$228*$B$34*0.5/10^9</f>
        <v>5.844054014849998</v>
      </c>
      <c r="AC101" s="48">
        <f>($C10-$B10)*(Financial!AC211*Financial!$B$74+Financial!AC218*Financial!$B$75)*Financial!AC$228*$B$34*0.5/10^9</f>
        <v>5.844054014849998</v>
      </c>
      <c r="AD101" s="48">
        <f>($C10-$B10)*(Financial!AD211*Financial!$B$74+Financial!AD218*Financial!$B$75)*Financial!AD$228*$B$34*0.5/10^9</f>
        <v>5.844054014849998</v>
      </c>
      <c r="AE101" s="48">
        <f>($C10-$B10)*(Financial!AE211*Financial!$B$74+Financial!AE218*Financial!$B$75)*Financial!AE$228*$B$34*0.5/10^9</f>
        <v>5.860065121739999</v>
      </c>
      <c r="AF101" s="48">
        <f>($C10-$B10)*(Financial!AF211*Financial!$B$74+Financial!AF218*Financial!$B$75)*Financial!AF$228*$B$34*0.5/10^9</f>
        <v>5.844054014849998</v>
      </c>
      <c r="AG101" s="48">
        <f>($C10-$B10)*(Financial!AG211*Financial!$B$74+Financial!AG218*Financial!$B$75)*Financial!AG$228*$B$34*0.5/10^9</f>
        <v>5.844054014849998</v>
      </c>
      <c r="AH101" s="48">
        <f>($C10-$B10)*(Financial!AH211*Financial!$B$74+Financial!AH218*Financial!$B$75)*Financial!AH$228*$B$34*0.5/10^9</f>
        <v>5.844054014849998</v>
      </c>
      <c r="AI101" s="48">
        <f>($C10-$B10)*(Financial!AI211*Financial!$B$74+Financial!AI218*Financial!$B$75)*Financial!AI$228*$B$34*0.5/10^9</f>
        <v>5.860065121739999</v>
      </c>
      <c r="AJ101" s="48">
        <f>($C10-$B10)*(Financial!AJ211*Financial!$B$74+Financial!AJ218*Financial!$B$75)*Financial!AJ$228*$B$34*0.5/10^9</f>
        <v>5.844054014849998</v>
      </c>
      <c r="AK101" s="48">
        <f>($C10-$B10)*(Financial!AK211*Financial!$B$74+Financial!AK218*Financial!$B$75)*Financial!AK$228*$B$34*0.5/10^9</f>
        <v>5.844054014849998</v>
      </c>
    </row>
    <row r="102" spans="1:37" ht="9.75">
      <c r="A102" s="47" t="s">
        <v>132</v>
      </c>
      <c r="H102" s="48">
        <f>($C11-$B11)*(Financial!H212*Financial!$B$74+Financial!H219*Financial!$B$75)*Financial!H$228*$B$34*0.5/10^9</f>
        <v>6.1837519483999985</v>
      </c>
      <c r="I102" s="48">
        <f>($C11-$B11)*(Financial!I212*Financial!$B$74+Financial!I219*Financial!$B$75)*Financial!I$228*$B$34*0.5/10^9</f>
        <v>6.697753741249998</v>
      </c>
      <c r="J102" s="48">
        <f>($C11-$B11)*(Financial!J212*Financial!$B$74+Financial!J219*Financial!$B$75)*Financial!J$228*$B$34*0.5/10^9</f>
        <v>7.255615087499998</v>
      </c>
      <c r="K102" s="48">
        <f>($C11-$B11)*(Financial!K212*Financial!$B$74+Financial!K219*Financial!$B$75)*Financial!K$228*$B$34*0.5/10^9</f>
        <v>7.881148630679998</v>
      </c>
      <c r="L102" s="48">
        <f>($C11-$B11)*(Financial!L212*Financial!$B$74+Financial!L219*Financial!$B$75)*Financial!L$228*$B$34*0.5/10^9</f>
        <v>8.51325185685</v>
      </c>
      <c r="M102" s="48">
        <f>($C11-$B11)*(Financial!M212*Financial!$B$74+Financial!M219*Financial!$B$75)*Financial!M$228*$B$34*0.5/10^9</f>
        <v>9.221541043649998</v>
      </c>
      <c r="N102" s="48">
        <f>($C11-$B11)*(Financial!N212*Financial!$B$74+Financial!N219*Financial!$B$75)*Financial!N$228*$B$34*0.5/10^9</f>
        <v>9.988739879949996</v>
      </c>
      <c r="O102" s="48">
        <f>($C11-$B11)*(Financial!O212*Financial!$B$74+Financial!O219*Financial!$B$75)*Financial!O$228*$B$34*0.5/10^9</f>
        <v>10.850270428919998</v>
      </c>
      <c r="P102" s="48">
        <f>($C11-$B11)*(Financial!P212*Financial!$B$74+Financial!P219*Financial!$B$75)*Financial!P$228*$B$34*0.5/10^9</f>
        <v>11.522616171949997</v>
      </c>
      <c r="Q102" s="48">
        <f>($C11-$B11)*(Financial!Q212*Financial!$B$74+Financial!Q219*Financial!$B$75)*Financial!Q$228*$B$34*0.5/10^9</f>
        <v>12.269684630449998</v>
      </c>
      <c r="R102" s="48">
        <f>($C11-$B11)*(Financial!R212*Financial!$B$74+Financial!R219*Financial!$B$75)*Financial!R$228*$B$34*0.5/10^9</f>
        <v>13.065098422999997</v>
      </c>
      <c r="S102" s="48">
        <f>($C11-$B11)*(Financial!S212*Financial!$B$74+Financial!S219*Financial!$B$75)*Financial!S$228*$B$34*0.5/10^9</f>
        <v>13.951232553179999</v>
      </c>
      <c r="T102" s="48">
        <f>($C11-$B11)*(Financial!T212*Financial!$B$74+Financial!T219*Financial!$B$75)*Financial!T$228*$B$34*0.5/10^9</f>
        <v>14.815481188299998</v>
      </c>
      <c r="U102" s="48">
        <f>($C11-$B11)*(Financial!U212*Financial!$B$74+Financial!U219*Financial!$B$75)*Financial!U$228*$B$34*0.5/10^9</f>
        <v>15.179328547499995</v>
      </c>
      <c r="V102" s="48">
        <f>($C11-$B11)*(Financial!V212*Financial!$B$74+Financial!V219*Financial!$B$75)*Financial!V$228*$B$34*0.5/10^9</f>
        <v>15.563938935349997</v>
      </c>
      <c r="W102" s="48">
        <f>($C11-$B11)*(Financial!W212*Financial!$B$74+Financial!W219*Financial!$B$75)*Financial!W$228*$B$34*0.5/10^9</f>
        <v>16.014055316999997</v>
      </c>
      <c r="X102" s="48">
        <f>($C11-$B11)*(Financial!X212*Financial!$B$74+Financial!X219*Financial!$B$75)*Financial!X$228*$B$34*0.5/10^9</f>
        <v>16.399403659599997</v>
      </c>
      <c r="Y102" s="48">
        <f>($C11-$B11)*(Financial!Y212*Financial!$B$74+Financial!Y219*Financial!$B$75)*Financial!Y$228*$B$34*0.5/10^9</f>
        <v>16.852235427299995</v>
      </c>
      <c r="Z102" s="48">
        <f>($C11-$B11)*(Financial!Z212*Financial!$B$74+Financial!Z219*Financial!$B$75)*Financial!Z$228*$B$34*0.5/10^9</f>
        <v>16.852235427299995</v>
      </c>
      <c r="AA102" s="48">
        <f>($C11-$B11)*(Financial!AA212*Financial!$B$74+Financial!AA219*Financial!$B$75)*Financial!AA$228*$B$34*0.5/10^9</f>
        <v>16.898405935319992</v>
      </c>
      <c r="AB102" s="48">
        <f>($C11-$B11)*(Financial!AB212*Financial!$B$74+Financial!AB219*Financial!$B$75)*Financial!AB$228*$B$34*0.5/10^9</f>
        <v>16.852235427299995</v>
      </c>
      <c r="AC102" s="48">
        <f>($C11-$B11)*(Financial!AC212*Financial!$B$74+Financial!AC219*Financial!$B$75)*Financial!AC$228*$B$34*0.5/10^9</f>
        <v>16.852235427299995</v>
      </c>
      <c r="AD102" s="48">
        <f>($C11-$B11)*(Financial!AD212*Financial!$B$74+Financial!AD219*Financial!$B$75)*Financial!AD$228*$B$34*0.5/10^9</f>
        <v>16.852235427299995</v>
      </c>
      <c r="AE102" s="48">
        <f>($C11-$B11)*(Financial!AE212*Financial!$B$74+Financial!AE219*Financial!$B$75)*Financial!AE$228*$B$34*0.5/10^9</f>
        <v>16.898405935319992</v>
      </c>
      <c r="AF102" s="48">
        <f>($C11-$B11)*(Financial!AF212*Financial!$B$74+Financial!AF219*Financial!$B$75)*Financial!AF$228*$B$34*0.5/10^9</f>
        <v>16.852235427299995</v>
      </c>
      <c r="AG102" s="48">
        <f>($C11-$B11)*(Financial!AG212*Financial!$B$74+Financial!AG219*Financial!$B$75)*Financial!AG$228*$B$34*0.5/10^9</f>
        <v>16.852235427299995</v>
      </c>
      <c r="AH102" s="48">
        <f>($C11-$B11)*(Financial!AH212*Financial!$B$74+Financial!AH219*Financial!$B$75)*Financial!AH$228*$B$34*0.5/10^9</f>
        <v>16.852235427299995</v>
      </c>
      <c r="AI102" s="48">
        <f>($C11-$B11)*(Financial!AI212*Financial!$B$74+Financial!AI219*Financial!$B$75)*Financial!AI$228*$B$34*0.5/10^9</f>
        <v>16.898405935319992</v>
      </c>
      <c r="AJ102" s="48">
        <f>($C11-$B11)*(Financial!AJ212*Financial!$B$74+Financial!AJ219*Financial!$B$75)*Financial!AJ$228*$B$34*0.5/10^9</f>
        <v>16.852235427299995</v>
      </c>
      <c r="AK102" s="48">
        <f>($C11-$B11)*(Financial!AK212*Financial!$B$74+Financial!AK219*Financial!$B$75)*Financial!AK$228*$B$34*0.5/10^9</f>
        <v>16.852235427299995</v>
      </c>
    </row>
    <row r="103" spans="1:37" ht="9.75">
      <c r="A103" s="47" t="s">
        <v>133</v>
      </c>
      <c r="H103" s="48">
        <f>($C12-$B12)*(Financial!H213*Financial!$B$74+Financial!H220*Financial!$B$75)*Financial!H$228*$B$34*0.5/10^9</f>
        <v>8.255829952999997</v>
      </c>
      <c r="I103" s="48">
        <f>($C12-$B12)*(Financial!I213*Financial!$B$74+Financial!I220*Financial!$B$75)*Financial!I$228*$B$34*0.5/10^9</f>
        <v>8.9406277982</v>
      </c>
      <c r="J103" s="48">
        <f>($C12-$B12)*(Financial!J213*Financial!$B$74+Financial!J220*Financial!$B$75)*Financial!J$228*$B$34*0.5/10^9</f>
        <v>9.683260418999998</v>
      </c>
      <c r="K103" s="48">
        <f>($C12-$B12)*(Financial!K213*Financial!$B$74+Financial!K220*Financial!$B$75)*Financial!K$228*$B$34*0.5/10^9</f>
        <v>10.515541871519998</v>
      </c>
      <c r="L103" s="48">
        <f>($C12-$B12)*(Financial!L213*Financial!$B$74+Financial!L220*Financial!$B$75)*Financial!L$228*$B$34*0.5/10^9</f>
        <v>11.356731559599996</v>
      </c>
      <c r="M103" s="48">
        <f>($C12-$B12)*(Financial!M213*Financial!$B$74+Financial!M220*Financial!$B$75)*Financial!M$228*$B$34*0.5/10^9</f>
        <v>12.300844121999997</v>
      </c>
      <c r="N103" s="48">
        <f>($C12-$B12)*(Financial!N213*Financial!$B$74+Financial!N220*Financial!$B$75)*Financial!N$228*$B$34*0.5/10^9</f>
        <v>13.323887175199996</v>
      </c>
      <c r="O103" s="48">
        <f>($C12-$B12)*(Financial!O213*Financial!$B$74+Financial!O220*Financial!$B$75)*Financial!O$228*$B$34*0.5/10^9</f>
        <v>14.468475139439999</v>
      </c>
      <c r="P103" s="48">
        <f>($C12-$B12)*(Financial!P213*Financial!$B$74+Financial!P220*Financial!$B$75)*Financial!P$228*$B$34*0.5/10^9</f>
        <v>15.366434197799999</v>
      </c>
      <c r="Q103" s="48">
        <f>($C12-$B12)*(Financial!Q213*Financial!$B$74+Financial!Q220*Financial!$B$75)*Financial!Q$228*$B$34*0.5/10^9</f>
        <v>16.362473149399996</v>
      </c>
      <c r="R103" s="48">
        <f>($C12-$B12)*(Financial!R213*Financial!$B$74+Financial!R220*Financial!$B$75)*Financial!R$228*$B$34*0.5/10^9</f>
        <v>17.425596078799998</v>
      </c>
      <c r="S103" s="48">
        <f>($C12-$B12)*(Financial!S213*Financial!$B$74+Financial!S220*Financial!$B$75)*Financial!S$228*$B$34*0.5/10^9</f>
        <v>18.605925082079995</v>
      </c>
      <c r="T103" s="48">
        <f>($C12-$B12)*(Financial!T213*Financial!$B$74+Financial!T220*Financial!$B$75)*Financial!T$228*$B$34*0.5/10^9</f>
        <v>19.759488013999995</v>
      </c>
      <c r="U103" s="48">
        <f>($C12-$B12)*(Financial!U213*Financial!$B$74+Financial!U220*Financial!$B$75)*Financial!U$228*$B$34*0.5/10^9</f>
        <v>20.2805264046</v>
      </c>
      <c r="V103" s="48">
        <f>($C12-$B12)*(Financial!V213*Financial!$B$74+Financial!V220*Financial!$B$75)*Financial!V$228*$B$34*0.5/10^9</f>
        <v>20.832395469199994</v>
      </c>
      <c r="W103" s="48">
        <f>($C12-$B12)*(Financial!W213*Financial!$B$74+Financial!W220*Financial!$B$75)*Financial!W$228*$B$34*0.5/10^9</f>
        <v>21.473766701519995</v>
      </c>
      <c r="X103" s="48">
        <f>($C12-$B12)*(Financial!X213*Financial!$B$74+Financial!X220*Financial!$B$75)*Financial!X$228*$B$34*0.5/10^9</f>
        <v>22.028625620399993</v>
      </c>
      <c r="Y103" s="48">
        <f>($C12-$B12)*(Financial!Y213*Financial!$B$74+Financial!Y220*Financial!$B$75)*Financial!Y$228*$B$34*0.5/10^9</f>
        <v>22.676069774399995</v>
      </c>
      <c r="Z103" s="48">
        <f>($C12-$B12)*(Financial!Z213*Financial!$B$74+Financial!Z220*Financial!$B$75)*Financial!Z$228*$B$34*0.5/10^9</f>
        <v>22.676069774399995</v>
      </c>
      <c r="AA103" s="48">
        <f>($C12-$B12)*(Financial!AA213*Financial!$B$74+Financial!AA220*Financial!$B$75)*Financial!AA$228*$B$34*0.5/10^9</f>
        <v>22.738195992959994</v>
      </c>
      <c r="AB103" s="48">
        <f>($C12-$B12)*(Financial!AB213*Financial!$B$74+Financial!AB220*Financial!$B$75)*Financial!AB$228*$B$34*0.5/10^9</f>
        <v>22.676069774399995</v>
      </c>
      <c r="AC103" s="48">
        <f>($C12-$B12)*(Financial!AC213*Financial!$B$74+Financial!AC220*Financial!$B$75)*Financial!AC$228*$B$34*0.5/10^9</f>
        <v>22.676069774399995</v>
      </c>
      <c r="AD103" s="48">
        <f>($C12-$B12)*(Financial!AD213*Financial!$B$74+Financial!AD220*Financial!$B$75)*Financial!AD$228*$B$34*0.5/10^9</f>
        <v>22.676069774399995</v>
      </c>
      <c r="AE103" s="48">
        <f>($C12-$B12)*(Financial!AE213*Financial!$B$74+Financial!AE220*Financial!$B$75)*Financial!AE$228*$B$34*0.5/10^9</f>
        <v>22.738195992959994</v>
      </c>
      <c r="AF103" s="48">
        <f>($C12-$B12)*(Financial!AF213*Financial!$B$74+Financial!AF220*Financial!$B$75)*Financial!AF$228*$B$34*0.5/10^9</f>
        <v>22.676069774399995</v>
      </c>
      <c r="AG103" s="48">
        <f>($C12-$B12)*(Financial!AG213*Financial!$B$74+Financial!AG220*Financial!$B$75)*Financial!AG$228*$B$34*0.5/10^9</f>
        <v>22.676069774399995</v>
      </c>
      <c r="AH103" s="48">
        <f>($C12-$B12)*(Financial!AH213*Financial!$B$74+Financial!AH220*Financial!$B$75)*Financial!AH$228*$B$34*0.5/10^9</f>
        <v>22.676069774399995</v>
      </c>
      <c r="AI103" s="48">
        <f>($C12-$B12)*(Financial!AI213*Financial!$B$74+Financial!AI220*Financial!$B$75)*Financial!AI$228*$B$34*0.5/10^9</f>
        <v>22.738195992959994</v>
      </c>
      <c r="AJ103" s="48">
        <f>($C12-$B12)*(Financial!AJ213*Financial!$B$74+Financial!AJ220*Financial!$B$75)*Financial!AJ$228*$B$34*0.5/10^9</f>
        <v>22.676069774399995</v>
      </c>
      <c r="AK103" s="48">
        <f>($C12-$B12)*(Financial!AK213*Financial!$B$74+Financial!AK220*Financial!$B$75)*Financial!AK$228*$B$34*0.5/10^9</f>
        <v>22.676069774399995</v>
      </c>
    </row>
    <row r="104" spans="1:37" ht="9.75">
      <c r="A104" s="47" t="s">
        <v>134</v>
      </c>
      <c r="H104" s="48">
        <f>($C13-$B13)*(Financial!H214*Financial!$B$74+Financial!H221*Financial!$B$75)*Financial!H$228*$B$34*0.5/10^9</f>
        <v>5.071686460999999</v>
      </c>
      <c r="I104" s="48">
        <f>($C13-$B13)*(Financial!I214*Financial!$B$74+Financial!I221*Financial!$B$75)*Financial!I$228*$B$34*0.5/10^9</f>
        <v>5.493113781999999</v>
      </c>
      <c r="J104" s="48">
        <f>($C13-$B13)*(Financial!J214*Financial!$B$74+Financial!J221*Financial!$B$75)*Financial!J$228*$B$34*0.5/10^9</f>
        <v>5.949813870799998</v>
      </c>
      <c r="K104" s="48">
        <f>($C13-$B13)*(Financial!K214*Financial!$B$74+Financial!K221*Financial!$B$75)*Financial!K$228*$B$34*0.5/10^9</f>
        <v>6.461286407999998</v>
      </c>
      <c r="L104" s="48">
        <f>($C13-$B13)*(Financial!L214*Financial!$B$74+Financial!L221*Financial!$B$75)*Financial!L$228*$B$34*0.5/10^9</f>
        <v>6.9788178995999965</v>
      </c>
      <c r="M104" s="48">
        <f>($C13-$B13)*(Financial!M214*Financial!$B$74+Financial!M221*Financial!$B$75)*Financial!M$228*$B$34*0.5/10^9</f>
        <v>7.5574936445999965</v>
      </c>
      <c r="N104" s="48">
        <f>($C13-$B13)*(Financial!N214*Financial!$B$74+Financial!N221*Financial!$B$75)*Financial!N$228*$B$34*0.5/10^9</f>
        <v>8.184830671299999</v>
      </c>
      <c r="O104" s="48">
        <f>($C13-$B13)*(Financial!O214*Financial!$B$74+Financial!O221*Financial!$B$75)*Financial!O$228*$B$34*0.5/10^9</f>
        <v>8.889085927319998</v>
      </c>
      <c r="P104" s="48">
        <f>($C13-$B13)*(Financial!P214*Financial!$B$74+Financial!P221*Financial!$B$75)*Financial!P$228*$B$34*0.5/10^9</f>
        <v>9.440806117599996</v>
      </c>
      <c r="Q104" s="48">
        <f>($C13-$B13)*(Financial!Q214*Financial!$B$74+Financial!Q221*Financial!$B$75)*Financial!Q$228*$B$34*0.5/10^9</f>
        <v>10.054488173099996</v>
      </c>
      <c r="R104" s="48">
        <f>($C13-$B13)*(Financial!R214*Financial!$B$74+Financial!R221*Financial!$B$75)*Financial!R$228*$B$34*0.5/10^9</f>
        <v>10.707690866399997</v>
      </c>
      <c r="S104" s="48">
        <f>($C13-$B13)*(Financial!S214*Financial!$B$74+Financial!S221*Financial!$B$75)*Financial!S$228*$B$34*0.5/10^9</f>
        <v>11.434982242079997</v>
      </c>
      <c r="T104" s="48">
        <f>($C13-$B13)*(Financial!T214*Financial!$B$74+Financial!T221*Financial!$B$75)*Financial!T$228*$B$34*0.5/10^9</f>
        <v>12.144756872499999</v>
      </c>
      <c r="U104" s="48">
        <f>($C13-$B13)*(Financial!U214*Financial!$B$74+Financial!U221*Financial!$B$75)*Financial!U$228*$B$34*0.5/10^9</f>
        <v>12.476229753699995</v>
      </c>
      <c r="V104" s="48">
        <f>($C13-$B13)*(Financial!V214*Financial!$B$74+Financial!V221*Financial!$B$75)*Financial!V$228*$B$34*0.5/10^9</f>
        <v>12.8257174654</v>
      </c>
      <c r="W104" s="48">
        <f>($C13-$B13)*(Financial!W214*Financial!$B$74+Financial!W221*Financial!$B$75)*Financial!W$228*$B$34*0.5/10^9</f>
        <v>13.231774373999997</v>
      </c>
      <c r="X104" s="48">
        <f>($C13-$B13)*(Financial!X214*Financial!$B$74+Financial!X221*Financial!$B$75)*Financial!X$228*$B$34*0.5/10^9</f>
        <v>13.585943312499996</v>
      </c>
      <c r="Y104" s="48">
        <f>($C13-$B13)*(Financial!Y214*Financial!$B$74+Financial!Y221*Financial!$B$75)*Financial!Y$228*$B$34*0.5/10^9</f>
        <v>13.997882436599996</v>
      </c>
      <c r="Z104" s="48">
        <f>($C13-$B13)*(Financial!Z214*Financial!$B$74+Financial!Z221*Financial!$B$75)*Financial!Z$228*$B$34*0.5/10^9</f>
        <v>13.997882436599996</v>
      </c>
      <c r="AA104" s="48">
        <f>($C13-$B13)*(Financial!AA214*Financial!$B$74+Financial!AA221*Financial!$B$75)*Financial!AA$228*$B$34*0.5/10^9</f>
        <v>14.036232799439999</v>
      </c>
      <c r="AB104" s="48">
        <f>($C13-$B13)*(Financial!AB214*Financial!$B$74+Financial!AB221*Financial!$B$75)*Financial!AB$228*$B$34*0.5/10^9</f>
        <v>13.997882436599996</v>
      </c>
      <c r="AC104" s="48">
        <f>($C13-$B13)*(Financial!AC214*Financial!$B$74+Financial!AC221*Financial!$B$75)*Financial!AC$228*$B$34*0.5/10^9</f>
        <v>13.997882436599996</v>
      </c>
      <c r="AD104" s="48">
        <f>($C13-$B13)*(Financial!AD214*Financial!$B$74+Financial!AD221*Financial!$B$75)*Financial!AD$228*$B$34*0.5/10^9</f>
        <v>13.997882436599996</v>
      </c>
      <c r="AE104" s="48">
        <f>($C13-$B13)*(Financial!AE214*Financial!$B$74+Financial!AE221*Financial!$B$75)*Financial!AE$228*$B$34*0.5/10^9</f>
        <v>14.036232799439999</v>
      </c>
      <c r="AF104" s="48">
        <f>($C13-$B13)*(Financial!AF214*Financial!$B$74+Financial!AF221*Financial!$B$75)*Financial!AF$228*$B$34*0.5/10^9</f>
        <v>13.997882436599996</v>
      </c>
      <c r="AG104" s="48">
        <f>($C13-$B13)*(Financial!AG214*Financial!$B$74+Financial!AG221*Financial!$B$75)*Financial!AG$228*$B$34*0.5/10^9</f>
        <v>13.997882436599996</v>
      </c>
      <c r="AH104" s="48">
        <f>($C13-$B13)*(Financial!AH214*Financial!$B$74+Financial!AH221*Financial!$B$75)*Financial!AH$228*$B$34*0.5/10^9</f>
        <v>13.997882436599996</v>
      </c>
      <c r="AI104" s="48">
        <f>($C13-$B13)*(Financial!AI214*Financial!$B$74+Financial!AI221*Financial!$B$75)*Financial!AI$228*$B$34*0.5/10^9</f>
        <v>14.036232799439999</v>
      </c>
      <c r="AJ104" s="48">
        <f>($C13-$B13)*(Financial!AJ214*Financial!$B$74+Financial!AJ221*Financial!$B$75)*Financial!AJ$228*$B$34*0.5/10^9</f>
        <v>13.997882436599996</v>
      </c>
      <c r="AK104" s="48">
        <f>($C13-$B13)*(Financial!AK214*Financial!$B$74+Financial!AK221*Financial!$B$75)*Financial!AK$228*$B$34*0.5/10^9</f>
        <v>13.997882436599996</v>
      </c>
    </row>
    <row r="105" spans="1:37" ht="9.75">
      <c r="A105" s="47" t="s">
        <v>135</v>
      </c>
      <c r="H105" s="48">
        <f>($C14-$B14)*(Financial!H215*Financial!$B$74+Financial!H222*Financial!$B$75)*Financial!H$228*$B$34*0.5/10^9</f>
        <v>8.591052800399998</v>
      </c>
      <c r="I105" s="48">
        <f>($C14-$B14)*(Financial!I215*Financial!$B$74+Financial!I222*Financial!$B$75)*Financial!I$228*$B$34*0.5/10^9</f>
        <v>9.302988424799997</v>
      </c>
      <c r="J105" s="48">
        <f>($C14-$B14)*(Financial!J215*Financial!$B$74+Financial!J222*Financial!$B$75)*Financial!J$228*$B$34*0.5/10^9</f>
        <v>10.072593669599998</v>
      </c>
      <c r="K105" s="48">
        <f>($C14-$B14)*(Financial!K215*Financial!$B$74+Financial!K222*Financial!$B$75)*Financial!K$228*$B$34*0.5/10^9</f>
        <v>10.935310301999998</v>
      </c>
      <c r="L105" s="48">
        <f>($C14-$B14)*(Financial!L215*Financial!$B$74+Financial!L222*Financial!$B$75)*Financial!L$228*$B$34*0.5/10^9</f>
        <v>11.809261610999998</v>
      </c>
      <c r="M105" s="48">
        <f>($C14-$B14)*(Financial!M215*Financial!$B$74+Financial!M222*Financial!$B$75)*Financial!M$228*$B$34*0.5/10^9</f>
        <v>12.7879597776</v>
      </c>
      <c r="N105" s="48">
        <f>($C14-$B14)*(Financial!N215*Financial!$B$74+Financial!N222*Financial!$B$75)*Financial!N$228*$B$34*0.5/10^9</f>
        <v>13.847090774999996</v>
      </c>
      <c r="O105" s="48">
        <f>($C14-$B14)*(Financial!O215*Financial!$B$74+Financial!O222*Financial!$B$75)*Financial!O$228*$B$34*0.5/10^9</f>
        <v>15.035492162879999</v>
      </c>
      <c r="P105" s="48">
        <f>($C14-$B14)*(Financial!P215*Financial!$B$74+Financial!P222*Financial!$B$75)*Financial!P$228*$B$34*0.5/10^9</f>
        <v>15.971607716399996</v>
      </c>
      <c r="Q105" s="48">
        <f>($C14-$B14)*(Financial!Q215*Financial!$B$74+Financial!Q222*Financial!$B$75)*Financial!Q$228*$B$34*0.5/10^9</f>
        <v>17.010859689599997</v>
      </c>
      <c r="R105" s="48">
        <f>($C14-$B14)*(Financial!R215*Financial!$B$74+Financial!R222*Financial!$B$75)*Financial!R$228*$B$34*0.5/10^9</f>
        <v>18.117731372999994</v>
      </c>
      <c r="S105" s="48">
        <f>($C14-$B14)*(Financial!S215*Financial!$B$74+Financial!S222*Financial!$B$75)*Financial!S$228*$B$34*0.5/10^9</f>
        <v>19.348967287439997</v>
      </c>
      <c r="T105" s="48">
        <f>($C14-$B14)*(Financial!T215*Financial!$B$74+Financial!T222*Financial!$B$75)*Financial!T$228*$B$34*0.5/10^9</f>
        <v>20.552040940199998</v>
      </c>
      <c r="U105" s="48">
        <f>($C14-$B14)*(Financial!U215*Financial!$B$74+Financial!U222*Financial!$B$75)*Financial!U$228*$B$34*0.5/10^9</f>
        <v>21.179270342999995</v>
      </c>
      <c r="V105" s="48">
        <f>($C14-$B14)*(Financial!V215*Financial!$B$74+Financial!V222*Financial!$B$75)*Financial!V$228*$B$34*0.5/10^9</f>
        <v>21.841589502599994</v>
      </c>
      <c r="W105" s="48">
        <f>($C14-$B14)*(Financial!W215*Financial!$B$74+Financial!W222*Financial!$B$75)*Financial!W$228*$B$34*0.5/10^9</f>
        <v>22.602948217919995</v>
      </c>
      <c r="X105" s="48">
        <f>($C14-$B14)*(Financial!X215*Financial!$B$74+Financial!X222*Financial!$B$75)*Financial!X$228*$B$34*0.5/10^9</f>
        <v>23.280269531400002</v>
      </c>
      <c r="Y105" s="48">
        <f>($C14-$B14)*(Financial!Y215*Financial!$B$74+Financial!Y222*Financial!$B$75)*Financial!Y$228*$B$34*0.5/10^9</f>
        <v>24.0588235104</v>
      </c>
      <c r="Z105" s="48">
        <f>($C14-$B14)*(Financial!Z215*Financial!$B$74+Financial!Z222*Financial!$B$75)*Financial!Z$228*$B$34*0.5/10^9</f>
        <v>24.0588235104</v>
      </c>
      <c r="AA105" s="48">
        <f>($C14-$B14)*(Financial!AA215*Financial!$B$74+Financial!AA222*Financial!$B$75)*Financial!AA$228*$B$34*0.5/10^9</f>
        <v>24.12473809536</v>
      </c>
      <c r="AB105" s="48">
        <f>($C14-$B14)*(Financial!AB215*Financial!$B$74+Financial!AB222*Financial!$B$75)*Financial!AB$228*$B$34*0.5/10^9</f>
        <v>24.0588235104</v>
      </c>
      <c r="AC105" s="48">
        <f>($C14-$B14)*(Financial!AC215*Financial!$B$74+Financial!AC222*Financial!$B$75)*Financial!AC$228*$B$34*0.5/10^9</f>
        <v>24.0588235104</v>
      </c>
      <c r="AD105" s="48">
        <f>($C14-$B14)*(Financial!AD215*Financial!$B$74+Financial!AD222*Financial!$B$75)*Financial!AD$228*$B$34*0.5/10^9</f>
        <v>24.0588235104</v>
      </c>
      <c r="AE105" s="48">
        <f>($C14-$B14)*(Financial!AE215*Financial!$B$74+Financial!AE222*Financial!$B$75)*Financial!AE$228*$B$34*0.5/10^9</f>
        <v>24.12473809536</v>
      </c>
      <c r="AF105" s="48">
        <f>($C14-$B14)*(Financial!AF215*Financial!$B$74+Financial!AF222*Financial!$B$75)*Financial!AF$228*$B$34*0.5/10^9</f>
        <v>24.0588235104</v>
      </c>
      <c r="AG105" s="48">
        <f>($C14-$B14)*(Financial!AG215*Financial!$B$74+Financial!AG222*Financial!$B$75)*Financial!AG$228*$B$34*0.5/10^9</f>
        <v>24.0588235104</v>
      </c>
      <c r="AH105" s="48">
        <f>($C14-$B14)*(Financial!AH215*Financial!$B$74+Financial!AH222*Financial!$B$75)*Financial!AH$228*$B$34*0.5/10^9</f>
        <v>24.0588235104</v>
      </c>
      <c r="AI105" s="48">
        <f>($C14-$B14)*(Financial!AI215*Financial!$B$74+Financial!AI222*Financial!$B$75)*Financial!AI$228*$B$34*0.5/10^9</f>
        <v>24.12473809536</v>
      </c>
      <c r="AJ105" s="48">
        <f>($C14-$B14)*(Financial!AJ215*Financial!$B$74+Financial!AJ222*Financial!$B$75)*Financial!AJ$228*$B$34*0.5/10^9</f>
        <v>24.0588235104</v>
      </c>
      <c r="AK105" s="48">
        <f>($C14-$B14)*(Financial!AK215*Financial!$B$74+Financial!AK222*Financial!$B$75)*Financial!AK$228*$B$34*0.5/10^9</f>
        <v>24.0588235104</v>
      </c>
    </row>
    <row r="106" spans="1:37" ht="9.75">
      <c r="A106" s="47" t="s">
        <v>136</v>
      </c>
      <c r="H106" s="48">
        <f>($C15-$B15)*(Financial!H216*Financial!$B$74+Financial!H223*Financial!$B$75)*Financial!H$228*$B$34*0.5/10^9</f>
        <v>14.760815277</v>
      </c>
      <c r="I106" s="48">
        <f>($C15-$B15)*(Financial!I216*Financial!$B$74+Financial!I223*Financial!$B$75)*Financial!I$228*$B$34*0.5/10^9</f>
        <v>15.986971748999997</v>
      </c>
      <c r="J106" s="48">
        <f>($C15-$B15)*(Financial!J216*Financial!$B$74+Financial!J223*Financial!$B$75)*Financial!J$228*$B$34*0.5/10^9</f>
        <v>17.315307927</v>
      </c>
      <c r="K106" s="48">
        <f>($C15-$B15)*(Financial!K216*Financial!$B$74+Financial!K223*Financial!$B$75)*Financial!K$228*$B$34*0.5/10^9</f>
        <v>18.806723852399998</v>
      </c>
      <c r="L106" s="48">
        <f>($C15-$B15)*(Financial!L216*Financial!$B$74+Financial!L223*Financial!$B$75)*Financial!L$228*$B$34*0.5/10^9</f>
        <v>20.315335928999996</v>
      </c>
      <c r="M106" s="48">
        <f>($C15-$B15)*(Financial!M216*Financial!$B$74+Financial!M223*Financial!$B$75)*Financial!M$228*$B$34*0.5/10^9</f>
        <v>22.004813180999996</v>
      </c>
      <c r="N106" s="48">
        <f>($C15-$B15)*(Financial!N216*Financial!$B$74+Financial!N223*Financial!$B$75)*Financial!N$228*$B$34*0.5/10^9</f>
        <v>23.833286666999996</v>
      </c>
      <c r="O106" s="48">
        <f>($C15-$B15)*(Financial!O216*Financial!$B$74+Financial!O223*Financial!$B$75)*Financial!O$228*$B$34*0.5/10^9</f>
        <v>25.88513127839999</v>
      </c>
      <c r="P106" s="48">
        <f>($C15-$B15)*(Financial!P216*Financial!$B$74+Financial!P223*Financial!$B$75)*Financial!P$228*$B$34*0.5/10^9</f>
        <v>27.488192120999994</v>
      </c>
      <c r="Q106" s="48">
        <f>($C15-$B15)*(Financial!Q216*Financial!$B$74+Financial!Q223*Financial!$B$75)*Financial!Q$228*$B$34*0.5/10^9</f>
        <v>29.273672621999992</v>
      </c>
      <c r="R106" s="48">
        <f>($C15-$B15)*(Financial!R216*Financial!$B$74+Financial!R223*Financial!$B$75)*Financial!R$228*$B$34*0.5/10^9</f>
        <v>31.17622898999999</v>
      </c>
      <c r="S106" s="48">
        <f>($C15-$B15)*(Financial!S216*Financial!$B$74+Financial!S223*Financial!$B$75)*Financial!S$228*$B$34*0.5/10^9</f>
        <v>33.29095505759999</v>
      </c>
      <c r="T106" s="48">
        <f>($C15-$B15)*(Financial!T216*Financial!$B$74+Financial!T223*Financial!$B$75)*Financial!T$228*$B$34*0.5/10^9</f>
        <v>35.359870304999994</v>
      </c>
      <c r="U106" s="48">
        <f>($C15-$B15)*(Financial!U216*Financial!$B$74+Financial!U223*Financial!$B$75)*Financial!U$228*$B$34*0.5/10^9</f>
        <v>36.317619062999995</v>
      </c>
      <c r="V106" s="48">
        <f>($C15-$B15)*(Financial!V216*Financial!$B$74+Financial!V223*Financial!$B$75)*Financial!V$228*$B$34*0.5/10^9</f>
        <v>37.32917393099999</v>
      </c>
      <c r="W106" s="48">
        <f>($C15-$B15)*(Financial!W216*Financial!$B$74+Financial!W223*Financial!$B$75)*Financial!W$228*$B$34*0.5/10^9</f>
        <v>38.4997254156</v>
      </c>
      <c r="X106" s="48">
        <f>($C15-$B15)*(Financial!X216*Financial!$B$74+Financial!X223*Financial!$B$75)*Financial!X$228*$B$34*0.5/10^9</f>
        <v>39.51908260799999</v>
      </c>
      <c r="Y106" s="48">
        <f>($C15-$B15)*(Financial!Y216*Financial!$B$74+Financial!Y223*Financial!$B$75)*Financial!Y$228*$B$34*0.5/10^9</f>
        <v>40.70819763899999</v>
      </c>
      <c r="Z106" s="48">
        <f>($C15-$B15)*(Financial!Z216*Financial!$B$74+Financial!Z223*Financial!$B$75)*Financial!Z$228*$B$34*0.5/10^9</f>
        <v>40.70819763899999</v>
      </c>
      <c r="AA106" s="48">
        <f>($C15-$B15)*(Financial!AA216*Financial!$B$74+Financial!AA223*Financial!$B$75)*Financial!AA$228*$B$34*0.5/10^9</f>
        <v>40.81972694759999</v>
      </c>
      <c r="AB106" s="48">
        <f>($C15-$B15)*(Financial!AB216*Financial!$B$74+Financial!AB223*Financial!$B$75)*Financial!AB$228*$B$34*0.5/10^9</f>
        <v>40.70819763899999</v>
      </c>
      <c r="AC106" s="48">
        <f>($C15-$B15)*(Financial!AC216*Financial!$B$74+Financial!AC223*Financial!$B$75)*Financial!AC$228*$B$34*0.5/10^9</f>
        <v>40.70819763899999</v>
      </c>
      <c r="AD106" s="48">
        <f>($C15-$B15)*(Financial!AD216*Financial!$B$74+Financial!AD223*Financial!$B$75)*Financial!AD$228*$B$34*0.5/10^9</f>
        <v>40.70819763899999</v>
      </c>
      <c r="AE106" s="48">
        <f>($C15-$B15)*(Financial!AE216*Financial!$B$74+Financial!AE223*Financial!$B$75)*Financial!AE$228*$B$34*0.5/10^9</f>
        <v>40.81972694759999</v>
      </c>
      <c r="AF106" s="48">
        <f>($C15-$B15)*(Financial!AF216*Financial!$B$74+Financial!AF223*Financial!$B$75)*Financial!AF$228*$B$34*0.5/10^9</f>
        <v>40.70819763899999</v>
      </c>
      <c r="AG106" s="48">
        <f>($C15-$B15)*(Financial!AG216*Financial!$B$74+Financial!AG223*Financial!$B$75)*Financial!AG$228*$B$34*0.5/10^9</f>
        <v>40.70819763899999</v>
      </c>
      <c r="AH106" s="48">
        <f>($C15-$B15)*(Financial!AH216*Financial!$B$74+Financial!AH223*Financial!$B$75)*Financial!AH$228*$B$34*0.5/10^9</f>
        <v>40.70819763899999</v>
      </c>
      <c r="AI106" s="48">
        <f>($C15-$B15)*(Financial!AI216*Financial!$B$74+Financial!AI223*Financial!$B$75)*Financial!AI$228*$B$34*0.5/10^9</f>
        <v>40.81972694759999</v>
      </c>
      <c r="AJ106" s="48">
        <f>($C15-$B15)*(Financial!AJ216*Financial!$B$74+Financial!AJ223*Financial!$B$75)*Financial!AJ$228*$B$34*0.5/10^9</f>
        <v>40.70819763899999</v>
      </c>
      <c r="AK106" s="48">
        <f>($C15-$B15)*(Financial!AK216*Financial!$B$74+Financial!AK223*Financial!$B$75)*Financial!AK$228*$B$34*0.5/10^9</f>
        <v>40.70819763899999</v>
      </c>
    </row>
    <row r="107" spans="1:37" ht="9.75">
      <c r="A107" s="50" t="s">
        <v>24</v>
      </c>
      <c r="H107" s="49">
        <f>SUM(H101:H106)</f>
        <v>45.04066166324999</v>
      </c>
      <c r="I107" s="49">
        <f aca="true" t="shared" si="4" ref="I107:AK107">SUM(I101:I106)</f>
        <v>48.78095361124999</v>
      </c>
      <c r="J107" s="49">
        <f t="shared" si="4"/>
        <v>52.83301468924999</v>
      </c>
      <c r="K107" s="49">
        <f t="shared" si="4"/>
        <v>57.37737612983999</v>
      </c>
      <c r="L107" s="49">
        <f t="shared" si="4"/>
        <v>61.974533629299984</v>
      </c>
      <c r="M107" s="49">
        <f t="shared" si="4"/>
        <v>67.12417839629998</v>
      </c>
      <c r="N107" s="49">
        <f t="shared" si="4"/>
        <v>72.70070809569998</v>
      </c>
      <c r="O107" s="49">
        <f t="shared" si="4"/>
        <v>78.95590356767998</v>
      </c>
      <c r="P107" s="49">
        <f t="shared" si="4"/>
        <v>83.85354497954998</v>
      </c>
      <c r="Q107" s="49">
        <f t="shared" si="4"/>
        <v>89.29815222159998</v>
      </c>
      <c r="R107" s="49">
        <f t="shared" si="4"/>
        <v>95.09938170624997</v>
      </c>
      <c r="S107" s="49">
        <f t="shared" si="4"/>
        <v>101.55070763411997</v>
      </c>
      <c r="T107" s="49">
        <f t="shared" si="4"/>
        <v>107.85425460249999</v>
      </c>
      <c r="U107" s="49">
        <f t="shared" si="4"/>
        <v>110.76667376784998</v>
      </c>
      <c r="V107" s="49">
        <f t="shared" si="4"/>
        <v>113.84384292844996</v>
      </c>
      <c r="W107" s="49">
        <f t="shared" si="4"/>
        <v>117.41259143123999</v>
      </c>
      <c r="X107" s="49">
        <f t="shared" si="4"/>
        <v>120.51908342224996</v>
      </c>
      <c r="Y107" s="49">
        <f t="shared" si="4"/>
        <v>124.13726280254997</v>
      </c>
      <c r="Z107" s="49">
        <f t="shared" si="4"/>
        <v>124.13726280254997</v>
      </c>
      <c r="AA107" s="49">
        <f t="shared" si="4"/>
        <v>124.47736489241997</v>
      </c>
      <c r="AB107" s="49">
        <f t="shared" si="4"/>
        <v>124.13726280254997</v>
      </c>
      <c r="AC107" s="49">
        <f t="shared" si="4"/>
        <v>124.13726280254997</v>
      </c>
      <c r="AD107" s="49">
        <f t="shared" si="4"/>
        <v>124.13726280254997</v>
      </c>
      <c r="AE107" s="49">
        <f t="shared" si="4"/>
        <v>124.47736489241997</v>
      </c>
      <c r="AF107" s="49">
        <f t="shared" si="4"/>
        <v>124.13726280254997</v>
      </c>
      <c r="AG107" s="49">
        <f t="shared" si="4"/>
        <v>124.13726280254997</v>
      </c>
      <c r="AH107" s="49">
        <f t="shared" si="4"/>
        <v>124.13726280254997</v>
      </c>
      <c r="AI107" s="49">
        <f t="shared" si="4"/>
        <v>124.47736489241997</v>
      </c>
      <c r="AJ107" s="49">
        <f t="shared" si="4"/>
        <v>124.13726280254997</v>
      </c>
      <c r="AK107" s="49">
        <f t="shared" si="4"/>
        <v>124.13726280254997</v>
      </c>
    </row>
    <row r="108" spans="1:37" ht="9.75">
      <c r="A108" s="1" t="s">
        <v>168</v>
      </c>
      <c r="H108" s="55">
        <f>H107+H99</f>
        <v>405.36595496925</v>
      </c>
      <c r="I108" s="55">
        <f aca="true" t="shared" si="5" ref="I108:AK108">I107+I99</f>
        <v>439.02858250124996</v>
      </c>
      <c r="J108" s="55">
        <f t="shared" si="5"/>
        <v>475.49713220325003</v>
      </c>
      <c r="K108" s="55">
        <f t="shared" si="5"/>
        <v>516.39638516856</v>
      </c>
      <c r="L108" s="55">
        <f t="shared" si="5"/>
        <v>557.7708026637</v>
      </c>
      <c r="M108" s="55">
        <f t="shared" si="5"/>
        <v>604.1176055666999</v>
      </c>
      <c r="N108" s="55">
        <f t="shared" si="5"/>
        <v>654.3063728612999</v>
      </c>
      <c r="O108" s="55">
        <f t="shared" si="5"/>
        <v>710.6031321091201</v>
      </c>
      <c r="P108" s="55">
        <f t="shared" si="5"/>
        <v>754.68190481595</v>
      </c>
      <c r="Q108" s="55">
        <f t="shared" si="5"/>
        <v>803.6833699943999</v>
      </c>
      <c r="R108" s="55">
        <f t="shared" si="5"/>
        <v>855.8944353562499</v>
      </c>
      <c r="S108" s="55">
        <f t="shared" si="5"/>
        <v>913.95636870708</v>
      </c>
      <c r="T108" s="55">
        <f t="shared" si="5"/>
        <v>970.6882914225</v>
      </c>
      <c r="U108" s="55">
        <f t="shared" si="5"/>
        <v>996.9000639106499</v>
      </c>
      <c r="V108" s="55">
        <f t="shared" si="5"/>
        <v>1024.59458635605</v>
      </c>
      <c r="W108" s="55">
        <f t="shared" si="5"/>
        <v>1056.71332288116</v>
      </c>
      <c r="X108" s="55">
        <f t="shared" si="5"/>
        <v>1084.6717508002498</v>
      </c>
      <c r="Y108" s="55">
        <f t="shared" si="5"/>
        <v>1117.2353652229501</v>
      </c>
      <c r="Z108" s="55">
        <f t="shared" si="5"/>
        <v>1117.2353652229501</v>
      </c>
      <c r="AA108" s="55">
        <f t="shared" si="5"/>
        <v>1120.29628403178</v>
      </c>
      <c r="AB108" s="55">
        <f t="shared" si="5"/>
        <v>1117.2353652229501</v>
      </c>
      <c r="AC108" s="55">
        <f t="shared" si="5"/>
        <v>1117.2353652229501</v>
      </c>
      <c r="AD108" s="55">
        <f t="shared" si="5"/>
        <v>1117.2353652229501</v>
      </c>
      <c r="AE108" s="55">
        <f t="shared" si="5"/>
        <v>1120.29628403178</v>
      </c>
      <c r="AF108" s="55">
        <f t="shared" si="5"/>
        <v>1117.2353652229501</v>
      </c>
      <c r="AG108" s="55">
        <f t="shared" si="5"/>
        <v>1117.2353652229501</v>
      </c>
      <c r="AH108" s="55">
        <f t="shared" si="5"/>
        <v>1117.2353652229501</v>
      </c>
      <c r="AI108" s="55">
        <f t="shared" si="5"/>
        <v>1120.29628403178</v>
      </c>
      <c r="AJ108" s="55">
        <f t="shared" si="5"/>
        <v>1117.2353652229501</v>
      </c>
      <c r="AK108" s="55">
        <f t="shared" si="5"/>
        <v>1117.2353652229501</v>
      </c>
    </row>
    <row r="110" ht="9.75">
      <c r="A110" s="1" t="s">
        <v>169</v>
      </c>
    </row>
    <row r="111" spans="1:37" ht="9.75">
      <c r="A111" s="47" t="s">
        <v>62</v>
      </c>
      <c r="H111" s="48">
        <f>$B24*$B17*($B$31*Financial!H211+$B$32*Financial!H218)/60*Financial!H$228*$B$33/10^9</f>
        <v>47.483142</v>
      </c>
      <c r="I111" s="48">
        <f>$B24*$B17*($B$31*Financial!I211+$B$32*Financial!I218)/60*Financial!I$228*$B$33/10^9</f>
        <v>51.47814</v>
      </c>
      <c r="J111" s="48">
        <f>$B24*$B17*($B$31*Financial!J211+$B$32*Financial!J218)/60*Financial!J$228*$B$33/10^9</f>
        <v>55.804266</v>
      </c>
      <c r="K111" s="48">
        <f>$B24*$B17*($B$31*Financial!K211+$B$32*Financial!K218)/60*Financial!K$228*$B$33/10^9</f>
        <v>60.6609864</v>
      </c>
      <c r="L111" s="48">
        <f>$B24*$B17*($B$31*Financial!L211+$B$32*Financial!L218)/60*Financial!L$228*$B$33/10^9</f>
        <v>65.58174</v>
      </c>
      <c r="M111" s="48">
        <f>$B24*$B17*($B$31*Financial!M211+$B$32*Financial!M218)/60*Financial!M$228*$B$33/10^9</f>
        <v>71.091342</v>
      </c>
      <c r="N111" s="48">
        <f>$B24*$B17*($B$31*Financial!N211+$B$32*Financial!N218)/60*Financial!N$228*$B$33/10^9</f>
        <v>77.06391</v>
      </c>
      <c r="O111" s="48">
        <f>$B24*$B17*($B$31*Financial!O211+$B$32*Financial!O218)/60*Financial!O$228*$B$33/10^9</f>
        <v>83.7712512</v>
      </c>
      <c r="P111" s="48">
        <f>$B24*$B17*($B$31*Financial!P211+$B$32*Financial!P218)/60*Financial!P$228*$B$33/10^9</f>
        <v>88.923198</v>
      </c>
      <c r="Q111" s="48">
        <f>$B24*$B17*($B$31*Financial!Q211+$B$32*Financial!Q218)/60*Financial!Q$228*$B$33/10^9</f>
        <v>94.656618</v>
      </c>
      <c r="R111" s="48">
        <f>$B24*$B17*($B$31*Financial!R211+$B$32*Financial!R218)/60*Financial!R$228*$B$33/10^9</f>
        <v>100.757958</v>
      </c>
      <c r="S111" s="48">
        <f>$B24*$B17*($B$31*Financial!S211+$B$32*Financial!S218)/60*Financial!S$228*$B$33/10^9</f>
        <v>107.5455864</v>
      </c>
      <c r="T111" s="48">
        <f>$B24*$B17*($B$31*Financial!T211+$B$32*Financial!T218)/60*Financial!T$228*$B$33/10^9</f>
        <v>114.16251</v>
      </c>
      <c r="U111" s="48">
        <f>$B24*$B17*($B$31*Financial!U211+$B$32*Financial!U218)/60*Financial!U$228*$B$33/10^9</f>
        <v>115.689378</v>
      </c>
      <c r="V111" s="48">
        <f>$B24*$B17*($B$31*Financial!V211+$B$32*Financial!V218)/60*Financial!V$228*$B$33/10^9</f>
        <v>117.302094</v>
      </c>
      <c r="W111" s="48">
        <f>$B24*$B17*($B$31*Financial!W211+$B$32*Financial!W218)/60*Financial!W$228*$B$33/10^9</f>
        <v>119.332836</v>
      </c>
      <c r="X111" s="48">
        <f>$B24*$B17*($B$31*Financial!X211+$B$32*Financial!X218)/60*Financial!X$228*$B$33/10^9</f>
        <v>120.803466</v>
      </c>
      <c r="Y111" s="48">
        <f>$B24*$B17*($B$31*Financial!Y211+$B$32*Financial!Y218)/60*Financial!Y$228*$B$33/10^9</f>
        <v>122.704386</v>
      </c>
      <c r="Z111" s="48">
        <f>$B24*$B17*($B$31*Financial!Z211+$B$32*Financial!Z218)/60*Financial!Z$228*$B$33/10^9</f>
        <v>122.704386</v>
      </c>
      <c r="AA111" s="48">
        <f>$B24*$B17*($B$31*Financial!AA211+$B$32*Financial!AA218)/60*Financial!AA$228*$B$33/10^9</f>
        <v>123.0405624</v>
      </c>
      <c r="AB111" s="48">
        <f>$B24*$B17*($B$31*Financial!AB211+$B$32*Financial!AB218)/60*Financial!AB$228*$B$33/10^9</f>
        <v>122.704386</v>
      </c>
      <c r="AC111" s="48">
        <f>$B24*$B17*($B$31*Financial!AC211+$B$32*Financial!AC218)/60*Financial!AC$228*$B$33/10^9</f>
        <v>122.704386</v>
      </c>
      <c r="AD111" s="48">
        <f>$B24*$B17*($B$31*Financial!AD211+$B$32*Financial!AD218)/60*Financial!AD$228*$B$33/10^9</f>
        <v>122.704386</v>
      </c>
      <c r="AE111" s="48">
        <f>$B24*$B17*($B$31*Financial!AE211+$B$32*Financial!AE218)/60*Financial!AE$228*$B$33/10^9</f>
        <v>123.0405624</v>
      </c>
      <c r="AF111" s="48">
        <f>$B24*$B17*($B$31*Financial!AF211+$B$32*Financial!AF218)/60*Financial!AF$228*$B$33/10^9</f>
        <v>122.704386</v>
      </c>
      <c r="AG111" s="48">
        <f>$B24*$B17*($B$31*Financial!AG211+$B$32*Financial!AG218)/60*Financial!AG$228*$B$33/10^9</f>
        <v>122.704386</v>
      </c>
      <c r="AH111" s="48">
        <f>$B24*$B17*($B$31*Financial!AH211+$B$32*Financial!AH218)/60*Financial!AH$228*$B$33/10^9</f>
        <v>122.704386</v>
      </c>
      <c r="AI111" s="48">
        <f>$B24*$B17*($B$31*Financial!AI211+$B$32*Financial!AI218)/60*Financial!AI$228*$B$33/10^9</f>
        <v>123.0405624</v>
      </c>
      <c r="AJ111" s="48">
        <f>$B24*$B17*($B$31*Financial!AJ211+$B$32*Financial!AJ218)/60*Financial!AJ$228*$B$33/10^9</f>
        <v>122.704386</v>
      </c>
      <c r="AK111" s="48">
        <f>$B24*$B17*($B$31*Financial!AK211+$B$32*Financial!AK218)/60*Financial!AK$228*$B$33/10^9</f>
        <v>122.704386</v>
      </c>
    </row>
    <row r="112" spans="1:37" ht="9.75">
      <c r="A112" s="47" t="s">
        <v>132</v>
      </c>
      <c r="H112" s="48">
        <f>$B25*$B18*($B$31*Financial!H212+$B$32*Financial!H219)/60*Financial!H$228*$B$33/10^9</f>
        <v>62.88147</v>
      </c>
      <c r="I112" s="48">
        <f>$B25*$B18*($B$31*Financial!I212+$B$32*Financial!I219)/60*Financial!I$228*$B$33/10^9</f>
        <v>68.147325</v>
      </c>
      <c r="J112" s="48">
        <f>$B25*$B18*($B$31*Financial!J212+$B$32*Financial!J219)/60*Financial!J$228*$B$33/10^9</f>
        <v>73.863225</v>
      </c>
      <c r="K112" s="48">
        <f>$B25*$B18*($B$31*Financial!K212+$B$32*Financial!K219)/60*Financial!K$228*$B$33/10^9</f>
        <v>80.278074</v>
      </c>
      <c r="L112" s="48">
        <f>$B25*$B18*($B$31*Financial!L212+$B$32*Financial!L219)/60*Financial!L$228*$B$33/10^9</f>
        <v>86.766705</v>
      </c>
      <c r="M112" s="48">
        <f>$B25*$B18*($B$31*Financial!M212+$B$32*Financial!M219)/60*Financial!M$228*$B$33/10^9</f>
        <v>94.039695</v>
      </c>
      <c r="N112" s="48">
        <f>$B25*$B18*($B$31*Financial!N212+$B$32*Financial!N219)/60*Financial!N$228*$B$33/10^9</f>
        <v>101.92041</v>
      </c>
      <c r="O112" s="48">
        <f>$B25*$B18*($B$31*Financial!O212+$B$32*Financial!O219)/60*Financial!O$228*$B$33/10^9</f>
        <v>110.773926</v>
      </c>
      <c r="P112" s="48">
        <f>$B25*$B18*($B$31*Financial!P212+$B$32*Financial!P219)/60*Financial!P$228*$B$33/10^9</f>
        <v>117.606285</v>
      </c>
      <c r="Q112" s="48">
        <f>$B25*$B18*($B$31*Financial!Q212+$B$32*Financial!Q219)/60*Financial!Q$228*$B$33/10^9</f>
        <v>125.194635</v>
      </c>
      <c r="R112" s="48">
        <f>$B25*$B18*($B$31*Financial!R212+$B$32*Financial!R219)/60*Financial!R$228*$B$33/10^9</f>
        <v>133.27245</v>
      </c>
      <c r="S112" s="48">
        <f>$B25*$B18*($B$31*Financial!S212+$B$32*Financial!S219)/60*Financial!S$228*$B$33/10^9</f>
        <v>142.271154</v>
      </c>
      <c r="T112" s="48">
        <f>$B25*$B18*($B$31*Financial!T212+$B$32*Financial!T219)/60*Financial!T$228*$B$33/10^9</f>
        <v>151.041015</v>
      </c>
      <c r="U112" s="48">
        <f>$B25*$B18*($B$31*Financial!U212+$B$32*Financial!U219)/60*Financial!U$228*$B$33/10^9</f>
        <v>153.458775</v>
      </c>
      <c r="V112" s="48">
        <f>$B25*$B18*($B$31*Financial!V212+$B$32*Financial!V219)/60*Financial!V$228*$B$33/10^9</f>
        <v>156.014505</v>
      </c>
      <c r="W112" s="48">
        <f>$B25*$B18*($B$31*Financial!W212+$B$32*Financial!W219)/60*Financial!W$228*$B$33/10^9</f>
        <v>159.14961</v>
      </c>
      <c r="X112" s="48">
        <f>$B25*$B18*($B$31*Financial!X212+$B$32*Financial!X219)/60*Financial!X$228*$B$33/10^9</f>
        <v>161.566155</v>
      </c>
      <c r="Y112" s="48">
        <f>$B25*$B18*($B$31*Financial!Y212+$B$32*Financial!Y219)/60*Financial!Y$228*$B$33/10^9</f>
        <v>164.575215</v>
      </c>
      <c r="Z112" s="48">
        <f>$B25*$B18*($B$31*Financial!Z212+$B$32*Financial!Z219)/60*Financial!Z$228*$B$33/10^9</f>
        <v>164.575215</v>
      </c>
      <c r="AA112" s="48">
        <f>$B25*$B18*($B$31*Financial!AA212+$B$32*Financial!AA219)/60*Financial!AA$228*$B$33/10^9</f>
        <v>165.026106</v>
      </c>
      <c r="AB112" s="48">
        <f>$B25*$B18*($B$31*Financial!AB212+$B$32*Financial!AB219)/60*Financial!AB$228*$B$33/10^9</f>
        <v>164.575215</v>
      </c>
      <c r="AC112" s="48">
        <f>$B25*$B18*($B$31*Financial!AC212+$B$32*Financial!AC219)/60*Financial!AC$228*$B$33/10^9</f>
        <v>164.575215</v>
      </c>
      <c r="AD112" s="48">
        <f>$B25*$B18*($B$31*Financial!AD212+$B$32*Financial!AD219)/60*Financial!AD$228*$B$33/10^9</f>
        <v>164.575215</v>
      </c>
      <c r="AE112" s="48">
        <f>$B25*$B18*($B$31*Financial!AE212+$B$32*Financial!AE219)/60*Financial!AE$228*$B$33/10^9</f>
        <v>165.026106</v>
      </c>
      <c r="AF112" s="48">
        <f>$B25*$B18*($B$31*Financial!AF212+$B$32*Financial!AF219)/60*Financial!AF$228*$B$33/10^9</f>
        <v>164.575215</v>
      </c>
      <c r="AG112" s="48">
        <f>$B25*$B18*($B$31*Financial!AG212+$B$32*Financial!AG219)/60*Financial!AG$228*$B$33/10^9</f>
        <v>164.575215</v>
      </c>
      <c r="AH112" s="48">
        <f>$B25*$B18*($B$31*Financial!AH212+$B$32*Financial!AH219)/60*Financial!AH$228*$B$33/10^9</f>
        <v>164.575215</v>
      </c>
      <c r="AI112" s="48">
        <f>$B25*$B18*($B$31*Financial!AI212+$B$32*Financial!AI219)/60*Financial!AI$228*$B$33/10^9</f>
        <v>165.026106</v>
      </c>
      <c r="AJ112" s="48">
        <f>$B25*$B18*($B$31*Financial!AJ212+$B$32*Financial!AJ219)/60*Financial!AJ$228*$B$33/10^9</f>
        <v>164.575215</v>
      </c>
      <c r="AK112" s="48">
        <f>$B25*$B18*($B$31*Financial!AK212+$B$32*Financial!AK219)/60*Financial!AK$228*$B$33/10^9</f>
        <v>164.575215</v>
      </c>
    </row>
    <row r="113" spans="1:37" ht="9.75">
      <c r="A113" s="47" t="s">
        <v>133</v>
      </c>
      <c r="H113" s="48">
        <f>$B26*$B19*($B$31*Financial!H213+$B$32*Financial!H220)/60*Financial!H$228*$B$33/10^9</f>
        <v>73.85994</v>
      </c>
      <c r="I113" s="48">
        <f>$B26*$B19*($B$31*Financial!I213+$B$32*Financial!I220)/60*Financial!I$228*$B$33/10^9</f>
        <v>80.031798</v>
      </c>
      <c r="J113" s="48">
        <f>$B26*$B19*($B$31*Financial!J213+$B$32*Financial!J220)/60*Financial!J$228*$B$33/10^9</f>
        <v>86.73714</v>
      </c>
      <c r="K113" s="48">
        <f>$B26*$B19*($B$31*Financial!K213+$B$32*Financial!K220)/60*Financial!K$228*$B$33/10^9</f>
        <v>94.2518808</v>
      </c>
      <c r="L113" s="48">
        <f>$B26*$B19*($B$31*Financial!L213+$B$32*Financial!L220)/60*Financial!L$228*$B$33/10^9</f>
        <v>101.849454</v>
      </c>
      <c r="M113" s="48">
        <f>$B26*$B19*($B$31*Financial!M213+$B$32*Financial!M220)/60*Financial!M$228*$B$33/10^9</f>
        <v>110.376</v>
      </c>
      <c r="N113" s="48">
        <f>$B26*$B19*($B$31*Financial!N213+$B$32*Financial!N220)/60*Financial!N$228*$B$33/10^9</f>
        <v>119.629188</v>
      </c>
      <c r="O113" s="48">
        <f>$B26*$B19*($B$31*Financial!O213+$B$32*Financial!O220)/60*Financial!O$228*$B$33/10^9</f>
        <v>129.9825576</v>
      </c>
      <c r="P113" s="48">
        <f>$B26*$B19*($B$31*Financial!P213+$B$32*Financial!P220)/60*Financial!P$228*$B$33/10^9</f>
        <v>138.006792</v>
      </c>
      <c r="Q113" s="48">
        <f>$B26*$B19*($B$31*Financial!Q213+$B$32*Financial!Q220)/60*Financial!Q$228*$B$33/10^9</f>
        <v>146.910456</v>
      </c>
      <c r="R113" s="48">
        <f>$B26*$B19*($B$31*Financial!R213+$B$32*Financial!R220)/60*Financial!R$228*$B$33/10^9</f>
        <v>156.402792</v>
      </c>
      <c r="S113" s="48">
        <f>$B26*$B19*($B$31*Financial!S213+$B$32*Financial!S220)/60*Financial!S$228*$B$33/10^9</f>
        <v>166.9491432</v>
      </c>
      <c r="T113" s="48">
        <f>$B26*$B19*($B$31*Financial!T213+$B$32*Financial!T220)/60*Financial!T$228*$B$33/10^9</f>
        <v>177.24546</v>
      </c>
      <c r="U113" s="48">
        <f>$B26*$B19*($B$31*Financial!U213+$B$32*Financial!U220)/60*Financial!U$228*$B$33/10^9</f>
        <v>180.354384</v>
      </c>
      <c r="V113" s="48">
        <f>$B26*$B19*($B$31*Financial!V213+$B$32*Financial!V220)/60*Financial!V$228*$B$33/10^9</f>
        <v>183.647268</v>
      </c>
      <c r="W113" s="48">
        <f>$B26*$B19*($B$31*Financial!W213+$B$32*Financial!W220)/60*Financial!W$228*$B$33/10^9</f>
        <v>187.6367808</v>
      </c>
      <c r="X113" s="48">
        <f>$B26*$B19*($B$31*Financial!X213+$B$32*Financial!X220)/60*Financial!X$228*$B$33/10^9</f>
        <v>190.784916</v>
      </c>
      <c r="Y113" s="48">
        <f>$B26*$B19*($B$31*Financial!Y213+$B$32*Financial!Y220)/60*Financial!Y$228*$B$33/10^9</f>
        <v>194.648076</v>
      </c>
      <c r="Z113" s="48">
        <f>$B26*$B19*($B$31*Financial!Z213+$B$32*Financial!Z220)/60*Financial!Z$228*$B$33/10^9</f>
        <v>194.648076</v>
      </c>
      <c r="AA113" s="48">
        <f>$B26*$B19*($B$31*Financial!AA213+$B$32*Financial!AA220)/60*Financial!AA$228*$B$33/10^9</f>
        <v>195.1813584</v>
      </c>
      <c r="AB113" s="48">
        <f>$B26*$B19*($B$31*Financial!AB213+$B$32*Financial!AB220)/60*Financial!AB$228*$B$33/10^9</f>
        <v>194.648076</v>
      </c>
      <c r="AC113" s="48">
        <f>$B26*$B19*($B$31*Financial!AC213+$B$32*Financial!AC220)/60*Financial!AC$228*$B$33/10^9</f>
        <v>194.648076</v>
      </c>
      <c r="AD113" s="48">
        <f>$B26*$B19*($B$31*Financial!AD213+$B$32*Financial!AD220)/60*Financial!AD$228*$B$33/10^9</f>
        <v>194.648076</v>
      </c>
      <c r="AE113" s="48">
        <f>$B26*$B19*($B$31*Financial!AE213+$B$32*Financial!AE220)/60*Financial!AE$228*$B$33/10^9</f>
        <v>195.1813584</v>
      </c>
      <c r="AF113" s="48">
        <f>$B26*$B19*($B$31*Financial!AF213+$B$32*Financial!AF220)/60*Financial!AF$228*$B$33/10^9</f>
        <v>194.648076</v>
      </c>
      <c r="AG113" s="48">
        <f>$B26*$B19*($B$31*Financial!AG213+$B$32*Financial!AG220)/60*Financial!AG$228*$B$33/10^9</f>
        <v>194.648076</v>
      </c>
      <c r="AH113" s="48">
        <f>$B26*$B19*($B$31*Financial!AH213+$B$32*Financial!AH220)/60*Financial!AH$228*$B$33/10^9</f>
        <v>194.648076</v>
      </c>
      <c r="AI113" s="48">
        <f>$B26*$B19*($B$31*Financial!AI213+$B$32*Financial!AI220)/60*Financial!AI$228*$B$33/10^9</f>
        <v>195.1813584</v>
      </c>
      <c r="AJ113" s="48">
        <f>$B26*$B19*($B$31*Financial!AJ213+$B$32*Financial!AJ220)/60*Financial!AJ$228*$B$33/10^9</f>
        <v>194.648076</v>
      </c>
      <c r="AK113" s="48">
        <f>$B26*$B19*($B$31*Financial!AK213+$B$32*Financial!AK220)/60*Financial!AK$228*$B$33/10^9</f>
        <v>194.648076</v>
      </c>
    </row>
    <row r="114" spans="1:37" ht="9.75">
      <c r="A114" s="47" t="s">
        <v>134</v>
      </c>
      <c r="H114" s="48">
        <f>$B27*$B20*($B$31*Financial!H214+$B$32*Financial!H221)/60*Financial!H$228*$B$33/10^9</f>
        <v>7.4668488</v>
      </c>
      <c r="I114" s="48">
        <f>$B27*$B20*($B$31*Financial!I214+$B$32*Financial!I221)/60*Financial!I$228*$B$33/10^9</f>
        <v>8.0923128</v>
      </c>
      <c r="J114" s="48">
        <f>$B27*$B20*($B$31*Financial!J214+$B$32*Financial!J221)/60*Financial!J$228*$B$33/10^9</f>
        <v>8.77019664</v>
      </c>
      <c r="K114" s="48">
        <f>$B27*$B20*($B$31*Financial!K214+$B$32*Financial!K221)/60*Financial!K$228*$B$33/10^9</f>
        <v>9.53011296</v>
      </c>
      <c r="L114" s="48">
        <f>$B27*$B20*($B$31*Financial!L214+$B$32*Financial!L221)/60*Financial!L$228*$B$33/10^9</f>
        <v>10.29990288</v>
      </c>
      <c r="M114" s="48">
        <f>$B27*$B20*($B$31*Financial!M214+$B$32*Financial!M221)/60*Financial!M$228*$B$33/10^9</f>
        <v>11.16066048</v>
      </c>
      <c r="N114" s="48">
        <f>$B27*$B20*($B$31*Financial!N214+$B$32*Financial!N221)/60*Financial!N$228*$B$33/10^9</f>
        <v>12.09409104</v>
      </c>
      <c r="O114" s="48">
        <f>$B27*$B20*($B$31*Financial!O214+$B$32*Financial!O221)/60*Financial!O$228*$B$33/10^9</f>
        <v>13.142655936</v>
      </c>
      <c r="P114" s="48">
        <f>$B27*$B20*($B$31*Financial!P214+$B$32*Financial!P221)/60*Financial!P$228*$B$33/10^9</f>
        <v>13.95439968</v>
      </c>
      <c r="Q114" s="48">
        <f>$B27*$B20*($B$31*Financial!Q214+$B$32*Financial!Q221)/60*Financial!Q$228*$B$33/10^9</f>
        <v>14.85685488</v>
      </c>
      <c r="R114" s="48">
        <f>$B27*$B20*($B$31*Financial!R214+$B$32*Financial!R221)/60*Financial!R$228*$B$33/10^9</f>
        <v>15.81768672</v>
      </c>
      <c r="S114" s="48">
        <f>$B27*$B20*($B$31*Financial!S214+$B$32*Financial!S221)/60*Financial!S$228*$B$33/10^9</f>
        <v>16.887204864</v>
      </c>
      <c r="T114" s="48">
        <f>$B27*$B20*($B$31*Financial!T214+$B$32*Financial!T221)/60*Financial!T$228*$B$33/10^9</f>
        <v>17.929968</v>
      </c>
      <c r="U114" s="48">
        <f>$B27*$B20*($B$31*Financial!U214+$B$32*Financial!U221)/60*Financial!U$228*$B$33/10^9</f>
        <v>18.25878336</v>
      </c>
      <c r="V114" s="48">
        <f>$B27*$B20*($B$31*Financial!V214+$B$32*Financial!V221)/60*Financial!V$228*$B$33/10^9</f>
        <v>18.60546912</v>
      </c>
      <c r="W114" s="48">
        <f>$B27*$B20*($B$31*Financial!W214+$B$32*Financial!W221)/60*Financial!W$228*$B$33/10^9</f>
        <v>19.0243872</v>
      </c>
      <c r="X114" s="48">
        <f>$B27*$B20*($B$31*Financial!X214+$B$32*Financial!X221)/60*Financial!X$228*$B$33/10^9</f>
        <v>19.3596</v>
      </c>
      <c r="Y114" s="48">
        <f>$B27*$B20*($B$31*Financial!Y214+$B$32*Financial!Y221)/60*Financial!Y$228*$B$33/10^9</f>
        <v>19.76823648</v>
      </c>
      <c r="Z114" s="48">
        <f>$B27*$B20*($B$31*Financial!Z214+$B$32*Financial!Z221)/60*Financial!Z$228*$B$33/10^9</f>
        <v>19.76823648</v>
      </c>
      <c r="AA114" s="48">
        <f>$B27*$B20*($B$31*Financial!AA214+$B$32*Financial!AA221)/60*Financial!AA$228*$B$33/10^9</f>
        <v>19.822396032</v>
      </c>
      <c r="AB114" s="48">
        <f>$B27*$B20*($B$31*Financial!AB214+$B$32*Financial!AB221)/60*Financial!AB$228*$B$33/10^9</f>
        <v>19.76823648</v>
      </c>
      <c r="AC114" s="48">
        <f>$B27*$B20*($B$31*Financial!AC214+$B$32*Financial!AC221)/60*Financial!AC$228*$B$33/10^9</f>
        <v>19.76823648</v>
      </c>
      <c r="AD114" s="48">
        <f>$B27*$B20*($B$31*Financial!AD214+$B$32*Financial!AD221)/60*Financial!AD$228*$B$33/10^9</f>
        <v>19.76823648</v>
      </c>
      <c r="AE114" s="48">
        <f>$B27*$B20*($B$31*Financial!AE214+$B$32*Financial!AE221)/60*Financial!AE$228*$B$33/10^9</f>
        <v>19.822396032</v>
      </c>
      <c r="AF114" s="48">
        <f>$B27*$B20*($B$31*Financial!AF214+$B$32*Financial!AF221)/60*Financial!AF$228*$B$33/10^9</f>
        <v>19.76823648</v>
      </c>
      <c r="AG114" s="48">
        <f>$B27*$B20*($B$31*Financial!AG214+$B$32*Financial!AG221)/60*Financial!AG$228*$B$33/10^9</f>
        <v>19.76823648</v>
      </c>
      <c r="AH114" s="48">
        <f>$B27*$B20*($B$31*Financial!AH214+$B$32*Financial!AH221)/60*Financial!AH$228*$B$33/10^9</f>
        <v>19.76823648</v>
      </c>
      <c r="AI114" s="48">
        <f>$B27*$B20*($B$31*Financial!AI214+$B$32*Financial!AI221)/60*Financial!AI$228*$B$33/10^9</f>
        <v>19.822396032</v>
      </c>
      <c r="AJ114" s="48">
        <f>$B27*$B20*($B$31*Financial!AJ214+$B$32*Financial!AJ221)/60*Financial!AJ$228*$B$33/10^9</f>
        <v>19.76823648</v>
      </c>
      <c r="AK114" s="48">
        <f>$B27*$B20*($B$31*Financial!AK214+$B$32*Financial!AK221)/60*Financial!AK$228*$B$33/10^9</f>
        <v>19.76823648</v>
      </c>
    </row>
    <row r="115" spans="1:37" ht="9.75">
      <c r="A115" s="47" t="s">
        <v>135</v>
      </c>
      <c r="H115" s="48">
        <f>$B28*$B21*($B$31*Financial!H215+$B$32*Financial!H222)/60*Financial!H$228*$B$33/10^9</f>
        <v>22.2407056</v>
      </c>
      <c r="I115" s="48">
        <f>$B28*$B21*($B$31*Financial!I215+$B$32*Financial!I222)/60*Financial!I$228*$B$33/10^9</f>
        <v>24.0992272</v>
      </c>
      <c r="J115" s="48">
        <f>$B28*$B21*($B$31*Financial!J215+$B$32*Financial!J222)/60*Financial!J$228*$B$33/10^9</f>
        <v>26.1086544</v>
      </c>
      <c r="K115" s="48">
        <f>$B28*$B21*($B$31*Financial!K215+$B$32*Financial!K222)/60*Financial!K$228*$B$33/10^9</f>
        <v>28.3623648</v>
      </c>
      <c r="L115" s="48">
        <f>$B28*$B21*($B$31*Financial!L215+$B$32*Financial!L222)/60*Financial!L$228*$B$33/10^9</f>
        <v>30.647736</v>
      </c>
      <c r="M115" s="48">
        <f>$B28*$B21*($B$31*Financial!M215+$B$32*Financial!M222)/60*Financial!M$228*$B$33/10^9</f>
        <v>33.2071744</v>
      </c>
      <c r="N115" s="48">
        <f>$B28*$B21*($B$31*Financial!N215+$B$32*Financial!N222)/60*Financial!N$228*$B$33/10^9</f>
        <v>35.979072</v>
      </c>
      <c r="O115" s="48">
        <f>$B28*$B21*($B$31*Financial!O215+$B$32*Financial!O222)/60*Financial!O$228*$B$33/10^9</f>
        <v>39.09008832</v>
      </c>
      <c r="P115" s="48">
        <f>$B28*$B21*($B$31*Financial!P215+$B$32*Financial!P222)/60*Financial!P$228*$B$33/10^9</f>
        <v>41.5109536</v>
      </c>
      <c r="Q115" s="48">
        <f>$B28*$B21*($B$31*Financial!Q215+$B$32*Financial!Q222)/60*Financial!Q$228*$B$33/10^9</f>
        <v>44.1974704</v>
      </c>
      <c r="R115" s="48">
        <f>$B28*$B21*($B$31*Financial!R215+$B$32*Financial!R222)/60*Financial!R$228*$B$33/10^9</f>
        <v>47.05872</v>
      </c>
      <c r="S115" s="48">
        <f>$B28*$B21*($B$31*Financial!S215+$B$32*Financial!S222)/60*Financial!S$228*$B$33/10^9</f>
        <v>50.24190336</v>
      </c>
      <c r="T115" s="48">
        <f>$B28*$B21*($B$31*Financial!T215+$B$32*Financial!T222)/60*Financial!T$228*$B$33/10^9</f>
        <v>53.3491008</v>
      </c>
      <c r="U115" s="48">
        <f>$B28*$B21*($B$31*Financial!U215+$B$32*Financial!U222)/60*Financial!U$228*$B$33/10^9</f>
        <v>54.484864</v>
      </c>
      <c r="V115" s="48">
        <f>$B28*$B21*($B$31*Financial!V215+$B$32*Financial!V222)/60*Financial!V$228*$B$33/10^9</f>
        <v>55.6841664</v>
      </c>
      <c r="W115" s="48">
        <f>$B28*$B21*($B$31*Financial!W215+$B$32*Financial!W222)/60*Financial!W$228*$B$33/10^9</f>
        <v>57.10700928</v>
      </c>
      <c r="X115" s="48">
        <f>$B28*$B21*($B$31*Financial!X215+$B$32*Financial!X222)/60*Financial!X$228*$B$33/10^9</f>
        <v>58.2892736</v>
      </c>
      <c r="Y115" s="48">
        <f>$B28*$B21*($B$31*Financial!Y215+$B$32*Financial!Y222)/60*Financial!Y$228*$B$33/10^9</f>
        <v>59.6990496</v>
      </c>
      <c r="Z115" s="48">
        <f>$B28*$B21*($B$31*Financial!Z215+$B$32*Financial!Z222)/60*Financial!Z$228*$B$33/10^9</f>
        <v>59.6990496</v>
      </c>
      <c r="AA115" s="48">
        <f>$B28*$B21*($B$31*Financial!AA215+$B$32*Financial!AA222)/60*Financial!AA$228*$B$33/10^9</f>
        <v>59.86260864</v>
      </c>
      <c r="AB115" s="48">
        <f>$B28*$B21*($B$31*Financial!AB215+$B$32*Financial!AB222)/60*Financial!AB$228*$B$33/10^9</f>
        <v>59.6990496</v>
      </c>
      <c r="AC115" s="48">
        <f>$B28*$B21*($B$31*Financial!AC215+$B$32*Financial!AC222)/60*Financial!AC$228*$B$33/10^9</f>
        <v>59.6990496</v>
      </c>
      <c r="AD115" s="48">
        <f>$B28*$B21*($B$31*Financial!AD215+$B$32*Financial!AD222)/60*Financial!AD$228*$B$33/10^9</f>
        <v>59.6990496</v>
      </c>
      <c r="AE115" s="48">
        <f>$B28*$B21*($B$31*Financial!AE215+$B$32*Financial!AE222)/60*Financial!AE$228*$B$33/10^9</f>
        <v>59.86260864</v>
      </c>
      <c r="AF115" s="48">
        <f>$B28*$B21*($B$31*Financial!AF215+$B$32*Financial!AF222)/60*Financial!AF$228*$B$33/10^9</f>
        <v>59.6990496</v>
      </c>
      <c r="AG115" s="48">
        <f>$B28*$B21*($B$31*Financial!AG215+$B$32*Financial!AG222)/60*Financial!AG$228*$B$33/10^9</f>
        <v>59.6990496</v>
      </c>
      <c r="AH115" s="48">
        <f>$B28*$B21*($B$31*Financial!AH215+$B$32*Financial!AH222)/60*Financial!AH$228*$B$33/10^9</f>
        <v>59.6990496</v>
      </c>
      <c r="AI115" s="48">
        <f>$B28*$B21*($B$31*Financial!AI215+$B$32*Financial!AI222)/60*Financial!AI$228*$B$33/10^9</f>
        <v>59.86260864</v>
      </c>
      <c r="AJ115" s="48">
        <f>$B28*$B21*($B$31*Financial!AJ215+$B$32*Financial!AJ222)/60*Financial!AJ$228*$B$33/10^9</f>
        <v>59.6990496</v>
      </c>
      <c r="AK115" s="48">
        <f>$B28*$B21*($B$31*Financial!AK215+$B$32*Financial!AK222)/60*Financial!AK$228*$B$33/10^9</f>
        <v>59.6990496</v>
      </c>
    </row>
    <row r="116" spans="1:37" ht="9.75">
      <c r="A116" s="47" t="s">
        <v>136</v>
      </c>
      <c r="H116" s="48">
        <f>$B29*$B22*($B$31*Financial!H216+$B$32*Financial!H223)/60*Financial!H$228*$B$33/10^9</f>
        <v>41.9564288</v>
      </c>
      <c r="I116" s="48">
        <f>$B29*$B22*($B$31*Financial!I216+$B$32*Financial!I223)/60*Financial!I$228*$B$33/10^9</f>
        <v>45.4716416</v>
      </c>
      <c r="J116" s="48">
        <f>$B29*$B22*($B$31*Financial!J216+$B$32*Financial!J223)/60*Financial!J$228*$B$33/10^9</f>
        <v>49.2797888</v>
      </c>
      <c r="K116" s="48">
        <f>$B29*$B22*($B$31*Financial!K216+$B$32*Financial!K223)/60*Financial!K$228*$B$33/10^9</f>
        <v>53.55288576</v>
      </c>
      <c r="L116" s="48">
        <f>$B29*$B22*($B$31*Financial!L216+$B$32*Financial!L223)/60*Financial!L$228*$B$33/10^9</f>
        <v>57.8828096</v>
      </c>
      <c r="M116" s="48">
        <f>$B29*$B22*($B$31*Financial!M216+$B$32*Financial!M223)/60*Financial!M$228*$B$33/10^9</f>
        <v>62.7342144</v>
      </c>
      <c r="N116" s="48">
        <f>$B29*$B22*($B$31*Financial!N216+$B$32*Financial!N223)/60*Financial!N$228*$B$33/10^9</f>
        <v>67.9864768</v>
      </c>
      <c r="O116" s="48">
        <f>$B29*$B22*($B$31*Financial!O216+$B$32*Financial!O223)/60*Financial!O$228*$B$33/10^9</f>
        <v>73.88257536</v>
      </c>
      <c r="P116" s="48">
        <f>$B29*$B22*($B$31*Financial!P216+$B$32*Financial!P223)/60*Financial!P$228*$B$33/10^9</f>
        <v>78.4344704</v>
      </c>
      <c r="Q116" s="48">
        <f>$B29*$B22*($B$31*Financial!Q216+$B$32*Financial!Q223)/60*Financial!Q$228*$B$33/10^9</f>
        <v>83.5068608</v>
      </c>
      <c r="R116" s="48">
        <f>$B29*$B22*($B$31*Financial!R216+$B$32*Financial!R223)/60*Financial!R$228*$B$33/10^9</f>
        <v>88.90816</v>
      </c>
      <c r="S116" s="48">
        <f>$B29*$B22*($B$31*Financial!S216+$B$32*Financial!S223)/60*Financial!S$228*$B$33/10^9</f>
        <v>94.91311104</v>
      </c>
      <c r="T116" s="48">
        <f>$B29*$B22*($B$31*Financial!T216+$B$32*Financial!T223)/60*Financial!T$228*$B$33/10^9</f>
        <v>100.779712</v>
      </c>
      <c r="U116" s="48">
        <f>$B29*$B22*($B$31*Financial!U216+$B$32*Financial!U223)/60*Financial!U$228*$B$33/10^9</f>
        <v>102.6092672</v>
      </c>
      <c r="V116" s="48">
        <f>$B29*$B22*($B$31*Financial!V216+$B$32*Financial!V223)/60*Financial!V$228*$B$33/10^9</f>
        <v>104.5416064</v>
      </c>
      <c r="W116" s="48">
        <f>$B29*$B22*($B$31*Financial!W216+$B$32*Financial!W223)/60*Financial!W$228*$B$33/10^9</f>
        <v>106.86872064</v>
      </c>
      <c r="X116" s="48">
        <f>$B29*$B22*($B$31*Financial!X216+$B$32*Financial!X223)/60*Financial!X$228*$B$33/10^9</f>
        <v>108.7249152</v>
      </c>
      <c r="Y116" s="48">
        <f>$B29*$B22*($B$31*Financial!Y216+$B$32*Financial!Y223)/60*Financial!Y$228*$B$33/10^9</f>
        <v>110.9964416</v>
      </c>
      <c r="Z116" s="48">
        <f>$B29*$B22*($B$31*Financial!Z216+$B$32*Financial!Z223)/60*Financial!Z$228*$B$33/10^9</f>
        <v>110.9964416</v>
      </c>
      <c r="AA116" s="48">
        <f>$B29*$B22*($B$31*Financial!AA216+$B$32*Financial!AA223)/60*Financial!AA$228*$B$33/10^9</f>
        <v>111.30054144</v>
      </c>
      <c r="AB116" s="48">
        <f>$B29*$B22*($B$31*Financial!AB216+$B$32*Financial!AB223)/60*Financial!AB$228*$B$33/10^9</f>
        <v>110.9964416</v>
      </c>
      <c r="AC116" s="48">
        <f>$B29*$B22*($B$31*Financial!AC216+$B$32*Financial!AC223)/60*Financial!AC$228*$B$33/10^9</f>
        <v>110.9964416</v>
      </c>
      <c r="AD116" s="48">
        <f>$B29*$B22*($B$31*Financial!AD216+$B$32*Financial!AD223)/60*Financial!AD$228*$B$33/10^9</f>
        <v>110.9964416</v>
      </c>
      <c r="AE116" s="48">
        <f>$B29*$B22*($B$31*Financial!AE216+$B$32*Financial!AE223)/60*Financial!AE$228*$B$33/10^9</f>
        <v>111.30054144</v>
      </c>
      <c r="AF116" s="48">
        <f>$B29*$B22*($B$31*Financial!AF216+$B$32*Financial!AF223)/60*Financial!AF$228*$B$33/10^9</f>
        <v>110.9964416</v>
      </c>
      <c r="AG116" s="48">
        <f>$B29*$B22*($B$31*Financial!AG216+$B$32*Financial!AG223)/60*Financial!AG$228*$B$33/10^9</f>
        <v>110.9964416</v>
      </c>
      <c r="AH116" s="48">
        <f>$B29*$B22*($B$31*Financial!AH216+$B$32*Financial!AH223)/60*Financial!AH$228*$B$33/10^9</f>
        <v>110.9964416</v>
      </c>
      <c r="AI116" s="48">
        <f>$B29*$B22*($B$31*Financial!AI216+$B$32*Financial!AI223)/60*Financial!AI$228*$B$33/10^9</f>
        <v>111.30054144</v>
      </c>
      <c r="AJ116" s="48">
        <f>$B29*$B22*($B$31*Financial!AJ216+$B$32*Financial!AJ223)/60*Financial!AJ$228*$B$33/10^9</f>
        <v>110.9964416</v>
      </c>
      <c r="AK116" s="48">
        <f>$B29*$B22*($B$31*Financial!AK216+$B$32*Financial!AK223)/60*Financial!AK$228*$B$33/10^9</f>
        <v>110.9964416</v>
      </c>
    </row>
    <row r="117" spans="1:37" ht="9.75">
      <c r="A117" s="50" t="s">
        <v>24</v>
      </c>
      <c r="H117" s="48">
        <f>SUM(H111:H116)</f>
        <v>255.8885352</v>
      </c>
      <c r="I117" s="48">
        <f aca="true" t="shared" si="6" ref="I117:AK117">SUM(I111:I116)</f>
        <v>277.3204446</v>
      </c>
      <c r="J117" s="48">
        <f t="shared" si="6"/>
        <v>300.56327084</v>
      </c>
      <c r="K117" s="48">
        <f t="shared" si="6"/>
        <v>326.63630472</v>
      </c>
      <c r="L117" s="48">
        <f t="shared" si="6"/>
        <v>353.02834748</v>
      </c>
      <c r="M117" s="48">
        <f t="shared" si="6"/>
        <v>382.60908627999993</v>
      </c>
      <c r="N117" s="48">
        <f t="shared" si="6"/>
        <v>414.67314784000007</v>
      </c>
      <c r="O117" s="48">
        <f t="shared" si="6"/>
        <v>450.64305441600004</v>
      </c>
      <c r="P117" s="48">
        <f t="shared" si="6"/>
        <v>478.43609868</v>
      </c>
      <c r="Q117" s="48">
        <f t="shared" si="6"/>
        <v>509.32289507999997</v>
      </c>
      <c r="R117" s="48">
        <f t="shared" si="6"/>
        <v>542.21776672</v>
      </c>
      <c r="S117" s="48">
        <f t="shared" si="6"/>
        <v>578.808102864</v>
      </c>
      <c r="T117" s="48">
        <f t="shared" si="6"/>
        <v>614.5077658</v>
      </c>
      <c r="U117" s="48">
        <f t="shared" si="6"/>
        <v>624.8554515599999</v>
      </c>
      <c r="V117" s="48">
        <f t="shared" si="6"/>
        <v>635.79510892</v>
      </c>
      <c r="W117" s="48">
        <f t="shared" si="6"/>
        <v>649.1193439199999</v>
      </c>
      <c r="X117" s="48">
        <f t="shared" si="6"/>
        <v>659.5283258</v>
      </c>
      <c r="Y117" s="48">
        <f t="shared" si="6"/>
        <v>672.3914046799999</v>
      </c>
      <c r="Z117" s="48">
        <f t="shared" si="6"/>
        <v>672.3914046799999</v>
      </c>
      <c r="AA117" s="48">
        <f t="shared" si="6"/>
        <v>674.233572912</v>
      </c>
      <c r="AB117" s="48">
        <f t="shared" si="6"/>
        <v>672.3914046799999</v>
      </c>
      <c r="AC117" s="48">
        <f t="shared" si="6"/>
        <v>672.3914046799999</v>
      </c>
      <c r="AD117" s="48">
        <f t="shared" si="6"/>
        <v>672.3914046799999</v>
      </c>
      <c r="AE117" s="48">
        <f t="shared" si="6"/>
        <v>674.233572912</v>
      </c>
      <c r="AF117" s="48">
        <f t="shared" si="6"/>
        <v>672.3914046799999</v>
      </c>
      <c r="AG117" s="48">
        <f t="shared" si="6"/>
        <v>672.3914046799999</v>
      </c>
      <c r="AH117" s="48">
        <f t="shared" si="6"/>
        <v>672.3914046799999</v>
      </c>
      <c r="AI117" s="48">
        <f t="shared" si="6"/>
        <v>674.233572912</v>
      </c>
      <c r="AJ117" s="48">
        <f t="shared" si="6"/>
        <v>672.3914046799999</v>
      </c>
      <c r="AK117" s="48">
        <f t="shared" si="6"/>
        <v>672.3914046799999</v>
      </c>
    </row>
    <row r="118" spans="1:37" ht="9.75">
      <c r="A118" s="1" t="s">
        <v>170</v>
      </c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</row>
    <row r="119" spans="1:37" ht="9.75">
      <c r="A119" s="47" t="s">
        <v>62</v>
      </c>
      <c r="H119" s="48">
        <f>$B24*$B17*($B$31*Financial!H211+$B$32*Financial!H218)/60*Financial!H$228*$B$34*0.5/10^9</f>
        <v>5.935392749999999</v>
      </c>
      <c r="I119" s="48">
        <f>$B24*$B17*($B$31*Financial!I211+$B$32*Financial!I218)/60*Financial!I$228*$B$34*0.5/10^9</f>
        <v>6.434767499999999</v>
      </c>
      <c r="J119" s="48">
        <f>$B24*$B17*($B$31*Financial!J211+$B$32*Financial!J218)/60*Financial!J$228*$B$34*0.5/10^9</f>
        <v>6.975533249999998</v>
      </c>
      <c r="K119" s="48">
        <f>$B24*$B17*($B$31*Financial!K211+$B$32*Financial!K218)/60*Financial!K$228*$B$34*0.5/10^9</f>
        <v>7.582623299999998</v>
      </c>
      <c r="L119" s="48">
        <f>$B24*$B17*($B$31*Financial!L211+$B$32*Financial!L218)/60*Financial!L$228*$B$34*0.5/10^9</f>
        <v>8.197717499999998</v>
      </c>
      <c r="M119" s="48">
        <f>$B24*$B17*($B$31*Financial!M211+$B$32*Financial!M218)/60*Financial!M$228*$B$34*0.5/10^9</f>
        <v>8.886417749999998</v>
      </c>
      <c r="N119" s="48">
        <f>$B24*$B17*($B$31*Financial!N211+$B$32*Financial!N218)/60*Financial!N$228*$B$34*0.5/10^9</f>
        <v>9.632988749999997</v>
      </c>
      <c r="O119" s="48">
        <f>$B24*$B17*($B$31*Financial!O211+$B$32*Financial!O218)/60*Financial!O$228*$B$34*0.5/10^9</f>
        <v>10.471406399999998</v>
      </c>
      <c r="P119" s="48">
        <f>$B24*$B17*($B$31*Financial!P211+$B$32*Financial!P218)/60*Financial!P$228*$B$34*0.5/10^9</f>
        <v>11.115399749999998</v>
      </c>
      <c r="Q119" s="48">
        <f>$B24*$B17*($B$31*Financial!Q211+$B$32*Financial!Q218)/60*Financial!Q$228*$B$34*0.5/10^9</f>
        <v>11.832077249999998</v>
      </c>
      <c r="R119" s="48">
        <f>$B24*$B17*($B$31*Financial!R211+$B$32*Financial!R218)/60*Financial!R$228*$B$34*0.5/10^9</f>
        <v>12.594744749999998</v>
      </c>
      <c r="S119" s="48">
        <f>$B24*$B17*($B$31*Financial!S211+$B$32*Financial!S218)/60*Financial!S$228*$B$34*0.5/10^9</f>
        <v>13.443198299999997</v>
      </c>
      <c r="T119" s="48">
        <f>$B24*$B17*($B$31*Financial!T211+$B$32*Financial!T218)/60*Financial!T$228*$B$34*0.5/10^9</f>
        <v>14.270313749999996</v>
      </c>
      <c r="U119" s="48">
        <f>$B24*$B17*($B$31*Financial!U211+$B$32*Financial!U218)/60*Financial!U$228*$B$34*0.5/10^9</f>
        <v>14.461172249999997</v>
      </c>
      <c r="V119" s="48">
        <f>$B24*$B17*($B$31*Financial!V211+$B$32*Financial!V218)/60*Financial!V$228*$B$34*0.5/10^9</f>
        <v>14.662761749999996</v>
      </c>
      <c r="W119" s="48">
        <f>$B24*$B17*($B$31*Financial!W211+$B$32*Financial!W218)/60*Financial!W$228*$B$34*0.5/10^9</f>
        <v>14.916604499999996</v>
      </c>
      <c r="X119" s="48">
        <f>$B24*$B17*($B$31*Financial!X211+$B$32*Financial!X218)/60*Financial!X$228*$B$34*0.5/10^9</f>
        <v>15.100433249999996</v>
      </c>
      <c r="Y119" s="48">
        <f>$B24*$B17*($B$31*Financial!Y211+$B$32*Financial!Y218)/60*Financial!Y$228*$B$34*0.5/10^9</f>
        <v>15.338048249999996</v>
      </c>
      <c r="Z119" s="48">
        <f>$B24*$B17*($B$31*Financial!Z211+$B$32*Financial!Z218)/60*Financial!Z$228*$B$34*0.5/10^9</f>
        <v>15.338048249999996</v>
      </c>
      <c r="AA119" s="48">
        <f>$B24*$B17*($B$31*Financial!AA211+$B$32*Financial!AA218)/60*Financial!AA$228*$B$34*0.5/10^9</f>
        <v>15.380070299999996</v>
      </c>
      <c r="AB119" s="48">
        <f>$B24*$B17*($B$31*Financial!AB211+$B$32*Financial!AB218)/60*Financial!AB$228*$B$34*0.5/10^9</f>
        <v>15.338048249999996</v>
      </c>
      <c r="AC119" s="48">
        <f>$B24*$B17*($B$31*Financial!AC211+$B$32*Financial!AC218)/60*Financial!AC$228*$B$34*0.5/10^9</f>
        <v>15.338048249999996</v>
      </c>
      <c r="AD119" s="48">
        <f>$B24*$B17*($B$31*Financial!AD211+$B$32*Financial!AD218)/60*Financial!AD$228*$B$34*0.5/10^9</f>
        <v>15.338048249999996</v>
      </c>
      <c r="AE119" s="48">
        <f>$B24*$B17*($B$31*Financial!AE211+$B$32*Financial!AE218)/60*Financial!AE$228*$B$34*0.5/10^9</f>
        <v>15.380070299999996</v>
      </c>
      <c r="AF119" s="48">
        <f>$B24*$B17*($B$31*Financial!AF211+$B$32*Financial!AF218)/60*Financial!AF$228*$B$34*0.5/10^9</f>
        <v>15.338048249999996</v>
      </c>
      <c r="AG119" s="48">
        <f>$B24*$B17*($B$31*Financial!AG211+$B$32*Financial!AG218)/60*Financial!AG$228*$B$34*0.5/10^9</f>
        <v>15.338048249999996</v>
      </c>
      <c r="AH119" s="48">
        <f>$B24*$B17*($B$31*Financial!AH211+$B$32*Financial!AH218)/60*Financial!AH$228*$B$34*0.5/10^9</f>
        <v>15.338048249999996</v>
      </c>
      <c r="AI119" s="48">
        <f>$B24*$B17*($B$31*Financial!AI211+$B$32*Financial!AI218)/60*Financial!AI$228*$B$34*0.5/10^9</f>
        <v>15.380070299999996</v>
      </c>
      <c r="AJ119" s="48">
        <f>$B24*$B17*($B$31*Financial!AJ211+$B$32*Financial!AJ218)/60*Financial!AJ$228*$B$34*0.5/10^9</f>
        <v>15.338048249999996</v>
      </c>
      <c r="AK119" s="48">
        <f>$B24*$B17*($B$31*Financial!AK211+$B$32*Financial!AK218)/60*Financial!AK$228*$B$34*0.5/10^9</f>
        <v>15.338048249999996</v>
      </c>
    </row>
    <row r="120" spans="1:37" ht="9.75">
      <c r="A120" s="47" t="s">
        <v>132</v>
      </c>
      <c r="H120" s="48">
        <f>$B25*$B18*($B$31*Financial!H212+$B$32*Financial!H219)/60*Financial!H$228*$B$34*0.5/10^9</f>
        <v>7.860183749999998</v>
      </c>
      <c r="I120" s="48">
        <f>$B25*$B18*($B$31*Financial!I212+$B$32*Financial!I219)/60*Financial!I$228*$B$34*0.5/10^9</f>
        <v>8.518415624999998</v>
      </c>
      <c r="J120" s="48">
        <f>$B25*$B18*($B$31*Financial!J212+$B$32*Financial!J219)/60*Financial!J$228*$B$34*0.5/10^9</f>
        <v>9.232903124999998</v>
      </c>
      <c r="K120" s="48">
        <f>$B25*$B18*($B$31*Financial!K212+$B$32*Financial!K219)/60*Financial!K$228*$B$34*0.5/10^9</f>
        <v>10.034759249999999</v>
      </c>
      <c r="L120" s="48">
        <f>$B25*$B18*($B$31*Financial!L212+$B$32*Financial!L219)/60*Financial!L$228*$B$34*0.5/10^9</f>
        <v>10.845838124999998</v>
      </c>
      <c r="M120" s="48">
        <f>$B25*$B18*($B$31*Financial!M212+$B$32*Financial!M219)/60*Financial!M$228*$B$34*0.5/10^9</f>
        <v>11.754961874999998</v>
      </c>
      <c r="N120" s="48">
        <f>$B25*$B18*($B$31*Financial!N212+$B$32*Financial!N219)/60*Financial!N$228*$B$34*0.5/10^9</f>
        <v>12.740051249999999</v>
      </c>
      <c r="O120" s="48">
        <f>$B25*$B18*($B$31*Financial!O212+$B$32*Financial!O219)/60*Financial!O$228*$B$34*0.5/10^9</f>
        <v>13.846740749999997</v>
      </c>
      <c r="P120" s="48">
        <f>$B25*$B18*($B$31*Financial!P212+$B$32*Financial!P219)/60*Financial!P$228*$B$34*0.5/10^9</f>
        <v>14.700785624999996</v>
      </c>
      <c r="Q120" s="48">
        <f>$B25*$B18*($B$31*Financial!Q212+$B$32*Financial!Q219)/60*Financial!Q$228*$B$34*0.5/10^9</f>
        <v>15.649329374999995</v>
      </c>
      <c r="R120" s="48">
        <f>$B25*$B18*($B$31*Financial!R212+$B$32*Financial!R219)/60*Financial!R$228*$B$34*0.5/10^9</f>
        <v>16.659056249999995</v>
      </c>
      <c r="S120" s="48">
        <f>$B25*$B18*($B$31*Financial!S212+$B$32*Financial!S219)/60*Financial!S$228*$B$34*0.5/10^9</f>
        <v>17.783894249999996</v>
      </c>
      <c r="T120" s="48">
        <f>$B25*$B18*($B$31*Financial!T212+$B$32*Financial!T219)/60*Financial!T$228*$B$34*0.5/10^9</f>
        <v>18.880126874999995</v>
      </c>
      <c r="U120" s="48">
        <f>$B25*$B18*($B$31*Financial!U212+$B$32*Financial!U219)/60*Financial!U$228*$B$34*0.5/10^9</f>
        <v>19.182346874999997</v>
      </c>
      <c r="V120" s="48">
        <f>$B25*$B18*($B$31*Financial!V212+$B$32*Financial!V219)/60*Financial!V$228*$B$34*0.5/10^9</f>
        <v>19.501813124999995</v>
      </c>
      <c r="W120" s="48">
        <f>$B25*$B18*($B$31*Financial!W212+$B$32*Financial!W219)/60*Financial!W$228*$B$34*0.5/10^9</f>
        <v>19.893701249999996</v>
      </c>
      <c r="X120" s="48">
        <f>$B25*$B18*($B$31*Financial!X212+$B$32*Financial!X219)/60*Financial!X$228*$B$34*0.5/10^9</f>
        <v>20.195769374999998</v>
      </c>
      <c r="Y120" s="48">
        <f>$B25*$B18*($B$31*Financial!Y212+$B$32*Financial!Y219)/60*Financial!Y$228*$B$34*0.5/10^9</f>
        <v>20.571901874999995</v>
      </c>
      <c r="Z120" s="48">
        <f>$B25*$B18*($B$31*Financial!Z212+$B$32*Financial!Z219)/60*Financial!Z$228*$B$34*0.5/10^9</f>
        <v>20.571901874999995</v>
      </c>
      <c r="AA120" s="48">
        <f>$B25*$B18*($B$31*Financial!AA212+$B$32*Financial!AA219)/60*Financial!AA$228*$B$34*0.5/10^9</f>
        <v>20.628263249999996</v>
      </c>
      <c r="AB120" s="48">
        <f>$B25*$B18*($B$31*Financial!AB212+$B$32*Financial!AB219)/60*Financial!AB$228*$B$34*0.5/10^9</f>
        <v>20.571901874999995</v>
      </c>
      <c r="AC120" s="48">
        <f>$B25*$B18*($B$31*Financial!AC212+$B$32*Financial!AC219)/60*Financial!AC$228*$B$34*0.5/10^9</f>
        <v>20.571901874999995</v>
      </c>
      <c r="AD120" s="48">
        <f>$B25*$B18*($B$31*Financial!AD212+$B$32*Financial!AD219)/60*Financial!AD$228*$B$34*0.5/10^9</f>
        <v>20.571901874999995</v>
      </c>
      <c r="AE120" s="48">
        <f>$B25*$B18*($B$31*Financial!AE212+$B$32*Financial!AE219)/60*Financial!AE$228*$B$34*0.5/10^9</f>
        <v>20.628263249999996</v>
      </c>
      <c r="AF120" s="48">
        <f>$B25*$B18*($B$31*Financial!AF212+$B$32*Financial!AF219)/60*Financial!AF$228*$B$34*0.5/10^9</f>
        <v>20.571901874999995</v>
      </c>
      <c r="AG120" s="48">
        <f>$B25*$B18*($B$31*Financial!AG212+$B$32*Financial!AG219)/60*Financial!AG$228*$B$34*0.5/10^9</f>
        <v>20.571901874999995</v>
      </c>
      <c r="AH120" s="48">
        <f>$B25*$B18*($B$31*Financial!AH212+$B$32*Financial!AH219)/60*Financial!AH$228*$B$34*0.5/10^9</f>
        <v>20.571901874999995</v>
      </c>
      <c r="AI120" s="48">
        <f>$B25*$B18*($B$31*Financial!AI212+$B$32*Financial!AI219)/60*Financial!AI$228*$B$34*0.5/10^9</f>
        <v>20.628263249999996</v>
      </c>
      <c r="AJ120" s="48">
        <f>$B25*$B18*($B$31*Financial!AJ212+$B$32*Financial!AJ219)/60*Financial!AJ$228*$B$34*0.5/10^9</f>
        <v>20.571901874999995</v>
      </c>
      <c r="AK120" s="48">
        <f>$B25*$B18*($B$31*Financial!AK212+$B$32*Financial!AK219)/60*Financial!AK$228*$B$34*0.5/10^9</f>
        <v>20.571901874999995</v>
      </c>
    </row>
    <row r="121" spans="1:37" ht="9.75">
      <c r="A121" s="47" t="s">
        <v>133</v>
      </c>
      <c r="H121" s="48">
        <f>$B26*$B19*($B$31*Financial!H213+$B$32*Financial!H220)/60*Financial!H$228*$B$34*0.5/10^9</f>
        <v>9.232492499999998</v>
      </c>
      <c r="I121" s="48">
        <f>$B26*$B19*($B$31*Financial!I213+$B$32*Financial!I220)/60*Financial!I$228*$B$34*0.5/10^9</f>
        <v>10.003974749999998</v>
      </c>
      <c r="J121" s="48">
        <f>$B26*$B19*($B$31*Financial!J213+$B$32*Financial!J220)/60*Financial!J$228*$B$34*0.5/10^9</f>
        <v>10.842142499999998</v>
      </c>
      <c r="K121" s="48">
        <f>$B26*$B19*($B$31*Financial!K213+$B$32*Financial!K220)/60*Financial!K$228*$B$34*0.5/10^9</f>
        <v>11.781485099999998</v>
      </c>
      <c r="L121" s="48">
        <f>$B26*$B19*($B$31*Financial!L213+$B$32*Financial!L220)/60*Financial!L$228*$B$34*0.5/10^9</f>
        <v>12.731181749999998</v>
      </c>
      <c r="M121" s="48">
        <f>$B26*$B19*($B$31*Financial!M213+$B$32*Financial!M220)/60*Financial!M$228*$B$34*0.5/10^9</f>
        <v>13.796999999999997</v>
      </c>
      <c r="N121" s="48">
        <f>$B26*$B19*($B$31*Financial!N213+$B$32*Financial!N220)/60*Financial!N$228*$B$34*0.5/10^9</f>
        <v>14.953648499999996</v>
      </c>
      <c r="O121" s="48">
        <f>$B26*$B19*($B$31*Financial!O213+$B$32*Financial!O220)/60*Financial!O$228*$B$34*0.5/10^9</f>
        <v>16.247819699999997</v>
      </c>
      <c r="P121" s="48">
        <f>$B26*$B19*($B$31*Financial!P213+$B$32*Financial!P220)/60*Financial!P$228*$B$34*0.5/10^9</f>
        <v>17.250848999999995</v>
      </c>
      <c r="Q121" s="48">
        <f>$B26*$B19*($B$31*Financial!Q213+$B$32*Financial!Q220)/60*Financial!Q$228*$B$34*0.5/10^9</f>
        <v>18.363806999999998</v>
      </c>
      <c r="R121" s="48">
        <f>$B26*$B19*($B$31*Financial!R213+$B$32*Financial!R220)/60*Financial!R$228*$B$34*0.5/10^9</f>
        <v>19.550348999999997</v>
      </c>
      <c r="S121" s="48">
        <f>$B26*$B19*($B$31*Financial!S213+$B$32*Financial!S220)/60*Financial!S$228*$B$34*0.5/10^9</f>
        <v>20.868642899999998</v>
      </c>
      <c r="T121" s="48">
        <f>$B26*$B19*($B$31*Financial!T213+$B$32*Financial!T220)/60*Financial!T$228*$B$34*0.5/10^9</f>
        <v>22.155682499999998</v>
      </c>
      <c r="U121" s="48">
        <f>$B26*$B19*($B$31*Financial!U213+$B$32*Financial!U220)/60*Financial!U$228*$B$34*0.5/10^9</f>
        <v>22.544297999999998</v>
      </c>
      <c r="V121" s="48">
        <f>$B26*$B19*($B$31*Financial!V213+$B$32*Financial!V220)/60*Financial!V$228*$B$34*0.5/10^9</f>
        <v>22.955908499999996</v>
      </c>
      <c r="W121" s="48">
        <f>$B26*$B19*($B$31*Financial!W213+$B$32*Financial!W220)/60*Financial!W$228*$B$34*0.5/10^9</f>
        <v>23.454597599999996</v>
      </c>
      <c r="X121" s="48">
        <f>$B26*$B19*($B$31*Financial!X213+$B$32*Financial!X220)/60*Financial!X$228*$B$34*0.5/10^9</f>
        <v>23.848114499999998</v>
      </c>
      <c r="Y121" s="48">
        <f>$B26*$B19*($B$31*Financial!Y213+$B$32*Financial!Y220)/60*Financial!Y$228*$B$34*0.5/10^9</f>
        <v>24.331009499999997</v>
      </c>
      <c r="Z121" s="48">
        <f>$B26*$B19*($B$31*Financial!Z213+$B$32*Financial!Z220)/60*Financial!Z$228*$B$34*0.5/10^9</f>
        <v>24.331009499999997</v>
      </c>
      <c r="AA121" s="48">
        <f>$B26*$B19*($B$31*Financial!AA213+$B$32*Financial!AA220)/60*Financial!AA$228*$B$34*0.5/10^9</f>
        <v>24.397669799999996</v>
      </c>
      <c r="AB121" s="48">
        <f>$B26*$B19*($B$31*Financial!AB213+$B$32*Financial!AB220)/60*Financial!AB$228*$B$34*0.5/10^9</f>
        <v>24.331009499999997</v>
      </c>
      <c r="AC121" s="48">
        <f>$B26*$B19*($B$31*Financial!AC213+$B$32*Financial!AC220)/60*Financial!AC$228*$B$34*0.5/10^9</f>
        <v>24.331009499999997</v>
      </c>
      <c r="AD121" s="48">
        <f>$B26*$B19*($B$31*Financial!AD213+$B$32*Financial!AD220)/60*Financial!AD$228*$B$34*0.5/10^9</f>
        <v>24.331009499999997</v>
      </c>
      <c r="AE121" s="48">
        <f>$B26*$B19*($B$31*Financial!AE213+$B$32*Financial!AE220)/60*Financial!AE$228*$B$34*0.5/10^9</f>
        <v>24.397669799999996</v>
      </c>
      <c r="AF121" s="48">
        <f>$B26*$B19*($B$31*Financial!AF213+$B$32*Financial!AF220)/60*Financial!AF$228*$B$34*0.5/10^9</f>
        <v>24.331009499999997</v>
      </c>
      <c r="AG121" s="48">
        <f>$B26*$B19*($B$31*Financial!AG213+$B$32*Financial!AG220)/60*Financial!AG$228*$B$34*0.5/10^9</f>
        <v>24.331009499999997</v>
      </c>
      <c r="AH121" s="48">
        <f>$B26*$B19*($B$31*Financial!AH213+$B$32*Financial!AH220)/60*Financial!AH$228*$B$34*0.5/10^9</f>
        <v>24.331009499999997</v>
      </c>
      <c r="AI121" s="48">
        <f>$B26*$B19*($B$31*Financial!AI213+$B$32*Financial!AI220)/60*Financial!AI$228*$B$34*0.5/10^9</f>
        <v>24.397669799999996</v>
      </c>
      <c r="AJ121" s="48">
        <f>$B26*$B19*($B$31*Financial!AJ213+$B$32*Financial!AJ220)/60*Financial!AJ$228*$B$34*0.5/10^9</f>
        <v>24.331009499999997</v>
      </c>
      <c r="AK121" s="48">
        <f>$B26*$B19*($B$31*Financial!AK213+$B$32*Financial!AK220)/60*Financial!AK$228*$B$34*0.5/10^9</f>
        <v>24.331009499999997</v>
      </c>
    </row>
    <row r="122" spans="1:37" ht="9.75">
      <c r="A122" s="47" t="s">
        <v>134</v>
      </c>
      <c r="H122" s="48">
        <f>$B27*$B20*($B$31*Financial!H214+$B$32*Financial!H221)/60*Financial!H$228*$B$34*0.5/10^9</f>
        <v>0.9333560999999998</v>
      </c>
      <c r="I122" s="48">
        <f>$B27*$B20*($B$31*Financial!I214+$B$32*Financial!I221)/60*Financial!I$228*$B$34*0.5/10^9</f>
        <v>1.0115390999999998</v>
      </c>
      <c r="J122" s="48">
        <f>$B27*$B20*($B$31*Financial!J214+$B$32*Financial!J221)/60*Financial!J$228*$B$34*0.5/10^9</f>
        <v>1.0962745799999998</v>
      </c>
      <c r="K122" s="48">
        <f>$B27*$B20*($B$31*Financial!K214+$B$32*Financial!K221)/60*Financial!K$228*$B$34*0.5/10^9</f>
        <v>1.1912641199999998</v>
      </c>
      <c r="L122" s="48">
        <f>$B27*$B20*($B$31*Financial!L214+$B$32*Financial!L221)/60*Financial!L$228*$B$34*0.5/10^9</f>
        <v>1.2874878599999997</v>
      </c>
      <c r="M122" s="48">
        <f>$B27*$B20*($B$31*Financial!M214+$B$32*Financial!M221)/60*Financial!M$228*$B$34*0.5/10^9</f>
        <v>1.3950825599999999</v>
      </c>
      <c r="N122" s="48">
        <f>$B27*$B20*($B$31*Financial!N214+$B$32*Financial!N221)/60*Financial!N$228*$B$34*0.5/10^9</f>
        <v>1.5117613799999998</v>
      </c>
      <c r="O122" s="48">
        <f>$B27*$B20*($B$31*Financial!O214+$B$32*Financial!O221)/60*Financial!O$228*$B$34*0.5/10^9</f>
        <v>1.6428319919999996</v>
      </c>
      <c r="P122" s="48">
        <f>$B27*$B20*($B$31*Financial!P214+$B$32*Financial!P221)/60*Financial!P$228*$B$34*0.5/10^9</f>
        <v>1.7442999599999995</v>
      </c>
      <c r="Q122" s="48">
        <f>$B27*$B20*($B$31*Financial!Q214+$B$32*Financial!Q221)/60*Financial!Q$228*$B$34*0.5/10^9</f>
        <v>1.8571068599999996</v>
      </c>
      <c r="R122" s="48">
        <f>$B27*$B20*($B$31*Financial!R214+$B$32*Financial!R221)/60*Financial!R$228*$B$34*0.5/10^9</f>
        <v>1.9772108399999995</v>
      </c>
      <c r="S122" s="48">
        <f>$B27*$B20*($B$31*Financial!S214+$B$32*Financial!S221)/60*Financial!S$228*$B$34*0.5/10^9</f>
        <v>2.1109006079999997</v>
      </c>
      <c r="T122" s="48">
        <f>$B27*$B20*($B$31*Financial!T214+$B$32*Financial!T221)/60*Financial!T$228*$B$34*0.5/10^9</f>
        <v>2.2412459999999994</v>
      </c>
      <c r="U122" s="48">
        <f>$B27*$B20*($B$31*Financial!U214+$B$32*Financial!U221)/60*Financial!U$228*$B$34*0.5/10^9</f>
        <v>2.2823479199999994</v>
      </c>
      <c r="V122" s="48">
        <f>$B27*$B20*($B$31*Financial!V214+$B$32*Financial!V221)/60*Financial!V$228*$B$34*0.5/10^9</f>
        <v>2.3256836399999994</v>
      </c>
      <c r="W122" s="48">
        <f>$B27*$B20*($B$31*Financial!W214+$B$32*Financial!W221)/60*Financial!W$228*$B$34*0.5/10^9</f>
        <v>2.3780483999999995</v>
      </c>
      <c r="X122" s="48">
        <f>$B27*$B20*($B$31*Financial!X214+$B$32*Financial!X221)/60*Financial!X$228*$B$34*0.5/10^9</f>
        <v>2.4199499999999996</v>
      </c>
      <c r="Y122" s="48">
        <f>$B27*$B20*($B$31*Financial!Y214+$B$32*Financial!Y221)/60*Financial!Y$228*$B$34*0.5/10^9</f>
        <v>2.4710295599999994</v>
      </c>
      <c r="Z122" s="48">
        <f>$B27*$B20*($B$31*Financial!Z214+$B$32*Financial!Z221)/60*Financial!Z$228*$B$34*0.5/10^9</f>
        <v>2.4710295599999994</v>
      </c>
      <c r="AA122" s="48">
        <f>$B27*$B20*($B$31*Financial!AA214+$B$32*Financial!AA221)/60*Financial!AA$228*$B$34*0.5/10^9</f>
        <v>2.4777995039999996</v>
      </c>
      <c r="AB122" s="48">
        <f>$B27*$B20*($B$31*Financial!AB214+$B$32*Financial!AB221)/60*Financial!AB$228*$B$34*0.5/10^9</f>
        <v>2.4710295599999994</v>
      </c>
      <c r="AC122" s="48">
        <f>$B27*$B20*($B$31*Financial!AC214+$B$32*Financial!AC221)/60*Financial!AC$228*$B$34*0.5/10^9</f>
        <v>2.4710295599999994</v>
      </c>
      <c r="AD122" s="48">
        <f>$B27*$B20*($B$31*Financial!AD214+$B$32*Financial!AD221)/60*Financial!AD$228*$B$34*0.5/10^9</f>
        <v>2.4710295599999994</v>
      </c>
      <c r="AE122" s="48">
        <f>$B27*$B20*($B$31*Financial!AE214+$B$32*Financial!AE221)/60*Financial!AE$228*$B$34*0.5/10^9</f>
        <v>2.4777995039999996</v>
      </c>
      <c r="AF122" s="48">
        <f>$B27*$B20*($B$31*Financial!AF214+$B$32*Financial!AF221)/60*Financial!AF$228*$B$34*0.5/10^9</f>
        <v>2.4710295599999994</v>
      </c>
      <c r="AG122" s="48">
        <f>$B27*$B20*($B$31*Financial!AG214+$B$32*Financial!AG221)/60*Financial!AG$228*$B$34*0.5/10^9</f>
        <v>2.4710295599999994</v>
      </c>
      <c r="AH122" s="48">
        <f>$B27*$B20*($B$31*Financial!AH214+$B$32*Financial!AH221)/60*Financial!AH$228*$B$34*0.5/10^9</f>
        <v>2.4710295599999994</v>
      </c>
      <c r="AI122" s="48">
        <f>$B27*$B20*($B$31*Financial!AI214+$B$32*Financial!AI221)/60*Financial!AI$228*$B$34*0.5/10^9</f>
        <v>2.4777995039999996</v>
      </c>
      <c r="AJ122" s="48">
        <f>$B27*$B20*($B$31*Financial!AJ214+$B$32*Financial!AJ221)/60*Financial!AJ$228*$B$34*0.5/10^9</f>
        <v>2.4710295599999994</v>
      </c>
      <c r="AK122" s="48">
        <f>$B27*$B20*($B$31*Financial!AK214+$B$32*Financial!AK221)/60*Financial!AK$228*$B$34*0.5/10^9</f>
        <v>2.4710295599999994</v>
      </c>
    </row>
    <row r="123" spans="1:37" ht="9.75">
      <c r="A123" s="47" t="s">
        <v>135</v>
      </c>
      <c r="H123" s="48">
        <f>$B28*$B21*($B$31*Financial!H215+$B$32*Financial!H222)/60*Financial!H$228*$B$34*0.5/10^9</f>
        <v>2.7800881999999993</v>
      </c>
      <c r="I123" s="48">
        <f>$B28*$B21*($B$31*Financial!I215+$B$32*Financial!I222)/60*Financial!I$228*$B$34*0.5/10^9</f>
        <v>3.0124033999999997</v>
      </c>
      <c r="J123" s="48">
        <f>$B28*$B21*($B$31*Financial!J215+$B$32*Financial!J222)/60*Financial!J$228*$B$34*0.5/10^9</f>
        <v>3.263581799999999</v>
      </c>
      <c r="K123" s="48">
        <f>$B28*$B21*($B$31*Financial!K215+$B$32*Financial!K222)/60*Financial!K$228*$B$34*0.5/10^9</f>
        <v>3.545295599999999</v>
      </c>
      <c r="L123" s="48">
        <f>$B28*$B21*($B$31*Financial!L215+$B$32*Financial!L222)/60*Financial!L$228*$B$34*0.5/10^9</f>
        <v>3.830966999999999</v>
      </c>
      <c r="M123" s="48">
        <f>$B28*$B21*($B$31*Financial!M215+$B$32*Financial!M222)/60*Financial!M$228*$B$34*0.5/10^9</f>
        <v>4.150896799999999</v>
      </c>
      <c r="N123" s="48">
        <f>$B28*$B21*($B$31*Financial!N215+$B$32*Financial!N222)/60*Financial!N$228*$B$34*0.5/10^9</f>
        <v>4.497383999999999</v>
      </c>
      <c r="O123" s="48">
        <f>$B28*$B21*($B$31*Financial!O215+$B$32*Financial!O222)/60*Financial!O$228*$B$34*0.5/10^9</f>
        <v>4.886261039999999</v>
      </c>
      <c r="P123" s="48">
        <f>$B28*$B21*($B$31*Financial!P215+$B$32*Financial!P222)/60*Financial!P$228*$B$34*0.5/10^9</f>
        <v>5.188869199999999</v>
      </c>
      <c r="Q123" s="48">
        <f>$B28*$B21*($B$31*Financial!Q215+$B$32*Financial!Q222)/60*Financial!Q$228*$B$34*0.5/10^9</f>
        <v>5.524683799999999</v>
      </c>
      <c r="R123" s="48">
        <f>$B28*$B21*($B$31*Financial!R215+$B$32*Financial!R222)/60*Financial!R$228*$B$34*0.5/10^9</f>
        <v>5.882339999999999</v>
      </c>
      <c r="S123" s="48">
        <f>$B28*$B21*($B$31*Financial!S215+$B$32*Financial!S222)/60*Financial!S$228*$B$34*0.5/10^9</f>
        <v>6.280237919999999</v>
      </c>
      <c r="T123" s="48">
        <f>$B28*$B21*($B$31*Financial!T215+$B$32*Financial!T222)/60*Financial!T$228*$B$34*0.5/10^9</f>
        <v>6.6686375999999985</v>
      </c>
      <c r="U123" s="48">
        <f>$B28*$B21*($B$31*Financial!U215+$B$32*Financial!U222)/60*Financial!U$228*$B$34*0.5/10^9</f>
        <v>6.810607999999998</v>
      </c>
      <c r="V123" s="48">
        <f>$B28*$B21*($B$31*Financial!V215+$B$32*Financial!V222)/60*Financial!V$228*$B$34*0.5/10^9</f>
        <v>6.9605207999999985</v>
      </c>
      <c r="W123" s="48">
        <f>$B28*$B21*($B$31*Financial!W215+$B$32*Financial!W222)/60*Financial!W$228*$B$34*0.5/10^9</f>
        <v>7.138376159999998</v>
      </c>
      <c r="X123" s="48">
        <f>$B28*$B21*($B$31*Financial!X215+$B$32*Financial!X222)/60*Financial!X$228*$B$34*0.5/10^9</f>
        <v>7.286159199999998</v>
      </c>
      <c r="Y123" s="48">
        <f>$B28*$B21*($B$31*Financial!Y215+$B$32*Financial!Y222)/60*Financial!Y$228*$B$34*0.5/10^9</f>
        <v>7.4623811999999985</v>
      </c>
      <c r="Z123" s="48">
        <f>$B28*$B21*($B$31*Financial!Z215+$B$32*Financial!Z222)/60*Financial!Z$228*$B$34*0.5/10^9</f>
        <v>7.4623811999999985</v>
      </c>
      <c r="AA123" s="48">
        <f>$B28*$B21*($B$31*Financial!AA215+$B$32*Financial!AA222)/60*Financial!AA$228*$B$34*0.5/10^9</f>
        <v>7.482826079999998</v>
      </c>
      <c r="AB123" s="48">
        <f>$B28*$B21*($B$31*Financial!AB215+$B$32*Financial!AB222)/60*Financial!AB$228*$B$34*0.5/10^9</f>
        <v>7.4623811999999985</v>
      </c>
      <c r="AC123" s="48">
        <f>$B28*$B21*($B$31*Financial!AC215+$B$32*Financial!AC222)/60*Financial!AC$228*$B$34*0.5/10^9</f>
        <v>7.4623811999999985</v>
      </c>
      <c r="AD123" s="48">
        <f>$B28*$B21*($B$31*Financial!AD215+$B$32*Financial!AD222)/60*Financial!AD$228*$B$34*0.5/10^9</f>
        <v>7.4623811999999985</v>
      </c>
      <c r="AE123" s="48">
        <f>$B28*$B21*($B$31*Financial!AE215+$B$32*Financial!AE222)/60*Financial!AE$228*$B$34*0.5/10^9</f>
        <v>7.482826079999998</v>
      </c>
      <c r="AF123" s="48">
        <f>$B28*$B21*($B$31*Financial!AF215+$B$32*Financial!AF222)/60*Financial!AF$228*$B$34*0.5/10^9</f>
        <v>7.4623811999999985</v>
      </c>
      <c r="AG123" s="48">
        <f>$B28*$B21*($B$31*Financial!AG215+$B$32*Financial!AG222)/60*Financial!AG$228*$B$34*0.5/10^9</f>
        <v>7.4623811999999985</v>
      </c>
      <c r="AH123" s="48">
        <f>$B28*$B21*($B$31*Financial!AH215+$B$32*Financial!AH222)/60*Financial!AH$228*$B$34*0.5/10^9</f>
        <v>7.4623811999999985</v>
      </c>
      <c r="AI123" s="48">
        <f>$B28*$B21*($B$31*Financial!AI215+$B$32*Financial!AI222)/60*Financial!AI$228*$B$34*0.5/10^9</f>
        <v>7.482826079999998</v>
      </c>
      <c r="AJ123" s="48">
        <f>$B28*$B21*($B$31*Financial!AJ215+$B$32*Financial!AJ222)/60*Financial!AJ$228*$B$34*0.5/10^9</f>
        <v>7.4623811999999985</v>
      </c>
      <c r="AK123" s="48">
        <f>$B28*$B21*($B$31*Financial!AK215+$B$32*Financial!AK222)/60*Financial!AK$228*$B$34*0.5/10^9</f>
        <v>7.4623811999999985</v>
      </c>
    </row>
    <row r="124" spans="1:37" ht="9.75">
      <c r="A124" s="47" t="s">
        <v>136</v>
      </c>
      <c r="H124" s="48">
        <f>$B29*$B22*($B$31*Financial!H216+$B$32*Financial!H223)/60*Financial!H$228*$B$34*0.5/10^9</f>
        <v>5.244553599999999</v>
      </c>
      <c r="I124" s="48">
        <f>$B29*$B22*($B$31*Financial!I216+$B$32*Financial!I223)/60*Financial!I$228*$B$34*0.5/10^9</f>
        <v>5.683955199999999</v>
      </c>
      <c r="J124" s="48">
        <f>$B29*$B22*($B$31*Financial!J216+$B$32*Financial!J223)/60*Financial!J$228*$B$34*0.5/10^9</f>
        <v>6.159973599999999</v>
      </c>
      <c r="K124" s="48">
        <f>$B29*$B22*($B$31*Financial!K216+$B$32*Financial!K223)/60*Financial!K$228*$B$34*0.5/10^9</f>
        <v>6.6941107199999985</v>
      </c>
      <c r="L124" s="48">
        <f>$B29*$B22*($B$31*Financial!L216+$B$32*Financial!L223)/60*Financial!L$228*$B$34*0.5/10^9</f>
        <v>7.235351199999998</v>
      </c>
      <c r="M124" s="48">
        <f>$B29*$B22*($B$31*Financial!M216+$B$32*Financial!M223)/60*Financial!M$228*$B$34*0.5/10^9</f>
        <v>7.841776799999998</v>
      </c>
      <c r="N124" s="48">
        <f>$B29*$B22*($B$31*Financial!N216+$B$32*Financial!N223)/60*Financial!N$228*$B$34*0.5/10^9</f>
        <v>8.498309599999999</v>
      </c>
      <c r="O124" s="48">
        <f>$B29*$B22*($B$31*Financial!O216+$B$32*Financial!O223)/60*Financial!O$228*$B$34*0.5/10^9</f>
        <v>9.235321919999999</v>
      </c>
      <c r="P124" s="48">
        <f>$B29*$B22*($B$31*Financial!P216+$B$32*Financial!P223)/60*Financial!P$228*$B$34*0.5/10^9</f>
        <v>9.804308799999998</v>
      </c>
      <c r="Q124" s="48">
        <f>$B29*$B22*($B$31*Financial!Q216+$B$32*Financial!Q223)/60*Financial!Q$228*$B$34*0.5/10^9</f>
        <v>10.438357599999998</v>
      </c>
      <c r="R124" s="48">
        <f>$B29*$B22*($B$31*Financial!R216+$B$32*Financial!R223)/60*Financial!R$228*$B$34*0.5/10^9</f>
        <v>11.113519999999998</v>
      </c>
      <c r="S124" s="48">
        <f>$B29*$B22*($B$31*Financial!S216+$B$32*Financial!S223)/60*Financial!S$228*$B$34*0.5/10^9</f>
        <v>11.864138879999999</v>
      </c>
      <c r="T124" s="48">
        <f>$B29*$B22*($B$31*Financial!T216+$B$32*Financial!T223)/60*Financial!T$228*$B$34*0.5/10^9</f>
        <v>12.597463999999999</v>
      </c>
      <c r="U124" s="48">
        <f>$B29*$B22*($B$31*Financial!U216+$B$32*Financial!U223)/60*Financial!U$228*$B$34*0.5/10^9</f>
        <v>12.826158399999999</v>
      </c>
      <c r="V124" s="48">
        <f>$B29*$B22*($B$31*Financial!V216+$B$32*Financial!V223)/60*Financial!V$228*$B$34*0.5/10^9</f>
        <v>13.067700799999995</v>
      </c>
      <c r="W124" s="48">
        <f>$B29*$B22*($B$31*Financial!W216+$B$32*Financial!W223)/60*Financial!W$228*$B$34*0.5/10^9</f>
        <v>13.358590079999995</v>
      </c>
      <c r="X124" s="48">
        <f>$B29*$B22*($B$31*Financial!X216+$B$32*Financial!X223)/60*Financial!X$228*$B$34*0.5/10^9</f>
        <v>13.590614399999996</v>
      </c>
      <c r="Y124" s="48">
        <f>$B29*$B22*($B$31*Financial!Y216+$B$32*Financial!Y223)/60*Financial!Y$228*$B$34*0.5/10^9</f>
        <v>13.874555199999996</v>
      </c>
      <c r="Z124" s="48">
        <f>$B29*$B22*($B$31*Financial!Z216+$B$32*Financial!Z223)/60*Financial!Z$228*$B$34*0.5/10^9</f>
        <v>13.874555199999996</v>
      </c>
      <c r="AA124" s="48">
        <f>$B29*$B22*($B$31*Financial!AA216+$B$32*Financial!AA223)/60*Financial!AA$228*$B$34*0.5/10^9</f>
        <v>13.912567679999997</v>
      </c>
      <c r="AB124" s="48">
        <f>$B29*$B22*($B$31*Financial!AB216+$B$32*Financial!AB223)/60*Financial!AB$228*$B$34*0.5/10^9</f>
        <v>13.874555199999996</v>
      </c>
      <c r="AC124" s="48">
        <f>$B29*$B22*($B$31*Financial!AC216+$B$32*Financial!AC223)/60*Financial!AC$228*$B$34*0.5/10^9</f>
        <v>13.874555199999996</v>
      </c>
      <c r="AD124" s="48">
        <f>$B29*$B22*($B$31*Financial!AD216+$B$32*Financial!AD223)/60*Financial!AD$228*$B$34*0.5/10^9</f>
        <v>13.874555199999996</v>
      </c>
      <c r="AE124" s="48">
        <f>$B29*$B22*($B$31*Financial!AE216+$B$32*Financial!AE223)/60*Financial!AE$228*$B$34*0.5/10^9</f>
        <v>13.912567679999997</v>
      </c>
      <c r="AF124" s="48">
        <f>$B29*$B22*($B$31*Financial!AF216+$B$32*Financial!AF223)/60*Financial!AF$228*$B$34*0.5/10^9</f>
        <v>13.874555199999996</v>
      </c>
      <c r="AG124" s="48">
        <f>$B29*$B22*($B$31*Financial!AG216+$B$32*Financial!AG223)/60*Financial!AG$228*$B$34*0.5/10^9</f>
        <v>13.874555199999996</v>
      </c>
      <c r="AH124" s="48">
        <f>$B29*$B22*($B$31*Financial!AH216+$B$32*Financial!AH223)/60*Financial!AH$228*$B$34*0.5/10^9</f>
        <v>13.874555199999996</v>
      </c>
      <c r="AI124" s="48">
        <f>$B29*$B22*($B$31*Financial!AI216+$B$32*Financial!AI223)/60*Financial!AI$228*$B$34*0.5/10^9</f>
        <v>13.912567679999997</v>
      </c>
      <c r="AJ124" s="48">
        <f>$B29*$B22*($B$31*Financial!AJ216+$B$32*Financial!AJ223)/60*Financial!AJ$228*$B$34*0.5/10^9</f>
        <v>13.874555199999996</v>
      </c>
      <c r="AK124" s="48">
        <f>$B29*$B22*($B$31*Financial!AK216+$B$32*Financial!AK223)/60*Financial!AK$228*$B$34*0.5/10^9</f>
        <v>13.874555199999996</v>
      </c>
    </row>
    <row r="125" spans="1:37" ht="9.75">
      <c r="A125" s="47" t="s">
        <v>24</v>
      </c>
      <c r="H125" s="48">
        <f>SUM(H119:H124)</f>
        <v>31.986066899999994</v>
      </c>
      <c r="I125" s="48">
        <f aca="true" t="shared" si="7" ref="I125:AK125">SUM(I119:I124)</f>
        <v>34.66505557499999</v>
      </c>
      <c r="J125" s="48">
        <f t="shared" si="7"/>
        <v>37.570408855</v>
      </c>
      <c r="K125" s="48">
        <f t="shared" si="7"/>
        <v>40.829538089999986</v>
      </c>
      <c r="L125" s="48">
        <f t="shared" si="7"/>
        <v>44.12854343499999</v>
      </c>
      <c r="M125" s="48">
        <f t="shared" si="7"/>
        <v>47.82613578499999</v>
      </c>
      <c r="N125" s="48">
        <f t="shared" si="7"/>
        <v>51.83414347999999</v>
      </c>
      <c r="O125" s="48">
        <f t="shared" si="7"/>
        <v>56.33038180199999</v>
      </c>
      <c r="P125" s="48">
        <f t="shared" si="7"/>
        <v>59.804512334999984</v>
      </c>
      <c r="Q125" s="48">
        <f t="shared" si="7"/>
        <v>63.66536188499998</v>
      </c>
      <c r="R125" s="48">
        <f t="shared" si="7"/>
        <v>67.77722083999998</v>
      </c>
      <c r="S125" s="48">
        <f t="shared" si="7"/>
        <v>72.35101285799999</v>
      </c>
      <c r="T125" s="48">
        <f t="shared" si="7"/>
        <v>76.81347072499999</v>
      </c>
      <c r="U125" s="48">
        <f t="shared" si="7"/>
        <v>78.10693144499999</v>
      </c>
      <c r="V125" s="48">
        <f t="shared" si="7"/>
        <v>79.474388615</v>
      </c>
      <c r="W125" s="48">
        <f t="shared" si="7"/>
        <v>81.13991798999997</v>
      </c>
      <c r="X125" s="48">
        <f t="shared" si="7"/>
        <v>82.44104072499998</v>
      </c>
      <c r="Y125" s="48">
        <f t="shared" si="7"/>
        <v>84.04892558499998</v>
      </c>
      <c r="Z125" s="48">
        <f t="shared" si="7"/>
        <v>84.04892558499998</v>
      </c>
      <c r="AA125" s="48">
        <f t="shared" si="7"/>
        <v>84.27919661399997</v>
      </c>
      <c r="AB125" s="48">
        <f t="shared" si="7"/>
        <v>84.04892558499998</v>
      </c>
      <c r="AC125" s="48">
        <f t="shared" si="7"/>
        <v>84.04892558499998</v>
      </c>
      <c r="AD125" s="48">
        <f t="shared" si="7"/>
        <v>84.04892558499998</v>
      </c>
      <c r="AE125" s="48">
        <f t="shared" si="7"/>
        <v>84.27919661399997</v>
      </c>
      <c r="AF125" s="48">
        <f t="shared" si="7"/>
        <v>84.04892558499998</v>
      </c>
      <c r="AG125" s="48">
        <f t="shared" si="7"/>
        <v>84.04892558499998</v>
      </c>
      <c r="AH125" s="48">
        <f t="shared" si="7"/>
        <v>84.04892558499998</v>
      </c>
      <c r="AI125" s="48">
        <f t="shared" si="7"/>
        <v>84.27919661399997</v>
      </c>
      <c r="AJ125" s="48">
        <f t="shared" si="7"/>
        <v>84.04892558499998</v>
      </c>
      <c r="AK125" s="48">
        <f t="shared" si="7"/>
        <v>84.04892558499998</v>
      </c>
    </row>
    <row r="126" spans="1:37" ht="9.75">
      <c r="A126" s="56" t="s">
        <v>171</v>
      </c>
      <c r="H126" s="58">
        <f>H125+H117</f>
        <v>287.8746021</v>
      </c>
      <c r="I126" s="58">
        <f aca="true" t="shared" si="8" ref="I126:AK126">I125+I117</f>
        <v>311.98550017499997</v>
      </c>
      <c r="J126" s="58">
        <f t="shared" si="8"/>
        <v>338.13367969499996</v>
      </c>
      <c r="K126" s="58">
        <f t="shared" si="8"/>
        <v>367.46584280999997</v>
      </c>
      <c r="L126" s="58">
        <f t="shared" si="8"/>
        <v>397.15689091499996</v>
      </c>
      <c r="M126" s="58">
        <f t="shared" si="8"/>
        <v>430.43522206499995</v>
      </c>
      <c r="N126" s="58">
        <f t="shared" si="8"/>
        <v>466.50729132000004</v>
      </c>
      <c r="O126" s="58">
        <f t="shared" si="8"/>
        <v>506.973436218</v>
      </c>
      <c r="P126" s="58">
        <f t="shared" si="8"/>
        <v>538.240611015</v>
      </c>
      <c r="Q126" s="58">
        <f t="shared" si="8"/>
        <v>572.9882569649999</v>
      </c>
      <c r="R126" s="58">
        <f t="shared" si="8"/>
        <v>609.99498756</v>
      </c>
      <c r="S126" s="58">
        <f t="shared" si="8"/>
        <v>651.159115722</v>
      </c>
      <c r="T126" s="58">
        <f t="shared" si="8"/>
        <v>691.321236525</v>
      </c>
      <c r="U126" s="58">
        <f t="shared" si="8"/>
        <v>702.9623830049999</v>
      </c>
      <c r="V126" s="58">
        <f t="shared" si="8"/>
        <v>715.2694975349999</v>
      </c>
      <c r="W126" s="58">
        <f t="shared" si="8"/>
        <v>730.2592619099999</v>
      </c>
      <c r="X126" s="58">
        <f t="shared" si="8"/>
        <v>741.9693665249999</v>
      </c>
      <c r="Y126" s="58">
        <f t="shared" si="8"/>
        <v>756.440330265</v>
      </c>
      <c r="Z126" s="58">
        <f t="shared" si="8"/>
        <v>756.440330265</v>
      </c>
      <c r="AA126" s="58">
        <f t="shared" si="8"/>
        <v>758.5127695259999</v>
      </c>
      <c r="AB126" s="58">
        <f t="shared" si="8"/>
        <v>756.440330265</v>
      </c>
      <c r="AC126" s="58">
        <f t="shared" si="8"/>
        <v>756.440330265</v>
      </c>
      <c r="AD126" s="58">
        <f t="shared" si="8"/>
        <v>756.440330265</v>
      </c>
      <c r="AE126" s="58">
        <f t="shared" si="8"/>
        <v>758.5127695259999</v>
      </c>
      <c r="AF126" s="58">
        <f t="shared" si="8"/>
        <v>756.440330265</v>
      </c>
      <c r="AG126" s="58">
        <f t="shared" si="8"/>
        <v>756.440330265</v>
      </c>
      <c r="AH126" s="58">
        <f t="shared" si="8"/>
        <v>756.440330265</v>
      </c>
      <c r="AI126" s="58">
        <f t="shared" si="8"/>
        <v>758.5127695259999</v>
      </c>
      <c r="AJ126" s="58">
        <f t="shared" si="8"/>
        <v>756.440330265</v>
      </c>
      <c r="AK126" s="58">
        <f t="shared" si="8"/>
        <v>756.440330265</v>
      </c>
    </row>
    <row r="127" ht="9.75">
      <c r="A127" s="57"/>
    </row>
    <row r="128" ht="9.75">
      <c r="A128" s="1" t="s">
        <v>172</v>
      </c>
    </row>
    <row r="129" ht="9.75">
      <c r="A129" s="1" t="s">
        <v>207</v>
      </c>
    </row>
    <row r="130" spans="1:37" s="50" customFormat="1" ht="9.75">
      <c r="A130" s="50" t="s">
        <v>168</v>
      </c>
      <c r="C130" s="87">
        <f aca="true" t="shared" si="9" ref="C130:AK130">C108</f>
        <v>0</v>
      </c>
      <c r="D130" s="87">
        <f t="shared" si="9"/>
        <v>0</v>
      </c>
      <c r="E130" s="87">
        <f t="shared" si="9"/>
        <v>0</v>
      </c>
      <c r="F130" s="87">
        <f t="shared" si="9"/>
        <v>0</v>
      </c>
      <c r="G130" s="87">
        <f t="shared" si="9"/>
        <v>0</v>
      </c>
      <c r="H130" s="87">
        <f t="shared" si="9"/>
        <v>405.36595496925</v>
      </c>
      <c r="I130" s="87">
        <f t="shared" si="9"/>
        <v>439.02858250124996</v>
      </c>
      <c r="J130" s="87">
        <f t="shared" si="9"/>
        <v>475.49713220325003</v>
      </c>
      <c r="K130" s="87">
        <f t="shared" si="9"/>
        <v>516.39638516856</v>
      </c>
      <c r="L130" s="87">
        <f t="shared" si="9"/>
        <v>557.7708026637</v>
      </c>
      <c r="M130" s="87">
        <f t="shared" si="9"/>
        <v>604.1176055666999</v>
      </c>
      <c r="N130" s="87">
        <f t="shared" si="9"/>
        <v>654.3063728612999</v>
      </c>
      <c r="O130" s="87">
        <f t="shared" si="9"/>
        <v>710.6031321091201</v>
      </c>
      <c r="P130" s="87">
        <f t="shared" si="9"/>
        <v>754.68190481595</v>
      </c>
      <c r="Q130" s="87">
        <f t="shared" si="9"/>
        <v>803.6833699943999</v>
      </c>
      <c r="R130" s="87">
        <f t="shared" si="9"/>
        <v>855.8944353562499</v>
      </c>
      <c r="S130" s="87">
        <f t="shared" si="9"/>
        <v>913.95636870708</v>
      </c>
      <c r="T130" s="87">
        <f t="shared" si="9"/>
        <v>970.6882914225</v>
      </c>
      <c r="U130" s="87">
        <f t="shared" si="9"/>
        <v>996.9000639106499</v>
      </c>
      <c r="V130" s="87">
        <f t="shared" si="9"/>
        <v>1024.59458635605</v>
      </c>
      <c r="W130" s="87">
        <f t="shared" si="9"/>
        <v>1056.71332288116</v>
      </c>
      <c r="X130" s="87">
        <f t="shared" si="9"/>
        <v>1084.6717508002498</v>
      </c>
      <c r="Y130" s="87">
        <f t="shared" si="9"/>
        <v>1117.2353652229501</v>
      </c>
      <c r="Z130" s="87">
        <f t="shared" si="9"/>
        <v>1117.2353652229501</v>
      </c>
      <c r="AA130" s="87">
        <f t="shared" si="9"/>
        <v>1120.29628403178</v>
      </c>
      <c r="AB130" s="87">
        <f t="shared" si="9"/>
        <v>1117.2353652229501</v>
      </c>
      <c r="AC130" s="87">
        <f t="shared" si="9"/>
        <v>1117.2353652229501</v>
      </c>
      <c r="AD130" s="87">
        <f t="shared" si="9"/>
        <v>1117.2353652229501</v>
      </c>
      <c r="AE130" s="87">
        <f t="shared" si="9"/>
        <v>1120.29628403178</v>
      </c>
      <c r="AF130" s="87">
        <f t="shared" si="9"/>
        <v>1117.2353652229501</v>
      </c>
      <c r="AG130" s="87">
        <f t="shared" si="9"/>
        <v>1117.2353652229501</v>
      </c>
      <c r="AH130" s="87">
        <f t="shared" si="9"/>
        <v>1117.2353652229501</v>
      </c>
      <c r="AI130" s="87">
        <f t="shared" si="9"/>
        <v>1120.29628403178</v>
      </c>
      <c r="AJ130" s="87">
        <f t="shared" si="9"/>
        <v>1117.2353652229501</v>
      </c>
      <c r="AK130" s="87">
        <f t="shared" si="9"/>
        <v>1117.2353652229501</v>
      </c>
    </row>
    <row r="131" spans="1:37" s="50" customFormat="1" ht="9.75">
      <c r="A131" s="50" t="s">
        <v>171</v>
      </c>
      <c r="C131" s="87">
        <f aca="true" t="shared" si="10" ref="C131:AK131">C126</f>
        <v>0</v>
      </c>
      <c r="D131" s="87">
        <f t="shared" si="10"/>
        <v>0</v>
      </c>
      <c r="E131" s="87">
        <f t="shared" si="10"/>
        <v>0</v>
      </c>
      <c r="F131" s="87">
        <f t="shared" si="10"/>
        <v>0</v>
      </c>
      <c r="G131" s="87">
        <f t="shared" si="10"/>
        <v>0</v>
      </c>
      <c r="H131" s="87">
        <f t="shared" si="10"/>
        <v>287.8746021</v>
      </c>
      <c r="I131" s="87">
        <f t="shared" si="10"/>
        <v>311.98550017499997</v>
      </c>
      <c r="J131" s="87">
        <f t="shared" si="10"/>
        <v>338.13367969499996</v>
      </c>
      <c r="K131" s="87">
        <f t="shared" si="10"/>
        <v>367.46584280999997</v>
      </c>
      <c r="L131" s="87">
        <f t="shared" si="10"/>
        <v>397.15689091499996</v>
      </c>
      <c r="M131" s="87">
        <f t="shared" si="10"/>
        <v>430.43522206499995</v>
      </c>
      <c r="N131" s="87">
        <f t="shared" si="10"/>
        <v>466.50729132000004</v>
      </c>
      <c r="O131" s="87">
        <f t="shared" si="10"/>
        <v>506.973436218</v>
      </c>
      <c r="P131" s="87">
        <f t="shared" si="10"/>
        <v>538.240611015</v>
      </c>
      <c r="Q131" s="87">
        <f t="shared" si="10"/>
        <v>572.9882569649999</v>
      </c>
      <c r="R131" s="87">
        <f t="shared" si="10"/>
        <v>609.99498756</v>
      </c>
      <c r="S131" s="87">
        <f t="shared" si="10"/>
        <v>651.159115722</v>
      </c>
      <c r="T131" s="87">
        <f t="shared" si="10"/>
        <v>691.321236525</v>
      </c>
      <c r="U131" s="87">
        <f t="shared" si="10"/>
        <v>702.9623830049999</v>
      </c>
      <c r="V131" s="87">
        <f t="shared" si="10"/>
        <v>715.2694975349999</v>
      </c>
      <c r="W131" s="87">
        <f t="shared" si="10"/>
        <v>730.2592619099999</v>
      </c>
      <c r="X131" s="87">
        <f t="shared" si="10"/>
        <v>741.9693665249999</v>
      </c>
      <c r="Y131" s="87">
        <f t="shared" si="10"/>
        <v>756.440330265</v>
      </c>
      <c r="Z131" s="87">
        <f t="shared" si="10"/>
        <v>756.440330265</v>
      </c>
      <c r="AA131" s="87">
        <f t="shared" si="10"/>
        <v>758.5127695259999</v>
      </c>
      <c r="AB131" s="87">
        <f t="shared" si="10"/>
        <v>756.440330265</v>
      </c>
      <c r="AC131" s="87">
        <f t="shared" si="10"/>
        <v>756.440330265</v>
      </c>
      <c r="AD131" s="87">
        <f t="shared" si="10"/>
        <v>756.440330265</v>
      </c>
      <c r="AE131" s="87">
        <f t="shared" si="10"/>
        <v>758.5127695259999</v>
      </c>
      <c r="AF131" s="87">
        <f t="shared" si="10"/>
        <v>756.440330265</v>
      </c>
      <c r="AG131" s="87">
        <f t="shared" si="10"/>
        <v>756.440330265</v>
      </c>
      <c r="AH131" s="87">
        <f t="shared" si="10"/>
        <v>756.440330265</v>
      </c>
      <c r="AI131" s="87">
        <f t="shared" si="10"/>
        <v>758.5127695259999</v>
      </c>
      <c r="AJ131" s="87">
        <f t="shared" si="10"/>
        <v>756.440330265</v>
      </c>
      <c r="AK131" s="87">
        <f t="shared" si="10"/>
        <v>756.440330265</v>
      </c>
    </row>
    <row r="132" spans="1:37" s="50" customFormat="1" ht="9.75">
      <c r="A132" s="14" t="s">
        <v>173</v>
      </c>
      <c r="C132" s="88">
        <f>C131+C130</f>
        <v>0</v>
      </c>
      <c r="D132" s="88">
        <f aca="true" t="shared" si="11" ref="D132:AK132">D131+D130</f>
        <v>0</v>
      </c>
      <c r="E132" s="88">
        <f t="shared" si="11"/>
        <v>0</v>
      </c>
      <c r="F132" s="88">
        <f t="shared" si="11"/>
        <v>0</v>
      </c>
      <c r="G132" s="88">
        <f t="shared" si="11"/>
        <v>0</v>
      </c>
      <c r="H132" s="88">
        <f t="shared" si="11"/>
        <v>693.24055706925</v>
      </c>
      <c r="I132" s="88">
        <f t="shared" si="11"/>
        <v>751.0140826762499</v>
      </c>
      <c r="J132" s="88">
        <f t="shared" si="11"/>
        <v>813.6308118982499</v>
      </c>
      <c r="K132" s="88">
        <f t="shared" si="11"/>
        <v>883.86222797856</v>
      </c>
      <c r="L132" s="88">
        <f t="shared" si="11"/>
        <v>954.9276935787</v>
      </c>
      <c r="M132" s="88">
        <f t="shared" si="11"/>
        <v>1034.5528276317</v>
      </c>
      <c r="N132" s="88">
        <f t="shared" si="11"/>
        <v>1120.8136641812998</v>
      </c>
      <c r="O132" s="88">
        <f t="shared" si="11"/>
        <v>1217.5765683271202</v>
      </c>
      <c r="P132" s="88">
        <f t="shared" si="11"/>
        <v>1292.92251583095</v>
      </c>
      <c r="Q132" s="88">
        <f t="shared" si="11"/>
        <v>1376.6716269593999</v>
      </c>
      <c r="R132" s="88">
        <f t="shared" si="11"/>
        <v>1465.88942291625</v>
      </c>
      <c r="S132" s="88">
        <f t="shared" si="11"/>
        <v>1565.11548442908</v>
      </c>
      <c r="T132" s="88">
        <f t="shared" si="11"/>
        <v>1662.0095279475</v>
      </c>
      <c r="U132" s="88">
        <f t="shared" si="11"/>
        <v>1699.8624469156498</v>
      </c>
      <c r="V132" s="88">
        <f t="shared" si="11"/>
        <v>1739.86408389105</v>
      </c>
      <c r="W132" s="88">
        <f t="shared" si="11"/>
        <v>1786.9725847911598</v>
      </c>
      <c r="X132" s="88">
        <f t="shared" si="11"/>
        <v>1826.6411173252498</v>
      </c>
      <c r="Y132" s="88">
        <f t="shared" si="11"/>
        <v>1873.6756954879502</v>
      </c>
      <c r="Z132" s="88">
        <f t="shared" si="11"/>
        <v>1873.6756954879502</v>
      </c>
      <c r="AA132" s="88">
        <f t="shared" si="11"/>
        <v>1878.8090535577799</v>
      </c>
      <c r="AB132" s="88">
        <f t="shared" si="11"/>
        <v>1873.6756954879502</v>
      </c>
      <c r="AC132" s="88">
        <f t="shared" si="11"/>
        <v>1873.6756954879502</v>
      </c>
      <c r="AD132" s="88">
        <f t="shared" si="11"/>
        <v>1873.6756954879502</v>
      </c>
      <c r="AE132" s="88">
        <f t="shared" si="11"/>
        <v>1878.8090535577799</v>
      </c>
      <c r="AF132" s="88">
        <f t="shared" si="11"/>
        <v>1873.6756954879502</v>
      </c>
      <c r="AG132" s="88">
        <f t="shared" si="11"/>
        <v>1873.6756954879502</v>
      </c>
      <c r="AH132" s="88">
        <f t="shared" si="11"/>
        <v>1873.6756954879502</v>
      </c>
      <c r="AI132" s="88">
        <f t="shared" si="11"/>
        <v>1878.8090535577799</v>
      </c>
      <c r="AJ132" s="88">
        <f t="shared" si="11"/>
        <v>1873.6756954879502</v>
      </c>
      <c r="AK132" s="88">
        <f t="shared" si="11"/>
        <v>1873.6756954879502</v>
      </c>
    </row>
    <row r="133" spans="1:37" ht="9.75">
      <c r="A133" s="1" t="s">
        <v>208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</row>
    <row r="134" spans="1:37" ht="9.75">
      <c r="A134" s="50" t="s">
        <v>163</v>
      </c>
      <c r="C134" s="48">
        <f aca="true" t="shared" si="12" ref="C134:AK134">C88</f>
        <v>0</v>
      </c>
      <c r="D134" s="48">
        <f t="shared" si="12"/>
        <v>0</v>
      </c>
      <c r="E134" s="48">
        <f t="shared" si="12"/>
        <v>0</v>
      </c>
      <c r="F134" s="48">
        <f t="shared" si="12"/>
        <v>0</v>
      </c>
      <c r="G134" s="48">
        <f t="shared" si="12"/>
        <v>0</v>
      </c>
      <c r="H134" s="48">
        <f t="shared" si="12"/>
        <v>10.467835</v>
      </c>
      <c r="I134" s="48">
        <f t="shared" si="12"/>
        <v>11.340915</v>
      </c>
      <c r="J134" s="48">
        <f t="shared" si="12"/>
        <v>12.286995000000001</v>
      </c>
      <c r="K134" s="48">
        <f t="shared" si="12"/>
        <v>13.348019999999998</v>
      </c>
      <c r="L134" s="48">
        <f t="shared" si="12"/>
        <v>14.421880000000002</v>
      </c>
      <c r="M134" s="48">
        <f t="shared" si="12"/>
        <v>15.624555000000003</v>
      </c>
      <c r="N134" s="48">
        <f t="shared" si="12"/>
        <v>16.927605</v>
      </c>
      <c r="O134" s="48">
        <f t="shared" si="12"/>
        <v>18.390036</v>
      </c>
      <c r="P134" s="48">
        <f t="shared" si="12"/>
        <v>19.527865</v>
      </c>
      <c r="Q134" s="48">
        <f t="shared" si="12"/>
        <v>20.79259</v>
      </c>
      <c r="R134" s="48">
        <f t="shared" si="12"/>
        <v>22.13944</v>
      </c>
      <c r="S134" s="48">
        <f t="shared" si="12"/>
        <v>23.638109999999998</v>
      </c>
      <c r="T134" s="48">
        <f t="shared" si="12"/>
        <v>25.100684999999995</v>
      </c>
      <c r="U134" s="48">
        <f t="shared" si="12"/>
        <v>25.657675</v>
      </c>
      <c r="V134" s="48">
        <f t="shared" si="12"/>
        <v>26.246055000000002</v>
      </c>
      <c r="W134" s="48">
        <f t="shared" si="12"/>
        <v>26.94126</v>
      </c>
      <c r="X134" s="48">
        <f t="shared" si="12"/>
        <v>27.523555</v>
      </c>
      <c r="Y134" s="48">
        <f t="shared" si="12"/>
        <v>28.21596</v>
      </c>
      <c r="Z134" s="48">
        <f t="shared" si="12"/>
        <v>28.215959999999995</v>
      </c>
      <c r="AA134" s="48">
        <f t="shared" si="12"/>
        <v>28.293264000000004</v>
      </c>
      <c r="AB134" s="48">
        <f t="shared" si="12"/>
        <v>28.21596</v>
      </c>
      <c r="AC134" s="48">
        <f t="shared" si="12"/>
        <v>28.21596</v>
      </c>
      <c r="AD134" s="48">
        <f t="shared" si="12"/>
        <v>28.215959999999995</v>
      </c>
      <c r="AE134" s="48">
        <f t="shared" si="12"/>
        <v>28.293264</v>
      </c>
      <c r="AF134" s="48">
        <f t="shared" si="12"/>
        <v>28.21596</v>
      </c>
      <c r="AG134" s="48">
        <f t="shared" si="12"/>
        <v>28.21596</v>
      </c>
      <c r="AH134" s="48">
        <f t="shared" si="12"/>
        <v>28.215960000000003</v>
      </c>
      <c r="AI134" s="48">
        <f t="shared" si="12"/>
        <v>28.293263999999997</v>
      </c>
      <c r="AJ134" s="48">
        <f t="shared" si="12"/>
        <v>28.215960000000003</v>
      </c>
      <c r="AK134" s="48">
        <f t="shared" si="12"/>
        <v>28.215960000000003</v>
      </c>
    </row>
    <row r="135" spans="1:37" ht="9.75">
      <c r="A135" s="50" t="s">
        <v>123</v>
      </c>
      <c r="C135" s="48">
        <f aca="true" t="shared" si="13" ref="C135:AK135">C89</f>
        <v>0</v>
      </c>
      <c r="D135" s="48">
        <f t="shared" si="13"/>
        <v>0</v>
      </c>
      <c r="E135" s="48">
        <f t="shared" si="13"/>
        <v>0</v>
      </c>
      <c r="F135" s="48">
        <f t="shared" si="13"/>
        <v>0</v>
      </c>
      <c r="G135" s="48">
        <f t="shared" si="13"/>
        <v>0</v>
      </c>
      <c r="H135" s="48">
        <f t="shared" si="13"/>
        <v>2.4618</v>
      </c>
      <c r="I135" s="48">
        <f t="shared" si="13"/>
        <v>2.4618</v>
      </c>
      <c r="J135" s="48">
        <f t="shared" si="13"/>
        <v>2.4618</v>
      </c>
      <c r="K135" s="48">
        <f t="shared" si="13"/>
        <v>2.4618</v>
      </c>
      <c r="L135" s="48">
        <f t="shared" si="13"/>
        <v>2.4618</v>
      </c>
      <c r="M135" s="48">
        <f t="shared" si="13"/>
        <v>2.4618</v>
      </c>
      <c r="N135" s="48">
        <f t="shared" si="13"/>
        <v>2.4618</v>
      </c>
      <c r="O135" s="48">
        <f t="shared" si="13"/>
        <v>2.4618</v>
      </c>
      <c r="P135" s="48">
        <f t="shared" si="13"/>
        <v>2.4618</v>
      </c>
      <c r="Q135" s="48">
        <f t="shared" si="13"/>
        <v>2.4618</v>
      </c>
      <c r="R135" s="48">
        <f t="shared" si="13"/>
        <v>2.4618</v>
      </c>
      <c r="S135" s="48">
        <f t="shared" si="13"/>
        <v>2.4618</v>
      </c>
      <c r="T135" s="48">
        <f t="shared" si="13"/>
        <v>2.4618</v>
      </c>
      <c r="U135" s="48">
        <f t="shared" si="13"/>
        <v>2.4618</v>
      </c>
      <c r="V135" s="48">
        <f t="shared" si="13"/>
        <v>2.4618</v>
      </c>
      <c r="W135" s="48">
        <f t="shared" si="13"/>
        <v>2.4618</v>
      </c>
      <c r="X135" s="48">
        <f t="shared" si="13"/>
        <v>2.4618</v>
      </c>
      <c r="Y135" s="48">
        <f t="shared" si="13"/>
        <v>2.4618</v>
      </c>
      <c r="Z135" s="48">
        <f t="shared" si="13"/>
        <v>2.4618</v>
      </c>
      <c r="AA135" s="48">
        <f t="shared" si="13"/>
        <v>2.4618</v>
      </c>
      <c r="AB135" s="48">
        <f t="shared" si="13"/>
        <v>2.4618</v>
      </c>
      <c r="AC135" s="48">
        <f t="shared" si="13"/>
        <v>2.4618</v>
      </c>
      <c r="AD135" s="48">
        <f t="shared" si="13"/>
        <v>2.4618</v>
      </c>
      <c r="AE135" s="48">
        <f t="shared" si="13"/>
        <v>2.4618</v>
      </c>
      <c r="AF135" s="48">
        <f t="shared" si="13"/>
        <v>2.4618</v>
      </c>
      <c r="AG135" s="48">
        <f t="shared" si="13"/>
        <v>2.4618</v>
      </c>
      <c r="AH135" s="48">
        <f t="shared" si="13"/>
        <v>2.4618</v>
      </c>
      <c r="AI135" s="48">
        <f t="shared" si="13"/>
        <v>2.4618</v>
      </c>
      <c r="AJ135" s="48">
        <f t="shared" si="13"/>
        <v>2.4618</v>
      </c>
      <c r="AK135" s="48">
        <f t="shared" si="13"/>
        <v>2.4618</v>
      </c>
    </row>
    <row r="136" spans="1:37" ht="9.75">
      <c r="A136" s="50" t="s">
        <v>81</v>
      </c>
      <c r="C136" s="48">
        <f aca="true" t="shared" si="14" ref="C136:AK136">C90</f>
        <v>0</v>
      </c>
      <c r="D136" s="48">
        <f t="shared" si="14"/>
        <v>0</v>
      </c>
      <c r="E136" s="48">
        <f t="shared" si="14"/>
        <v>0</v>
      </c>
      <c r="F136" s="48">
        <f t="shared" si="14"/>
        <v>0</v>
      </c>
      <c r="G136" s="48">
        <f t="shared" si="14"/>
        <v>0</v>
      </c>
      <c r="H136" s="48">
        <f t="shared" si="14"/>
        <v>0</v>
      </c>
      <c r="I136" s="48">
        <f t="shared" si="14"/>
        <v>0</v>
      </c>
      <c r="J136" s="48">
        <f t="shared" si="14"/>
        <v>0</v>
      </c>
      <c r="K136" s="48">
        <f t="shared" si="14"/>
        <v>0</v>
      </c>
      <c r="L136" s="48">
        <f t="shared" si="14"/>
        <v>0</v>
      </c>
      <c r="M136" s="48">
        <f t="shared" si="14"/>
        <v>0</v>
      </c>
      <c r="N136" s="48">
        <f t="shared" si="14"/>
        <v>0</v>
      </c>
      <c r="O136" s="48">
        <f t="shared" si="14"/>
        <v>205.15</v>
      </c>
      <c r="P136" s="48">
        <f t="shared" si="14"/>
        <v>0</v>
      </c>
      <c r="Q136" s="48">
        <f t="shared" si="14"/>
        <v>0</v>
      </c>
      <c r="R136" s="48">
        <f t="shared" si="14"/>
        <v>0</v>
      </c>
      <c r="S136" s="48">
        <f t="shared" si="14"/>
        <v>0</v>
      </c>
      <c r="T136" s="48">
        <f t="shared" si="14"/>
        <v>0</v>
      </c>
      <c r="U136" s="48">
        <f t="shared" si="14"/>
        <v>0</v>
      </c>
      <c r="V136" s="48">
        <f t="shared" si="14"/>
        <v>0</v>
      </c>
      <c r="W136" s="48">
        <f t="shared" si="14"/>
        <v>205.15</v>
      </c>
      <c r="X136" s="48">
        <f t="shared" si="14"/>
        <v>0</v>
      </c>
      <c r="Y136" s="48">
        <f t="shared" si="14"/>
        <v>0</v>
      </c>
      <c r="Z136" s="48">
        <f t="shared" si="14"/>
        <v>0</v>
      </c>
      <c r="AA136" s="48">
        <f t="shared" si="14"/>
        <v>0</v>
      </c>
      <c r="AB136" s="48">
        <f t="shared" si="14"/>
        <v>0</v>
      </c>
      <c r="AC136" s="48">
        <f t="shared" si="14"/>
        <v>0</v>
      </c>
      <c r="AD136" s="48">
        <f t="shared" si="14"/>
        <v>0</v>
      </c>
      <c r="AE136" s="48">
        <f t="shared" si="14"/>
        <v>205.15</v>
      </c>
      <c r="AF136" s="48">
        <f t="shared" si="14"/>
        <v>0</v>
      </c>
      <c r="AG136" s="48">
        <f t="shared" si="14"/>
        <v>0</v>
      </c>
      <c r="AH136" s="48">
        <f t="shared" si="14"/>
        <v>0</v>
      </c>
      <c r="AI136" s="48">
        <f t="shared" si="14"/>
        <v>0</v>
      </c>
      <c r="AJ136" s="48">
        <f t="shared" si="14"/>
        <v>0</v>
      </c>
      <c r="AK136" s="48">
        <f t="shared" si="14"/>
        <v>0</v>
      </c>
    </row>
    <row r="137" spans="1:37" ht="9.75">
      <c r="A137" s="50" t="s">
        <v>93</v>
      </c>
      <c r="C137" s="48">
        <f aca="true" t="shared" si="15" ref="C137:AK137">C85</f>
        <v>1053.61</v>
      </c>
      <c r="D137" s="48">
        <f t="shared" si="15"/>
        <v>2180.1491</v>
      </c>
      <c r="E137" s="48">
        <f t="shared" si="15"/>
        <v>2424.6812999999997</v>
      </c>
      <c r="F137" s="48">
        <f t="shared" si="15"/>
        <v>2290.9892999999997</v>
      </c>
      <c r="G137" s="48">
        <f t="shared" si="15"/>
        <v>2242.0253</v>
      </c>
      <c r="H137" s="48">
        <f t="shared" si="15"/>
        <v>0</v>
      </c>
      <c r="I137" s="48">
        <f t="shared" si="15"/>
        <v>0</v>
      </c>
      <c r="J137" s="48">
        <f t="shared" si="15"/>
        <v>0</v>
      </c>
      <c r="K137" s="48">
        <f t="shared" si="15"/>
        <v>0</v>
      </c>
      <c r="L137" s="48">
        <f t="shared" si="15"/>
        <v>0</v>
      </c>
      <c r="M137" s="48">
        <f t="shared" si="15"/>
        <v>0</v>
      </c>
      <c r="N137" s="48">
        <f t="shared" si="15"/>
        <v>0</v>
      </c>
      <c r="O137" s="48">
        <f t="shared" si="15"/>
        <v>0</v>
      </c>
      <c r="P137" s="48">
        <f t="shared" si="15"/>
        <v>0</v>
      </c>
      <c r="Q137" s="48">
        <f t="shared" si="15"/>
        <v>0</v>
      </c>
      <c r="R137" s="48">
        <f t="shared" si="15"/>
        <v>0</v>
      </c>
      <c r="S137" s="48">
        <f t="shared" si="15"/>
        <v>0</v>
      </c>
      <c r="T137" s="48">
        <f t="shared" si="15"/>
        <v>0</v>
      </c>
      <c r="U137" s="48">
        <f t="shared" si="15"/>
        <v>0</v>
      </c>
      <c r="V137" s="48">
        <f t="shared" si="15"/>
        <v>0</v>
      </c>
      <c r="W137" s="48">
        <f t="shared" si="15"/>
        <v>0</v>
      </c>
      <c r="X137" s="48">
        <f t="shared" si="15"/>
        <v>0</v>
      </c>
      <c r="Y137" s="48">
        <f t="shared" si="15"/>
        <v>0</v>
      </c>
      <c r="Z137" s="48">
        <f t="shared" si="15"/>
        <v>0</v>
      </c>
      <c r="AA137" s="48">
        <f t="shared" si="15"/>
        <v>0</v>
      </c>
      <c r="AB137" s="48">
        <f t="shared" si="15"/>
        <v>0</v>
      </c>
      <c r="AC137" s="48">
        <f t="shared" si="15"/>
        <v>0</v>
      </c>
      <c r="AD137" s="48">
        <f t="shared" si="15"/>
        <v>0</v>
      </c>
      <c r="AE137" s="48">
        <f t="shared" si="15"/>
        <v>0</v>
      </c>
      <c r="AF137" s="48">
        <f t="shared" si="15"/>
        <v>0</v>
      </c>
      <c r="AG137" s="48">
        <f t="shared" si="15"/>
        <v>0</v>
      </c>
      <c r="AH137" s="48">
        <f t="shared" si="15"/>
        <v>0</v>
      </c>
      <c r="AI137" s="48">
        <f t="shared" si="15"/>
        <v>0</v>
      </c>
      <c r="AJ137" s="48">
        <f t="shared" si="15"/>
        <v>0</v>
      </c>
      <c r="AK137" s="48">
        <f t="shared" si="15"/>
        <v>0</v>
      </c>
    </row>
    <row r="138" spans="1:38" ht="9.75">
      <c r="A138" s="14" t="s">
        <v>174</v>
      </c>
      <c r="C138" s="55">
        <f>SUM(C134:C137)</f>
        <v>1053.61</v>
      </c>
      <c r="D138" s="55">
        <f aca="true" t="shared" si="16" ref="D138:AK138">SUM(D134:D137)</f>
        <v>2180.1491</v>
      </c>
      <c r="E138" s="55">
        <f t="shared" si="16"/>
        <v>2424.6812999999997</v>
      </c>
      <c r="F138" s="55">
        <f t="shared" si="16"/>
        <v>2290.9892999999997</v>
      </c>
      <c r="G138" s="55">
        <f t="shared" si="16"/>
        <v>2242.0253</v>
      </c>
      <c r="H138" s="55">
        <f t="shared" si="16"/>
        <v>12.929635</v>
      </c>
      <c r="I138" s="55">
        <f t="shared" si="16"/>
        <v>13.802715000000001</v>
      </c>
      <c r="J138" s="55">
        <f t="shared" si="16"/>
        <v>14.748795000000001</v>
      </c>
      <c r="K138" s="55">
        <f t="shared" si="16"/>
        <v>15.809819999999998</v>
      </c>
      <c r="L138" s="55">
        <f t="shared" si="16"/>
        <v>16.883680000000002</v>
      </c>
      <c r="M138" s="55">
        <f t="shared" si="16"/>
        <v>18.086355000000005</v>
      </c>
      <c r="N138" s="55">
        <f t="shared" si="16"/>
        <v>19.389405</v>
      </c>
      <c r="O138" s="55">
        <f t="shared" si="16"/>
        <v>226.001836</v>
      </c>
      <c r="P138" s="55">
        <f t="shared" si="16"/>
        <v>21.989665</v>
      </c>
      <c r="Q138" s="55">
        <f t="shared" si="16"/>
        <v>23.25439</v>
      </c>
      <c r="R138" s="55">
        <f t="shared" si="16"/>
        <v>24.60124</v>
      </c>
      <c r="S138" s="55">
        <f t="shared" si="16"/>
        <v>26.099909999999998</v>
      </c>
      <c r="T138" s="55">
        <f t="shared" si="16"/>
        <v>27.562484999999995</v>
      </c>
      <c r="U138" s="55">
        <f t="shared" si="16"/>
        <v>28.119475</v>
      </c>
      <c r="V138" s="55">
        <f t="shared" si="16"/>
        <v>28.707855000000002</v>
      </c>
      <c r="W138" s="55">
        <f t="shared" si="16"/>
        <v>234.55306000000002</v>
      </c>
      <c r="X138" s="55">
        <f t="shared" si="16"/>
        <v>29.985355000000002</v>
      </c>
      <c r="Y138" s="55">
        <f t="shared" si="16"/>
        <v>30.67776</v>
      </c>
      <c r="Z138" s="55">
        <f t="shared" si="16"/>
        <v>30.677759999999996</v>
      </c>
      <c r="AA138" s="55">
        <f t="shared" si="16"/>
        <v>30.755064000000004</v>
      </c>
      <c r="AB138" s="55">
        <f t="shared" si="16"/>
        <v>30.67776</v>
      </c>
      <c r="AC138" s="55">
        <f t="shared" si="16"/>
        <v>30.67776</v>
      </c>
      <c r="AD138" s="55">
        <f t="shared" si="16"/>
        <v>30.677759999999996</v>
      </c>
      <c r="AE138" s="55">
        <f t="shared" si="16"/>
        <v>235.905064</v>
      </c>
      <c r="AF138" s="55">
        <f t="shared" si="16"/>
        <v>30.67776</v>
      </c>
      <c r="AG138" s="55">
        <f t="shared" si="16"/>
        <v>30.67776</v>
      </c>
      <c r="AH138" s="55">
        <f t="shared" si="16"/>
        <v>30.677760000000003</v>
      </c>
      <c r="AI138" s="55">
        <f t="shared" si="16"/>
        <v>30.755063999999997</v>
      </c>
      <c r="AJ138" s="55">
        <f t="shared" si="16"/>
        <v>30.677760000000003</v>
      </c>
      <c r="AK138" s="55">
        <f t="shared" si="16"/>
        <v>30.677760000000003</v>
      </c>
      <c r="AL138" s="89" t="s">
        <v>200</v>
      </c>
    </row>
    <row r="139" spans="1:37" ht="9.75">
      <c r="A139" s="1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</row>
    <row r="140" spans="1:38" ht="9.75">
      <c r="A140" s="1" t="s">
        <v>209</v>
      </c>
      <c r="C140" s="55">
        <f>C132-C138</f>
        <v>-1053.61</v>
      </c>
      <c r="D140" s="55">
        <f aca="true" t="shared" si="17" ref="D140:AJ140">D132-D138</f>
        <v>-2180.1491</v>
      </c>
      <c r="E140" s="55">
        <f t="shared" si="17"/>
        <v>-2424.6812999999997</v>
      </c>
      <c r="F140" s="55">
        <f t="shared" si="17"/>
        <v>-2290.9892999999997</v>
      </c>
      <c r="G140" s="55">
        <f t="shared" si="17"/>
        <v>-2242.0253</v>
      </c>
      <c r="H140" s="55">
        <f t="shared" si="17"/>
        <v>680.3109220692501</v>
      </c>
      <c r="I140" s="55">
        <f t="shared" si="17"/>
        <v>737.2113676762499</v>
      </c>
      <c r="J140" s="55">
        <f t="shared" si="17"/>
        <v>798.88201689825</v>
      </c>
      <c r="K140" s="55">
        <f t="shared" si="17"/>
        <v>868.05240797856</v>
      </c>
      <c r="L140" s="55">
        <f t="shared" si="17"/>
        <v>938.0440135787</v>
      </c>
      <c r="M140" s="55">
        <f t="shared" si="17"/>
        <v>1016.4664726317</v>
      </c>
      <c r="N140" s="55">
        <f t="shared" si="17"/>
        <v>1101.4242591813</v>
      </c>
      <c r="O140" s="55">
        <f t="shared" si="17"/>
        <v>991.5747323271202</v>
      </c>
      <c r="P140" s="55">
        <f t="shared" si="17"/>
        <v>1270.93285083095</v>
      </c>
      <c r="Q140" s="55">
        <f t="shared" si="17"/>
        <v>1353.4172369593998</v>
      </c>
      <c r="R140" s="55">
        <f t="shared" si="17"/>
        <v>1441.28818291625</v>
      </c>
      <c r="S140" s="55">
        <f t="shared" si="17"/>
        <v>1539.01557442908</v>
      </c>
      <c r="T140" s="55">
        <f t="shared" si="17"/>
        <v>1634.4470429475</v>
      </c>
      <c r="U140" s="55">
        <f t="shared" si="17"/>
        <v>1671.7429719156498</v>
      </c>
      <c r="V140" s="55">
        <f t="shared" si="17"/>
        <v>1711.15622889105</v>
      </c>
      <c r="W140" s="55">
        <f t="shared" si="17"/>
        <v>1552.4195247911598</v>
      </c>
      <c r="X140" s="55">
        <f t="shared" si="17"/>
        <v>1796.6557623252497</v>
      </c>
      <c r="Y140" s="55">
        <f t="shared" si="17"/>
        <v>1842.9979354879501</v>
      </c>
      <c r="Z140" s="55">
        <f t="shared" si="17"/>
        <v>1842.9979354879501</v>
      </c>
      <c r="AA140" s="55">
        <f t="shared" si="17"/>
        <v>1848.05398955778</v>
      </c>
      <c r="AB140" s="55">
        <f t="shared" si="17"/>
        <v>1842.9979354879501</v>
      </c>
      <c r="AC140" s="55">
        <f t="shared" si="17"/>
        <v>1842.9979354879501</v>
      </c>
      <c r="AD140" s="55">
        <f t="shared" si="17"/>
        <v>1842.9979354879501</v>
      </c>
      <c r="AE140" s="55">
        <f t="shared" si="17"/>
        <v>1642.9039895577798</v>
      </c>
      <c r="AF140" s="55">
        <f t="shared" si="17"/>
        <v>1842.9979354879501</v>
      </c>
      <c r="AG140" s="55">
        <f t="shared" si="17"/>
        <v>1842.9979354879501</v>
      </c>
      <c r="AH140" s="55">
        <f t="shared" si="17"/>
        <v>1842.9979354879501</v>
      </c>
      <c r="AI140" s="55">
        <f t="shared" si="17"/>
        <v>1848.05398955778</v>
      </c>
      <c r="AJ140" s="55">
        <f t="shared" si="17"/>
        <v>1842.9979354879501</v>
      </c>
      <c r="AK140" s="55">
        <f>AK132-AK138+AL140</f>
        <v>24912.624754087326</v>
      </c>
      <c r="AL140" s="55">
        <f>(AK132-AK135-AE136/8)/B35</f>
        <v>23069.626818599376</v>
      </c>
    </row>
    <row r="142" spans="1:2" ht="9.75">
      <c r="A142" s="1" t="s">
        <v>210</v>
      </c>
      <c r="B142" s="55">
        <f>NPV(B35,C140:AK140)</f>
        <v>3135.586423992186</v>
      </c>
    </row>
    <row r="143" spans="1:2" ht="9.75">
      <c r="A143" s="1" t="s">
        <v>211</v>
      </c>
      <c r="B143" s="59">
        <f>IRR(C140:AK140)</f>
        <v>0.10250719804137853</v>
      </c>
    </row>
    <row r="145" s="48" customFormat="1" ht="9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K29"/>
  <sheetViews>
    <sheetView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6" sqref="J26"/>
    </sheetView>
  </sheetViews>
  <sheetFormatPr defaultColWidth="9.140625" defaultRowHeight="12.75"/>
  <cols>
    <col min="1" max="1" width="27.421875" style="60" bestFit="1" customWidth="1"/>
    <col min="2" max="37" width="11.140625" style="60" customWidth="1"/>
    <col min="38" max="16384" width="9.140625" style="60" customWidth="1"/>
  </cols>
  <sheetData>
    <row r="1" spans="2:37" ht="12.75">
      <c r="B1" s="61">
        <v>2007</v>
      </c>
      <c r="C1" s="60">
        <v>2008</v>
      </c>
      <c r="D1" s="60">
        <v>2009</v>
      </c>
      <c r="E1" s="60">
        <v>2010</v>
      </c>
      <c r="F1" s="60">
        <v>2011</v>
      </c>
      <c r="G1" s="60">
        <v>2012</v>
      </c>
      <c r="H1" s="60">
        <v>2013</v>
      </c>
      <c r="I1" s="60">
        <v>2014</v>
      </c>
      <c r="J1" s="60">
        <v>2015</v>
      </c>
      <c r="K1" s="60">
        <v>2016</v>
      </c>
      <c r="L1" s="60">
        <v>2017</v>
      </c>
      <c r="M1" s="60">
        <v>2018</v>
      </c>
      <c r="N1" s="60">
        <v>2019</v>
      </c>
      <c r="O1" s="60">
        <v>2020</v>
      </c>
      <c r="P1" s="60">
        <v>2021</v>
      </c>
      <c r="Q1" s="60">
        <v>2022</v>
      </c>
      <c r="R1" s="60">
        <v>2023</v>
      </c>
      <c r="S1" s="60">
        <v>2024</v>
      </c>
      <c r="T1" s="60">
        <v>2025</v>
      </c>
      <c r="U1" s="60">
        <v>2026</v>
      </c>
      <c r="V1" s="60">
        <v>2027</v>
      </c>
      <c r="W1" s="60">
        <v>2028</v>
      </c>
      <c r="X1" s="60">
        <v>2029</v>
      </c>
      <c r="Y1" s="60">
        <v>2030</v>
      </c>
      <c r="Z1" s="60">
        <v>2031</v>
      </c>
      <c r="AA1" s="60">
        <v>2032</v>
      </c>
      <c r="AB1" s="60">
        <v>2033</v>
      </c>
      <c r="AC1" s="60">
        <v>2034</v>
      </c>
      <c r="AD1" s="60">
        <v>2035</v>
      </c>
      <c r="AE1" s="60">
        <v>2036</v>
      </c>
      <c r="AF1" s="60">
        <v>2037</v>
      </c>
      <c r="AG1" s="60">
        <v>2038</v>
      </c>
      <c r="AH1" s="60">
        <v>2039</v>
      </c>
      <c r="AI1" s="60">
        <v>2040</v>
      </c>
      <c r="AJ1" s="60">
        <v>2041</v>
      </c>
      <c r="AK1" s="60">
        <v>2042</v>
      </c>
    </row>
    <row r="2" spans="1:37" ht="12.75">
      <c r="A2" s="62"/>
      <c r="B2" s="61">
        <v>0</v>
      </c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60">
        <v>16</v>
      </c>
      <c r="S2" s="60">
        <v>17</v>
      </c>
      <c r="T2" s="60">
        <v>18</v>
      </c>
      <c r="U2" s="60">
        <v>19</v>
      </c>
      <c r="V2" s="60">
        <v>20</v>
      </c>
      <c r="W2" s="60">
        <v>21</v>
      </c>
      <c r="X2" s="60">
        <v>22</v>
      </c>
      <c r="Y2" s="60">
        <v>23</v>
      </c>
      <c r="Z2" s="60">
        <v>24</v>
      </c>
      <c r="AA2" s="60">
        <v>25</v>
      </c>
      <c r="AB2" s="60">
        <v>26</v>
      </c>
      <c r="AC2" s="60">
        <v>27</v>
      </c>
      <c r="AD2" s="60">
        <v>28</v>
      </c>
      <c r="AE2" s="60">
        <v>29</v>
      </c>
      <c r="AF2" s="60">
        <v>30</v>
      </c>
      <c r="AG2" s="60">
        <v>31</v>
      </c>
      <c r="AH2" s="60">
        <v>32</v>
      </c>
      <c r="AI2" s="60">
        <v>33</v>
      </c>
      <c r="AJ2" s="60">
        <v>34</v>
      </c>
      <c r="AK2" s="60">
        <v>35</v>
      </c>
    </row>
    <row r="3" spans="1:2" ht="12.75">
      <c r="A3" s="62" t="s">
        <v>177</v>
      </c>
      <c r="B3" s="96" t="s">
        <v>206</v>
      </c>
    </row>
    <row r="4" spans="1:37" ht="12.75">
      <c r="A4" s="60" t="s">
        <v>182</v>
      </c>
      <c r="B4" s="97">
        <f>NPV(Financial!$B$288,C4:AK4)</f>
        <v>21728.730706894086</v>
      </c>
      <c r="C4" s="65">
        <f>Financial!C266</f>
        <v>0</v>
      </c>
      <c r="D4" s="65">
        <f>Financial!D266</f>
        <v>0</v>
      </c>
      <c r="E4" s="65">
        <f>Financial!E266</f>
        <v>0</v>
      </c>
      <c r="F4" s="65">
        <f>Financial!F266</f>
        <v>0</v>
      </c>
      <c r="G4" s="65">
        <f>Financial!G266</f>
        <v>0</v>
      </c>
      <c r="H4" s="65">
        <f>Financial!H266</f>
        <v>481.95381763636357</v>
      </c>
      <c r="I4" s="65">
        <f>Financial!I266</f>
        <v>521.9926519090909</v>
      </c>
      <c r="J4" s="65">
        <f>Financial!J266</f>
        <v>565.3746904090909</v>
      </c>
      <c r="K4" s="65">
        <f>Financial!K266</f>
        <v>614.0156893363635</v>
      </c>
      <c r="L4" s="65">
        <f>Financial!L266</f>
        <v>663.2212076590907</v>
      </c>
      <c r="M4" s="65">
        <f>Financial!M266</f>
        <v>718.3336974545456</v>
      </c>
      <c r="N4" s="65">
        <f>Financial!N266</f>
        <v>778.02646275</v>
      </c>
      <c r="O4" s="65">
        <f>Financial!O266</f>
        <v>844.9966739454545</v>
      </c>
      <c r="P4" s="65">
        <f>Financial!P266</f>
        <v>897.4110824999999</v>
      </c>
      <c r="Q4" s="65">
        <f>Financial!Q266</f>
        <v>955.6653313636364</v>
      </c>
      <c r="R4" s="65">
        <f>Financial!R266</f>
        <v>1017.7209672954542</v>
      </c>
      <c r="S4" s="65">
        <f>Financial!S266</f>
        <v>1086.7582617545454</v>
      </c>
      <c r="T4" s="65">
        <f>Financial!T266</f>
        <v>1154.1771795681816</v>
      </c>
      <c r="U4" s="65">
        <f>Financial!U266</f>
        <v>1184.7612164318182</v>
      </c>
      <c r="V4" s="65">
        <f>Financial!V266</f>
        <v>1217.0727452045453</v>
      </c>
      <c r="W4" s="65">
        <f>Financial!W266</f>
        <v>1254.6279431999997</v>
      </c>
      <c r="X4" s="65">
        <f>Financial!X266</f>
        <v>1287.21263175</v>
      </c>
      <c r="Y4" s="65">
        <f>Financial!Y266</f>
        <v>1325.2220975454543</v>
      </c>
      <c r="Z4" s="65">
        <f>Financial!Z266</f>
        <v>1325.2220975454547</v>
      </c>
      <c r="AA4" s="65">
        <f>Financial!AA266</f>
        <v>1328.8528430181818</v>
      </c>
      <c r="AB4" s="65">
        <f>Financial!AB266</f>
        <v>1325.2220975454543</v>
      </c>
      <c r="AC4" s="65">
        <f>Financial!AC266</f>
        <v>1325.2220975454543</v>
      </c>
      <c r="AD4" s="65">
        <f>Financial!AD266</f>
        <v>1325.2220975454545</v>
      </c>
      <c r="AE4" s="65">
        <f>Financial!AE266</f>
        <v>1328.8528430181818</v>
      </c>
      <c r="AF4" s="65">
        <f>Financial!AF266</f>
        <v>1325.2220975454545</v>
      </c>
      <c r="AG4" s="65">
        <f>Financial!AG266</f>
        <v>1325.2220975454545</v>
      </c>
      <c r="AH4" s="65">
        <f>Financial!AH266</f>
        <v>1325.2220975454545</v>
      </c>
      <c r="AI4" s="65">
        <f>Financial!AI266</f>
        <v>1328.8528430181816</v>
      </c>
      <c r="AJ4" s="65">
        <f>Financial!AJ266</f>
        <v>1325.2220975454547</v>
      </c>
      <c r="AK4" s="65">
        <f>Financial!AK266</f>
        <v>1325.2220975454545</v>
      </c>
    </row>
    <row r="5" spans="1:37" ht="12.75">
      <c r="A5" s="63" t="s">
        <v>129</v>
      </c>
      <c r="B5" s="97">
        <f>NPV(Financial!$B$288,C5:AK5)</f>
        <v>467.12948009813323</v>
      </c>
      <c r="C5" s="65">
        <f>Financial!C267</f>
        <v>0</v>
      </c>
      <c r="D5" s="65">
        <f>Financial!D267</f>
        <v>0</v>
      </c>
      <c r="E5" s="65">
        <f>Financial!E267</f>
        <v>0</v>
      </c>
      <c r="F5" s="65">
        <f>Financial!F267</f>
        <v>0</v>
      </c>
      <c r="G5" s="65">
        <f>Financial!G267</f>
        <v>0</v>
      </c>
      <c r="H5" s="65">
        <f>Financial!H267</f>
        <v>10.467835</v>
      </c>
      <c r="I5" s="65">
        <f>Financial!I267</f>
        <v>11.340915</v>
      </c>
      <c r="J5" s="65">
        <f>Financial!J267</f>
        <v>12.286995000000001</v>
      </c>
      <c r="K5" s="65">
        <f>Financial!K267</f>
        <v>13.348019999999998</v>
      </c>
      <c r="L5" s="65">
        <f>Financial!L267</f>
        <v>14.421880000000002</v>
      </c>
      <c r="M5" s="65">
        <f>Financial!M267</f>
        <v>15.624555000000003</v>
      </c>
      <c r="N5" s="65">
        <f>Financial!N267</f>
        <v>16.927605</v>
      </c>
      <c r="O5" s="65">
        <f>Financial!O267</f>
        <v>18.390036</v>
      </c>
      <c r="P5" s="65">
        <f>Financial!P267</f>
        <v>19.527865</v>
      </c>
      <c r="Q5" s="65">
        <f>Financial!Q267</f>
        <v>20.79259</v>
      </c>
      <c r="R5" s="65">
        <f>Financial!R267</f>
        <v>22.13944</v>
      </c>
      <c r="S5" s="65">
        <f>Financial!S267</f>
        <v>23.638109999999998</v>
      </c>
      <c r="T5" s="65">
        <f>Financial!T267</f>
        <v>25.100684999999995</v>
      </c>
      <c r="U5" s="65">
        <f>Financial!U267</f>
        <v>25.657675</v>
      </c>
      <c r="V5" s="65">
        <f>Financial!V267</f>
        <v>26.246055000000002</v>
      </c>
      <c r="W5" s="65">
        <f>Financial!W267</f>
        <v>26.94126</v>
      </c>
      <c r="X5" s="65">
        <f>Financial!X267</f>
        <v>27.523555</v>
      </c>
      <c r="Y5" s="65">
        <f>Financial!Y267</f>
        <v>28.21596</v>
      </c>
      <c r="Z5" s="65">
        <f>Financial!Z267</f>
        <v>28.215959999999995</v>
      </c>
      <c r="AA5" s="65">
        <f>Financial!AA267</f>
        <v>28.293264000000004</v>
      </c>
      <c r="AB5" s="65">
        <f>Financial!AB267</f>
        <v>28.21596</v>
      </c>
      <c r="AC5" s="65">
        <f>Financial!AC267</f>
        <v>28.21596</v>
      </c>
      <c r="AD5" s="65">
        <f>Financial!AD267</f>
        <v>28.215959999999995</v>
      </c>
      <c r="AE5" s="65">
        <f>Financial!AE267</f>
        <v>28.293264</v>
      </c>
      <c r="AF5" s="65">
        <f>Financial!AF267</f>
        <v>28.21596</v>
      </c>
      <c r="AG5" s="65">
        <f>Financial!AG267</f>
        <v>28.21596</v>
      </c>
      <c r="AH5" s="65">
        <f>Financial!AH267</f>
        <v>28.215960000000003</v>
      </c>
      <c r="AI5" s="65">
        <f>Financial!AI267</f>
        <v>28.293263999999997</v>
      </c>
      <c r="AJ5" s="65">
        <f>Financial!AJ267</f>
        <v>28.215960000000003</v>
      </c>
      <c r="AK5" s="65">
        <f>Financial!AK267</f>
        <v>28.215960000000003</v>
      </c>
    </row>
    <row r="6" spans="1:37" ht="12.75">
      <c r="A6" s="63" t="s">
        <v>123</v>
      </c>
      <c r="B6" s="97">
        <f>NPV(Financial!$B$288,C6:AK6)</f>
        <v>55.18322083601778</v>
      </c>
      <c r="C6" s="65">
        <f>Financial!C268</f>
        <v>0</v>
      </c>
      <c r="D6" s="65">
        <f>Financial!D268</f>
        <v>0</v>
      </c>
      <c r="E6" s="65">
        <f>Financial!E268</f>
        <v>0</v>
      </c>
      <c r="F6" s="65">
        <f>Financial!F268</f>
        <v>0</v>
      </c>
      <c r="G6" s="65">
        <f>Financial!G268</f>
        <v>0</v>
      </c>
      <c r="H6" s="65">
        <f>Financial!H268</f>
        <v>2.64</v>
      </c>
      <c r="I6" s="65">
        <f>Financial!I268</f>
        <v>2.6400000000000006</v>
      </c>
      <c r="J6" s="65">
        <f>Financial!J268</f>
        <v>2.64</v>
      </c>
      <c r="K6" s="65">
        <f>Financial!K268</f>
        <v>2.64</v>
      </c>
      <c r="L6" s="65">
        <f>Financial!L268</f>
        <v>2.64</v>
      </c>
      <c r="M6" s="65">
        <f>Financial!M268</f>
        <v>2.64</v>
      </c>
      <c r="N6" s="65">
        <f>Financial!N268</f>
        <v>2.64</v>
      </c>
      <c r="O6" s="65">
        <f>Financial!O268</f>
        <v>2.64</v>
      </c>
      <c r="P6" s="65">
        <f>Financial!P268</f>
        <v>2.64</v>
      </c>
      <c r="Q6" s="65">
        <f>Financial!Q268</f>
        <v>2.64</v>
      </c>
      <c r="R6" s="65">
        <f>Financial!R268</f>
        <v>2.64</v>
      </c>
      <c r="S6" s="65">
        <f>Financial!S268</f>
        <v>2.64</v>
      </c>
      <c r="T6" s="65">
        <f>Financial!T268</f>
        <v>2.64</v>
      </c>
      <c r="U6" s="65">
        <f>Financial!U268</f>
        <v>2.6400000000000006</v>
      </c>
      <c r="V6" s="65">
        <f>Financial!V268</f>
        <v>2.6400000000000006</v>
      </c>
      <c r="W6" s="65">
        <f>Financial!W268</f>
        <v>2.64</v>
      </c>
      <c r="X6" s="65">
        <f>Financial!X268</f>
        <v>2.64</v>
      </c>
      <c r="Y6" s="65">
        <f>Financial!Y268</f>
        <v>2.64</v>
      </c>
      <c r="Z6" s="65">
        <f>Financial!Z268</f>
        <v>2.64</v>
      </c>
      <c r="AA6" s="65">
        <f>Financial!AA268</f>
        <v>2.64</v>
      </c>
      <c r="AB6" s="65">
        <f>Financial!AB268</f>
        <v>2.64</v>
      </c>
      <c r="AC6" s="65">
        <f>Financial!AC268</f>
        <v>2.64</v>
      </c>
      <c r="AD6" s="65">
        <f>Financial!AD268</f>
        <v>2.64</v>
      </c>
      <c r="AE6" s="65">
        <f>Financial!AE268</f>
        <v>2.64</v>
      </c>
      <c r="AF6" s="65">
        <f>Financial!AF268</f>
        <v>2.64</v>
      </c>
      <c r="AG6" s="65">
        <f>Financial!AG268</f>
        <v>2.64</v>
      </c>
      <c r="AH6" s="65">
        <f>Financial!AH268</f>
        <v>2.64</v>
      </c>
      <c r="AI6" s="65">
        <f>Financial!AI268</f>
        <v>2.64</v>
      </c>
      <c r="AJ6" s="65">
        <f>Financial!AJ268</f>
        <v>2.64</v>
      </c>
      <c r="AK6" s="65">
        <f>Financial!AK268</f>
        <v>2.64</v>
      </c>
    </row>
    <row r="7" spans="1:37" ht="12.75">
      <c r="A7" s="63" t="s">
        <v>180</v>
      </c>
      <c r="B7" s="97">
        <f>NPV(Financial!$B$288,C7:AK7)</f>
        <v>453.25997446745185</v>
      </c>
      <c r="C7" s="65">
        <f>Financial!C269</f>
        <v>0</v>
      </c>
      <c r="D7" s="65">
        <f>Financial!D269</f>
        <v>0</v>
      </c>
      <c r="E7" s="65">
        <f>Financial!E269</f>
        <v>0</v>
      </c>
      <c r="F7" s="65">
        <f>Financial!F269</f>
        <v>0</v>
      </c>
      <c r="G7" s="65">
        <f>Financial!G269</f>
        <v>0</v>
      </c>
      <c r="H7" s="65">
        <f>Financial!H269</f>
        <v>0</v>
      </c>
      <c r="I7" s="65">
        <f>Financial!I269</f>
        <v>0</v>
      </c>
      <c r="J7" s="65">
        <f>Financial!J269</f>
        <v>0</v>
      </c>
      <c r="K7" s="65">
        <f>Financial!K269</f>
        <v>0</v>
      </c>
      <c r="L7" s="65">
        <f>Financial!L269</f>
        <v>0</v>
      </c>
      <c r="M7" s="65">
        <f>Financial!M269</f>
        <v>0</v>
      </c>
      <c r="N7" s="65">
        <f>Financial!N269</f>
        <v>0</v>
      </c>
      <c r="O7" s="65">
        <f>Financial!O269</f>
        <v>220</v>
      </c>
      <c r="P7" s="65">
        <f>Financial!P269</f>
        <v>0</v>
      </c>
      <c r="Q7" s="65">
        <f>Financial!Q269</f>
        <v>0</v>
      </c>
      <c r="R7" s="65">
        <f>Financial!R269</f>
        <v>0</v>
      </c>
      <c r="S7" s="65">
        <f>Financial!S269</f>
        <v>0</v>
      </c>
      <c r="T7" s="65">
        <f>Financial!T269</f>
        <v>0</v>
      </c>
      <c r="U7" s="65">
        <f>Financial!U269</f>
        <v>0</v>
      </c>
      <c r="V7" s="65">
        <f>Financial!V269</f>
        <v>0</v>
      </c>
      <c r="W7" s="65">
        <f>Financial!W269</f>
        <v>220</v>
      </c>
      <c r="X7" s="65">
        <f>Financial!X269</f>
        <v>0</v>
      </c>
      <c r="Y7" s="65">
        <f>Financial!Y269</f>
        <v>0</v>
      </c>
      <c r="Z7" s="65">
        <f>Financial!Z269</f>
        <v>0</v>
      </c>
      <c r="AA7" s="65">
        <f>Financial!AA269</f>
        <v>0</v>
      </c>
      <c r="AB7" s="65">
        <f>Financial!AB269</f>
        <v>0</v>
      </c>
      <c r="AC7" s="65">
        <f>Financial!AC269</f>
        <v>0</v>
      </c>
      <c r="AD7" s="65">
        <f>Financial!AD269</f>
        <v>0</v>
      </c>
      <c r="AE7" s="65">
        <f>Financial!AE269</f>
        <v>220</v>
      </c>
      <c r="AF7" s="65">
        <f>Financial!AF269</f>
        <v>0</v>
      </c>
      <c r="AG7" s="65">
        <f>Financial!AG269</f>
        <v>0</v>
      </c>
      <c r="AH7" s="65">
        <f>Financial!AH269</f>
        <v>0</v>
      </c>
      <c r="AI7" s="65">
        <f>Financial!AI269</f>
        <v>0</v>
      </c>
      <c r="AJ7" s="65">
        <f>Financial!AJ269</f>
        <v>0</v>
      </c>
      <c r="AK7" s="65">
        <f>Financial!AK269</f>
        <v>0</v>
      </c>
    </row>
    <row r="8" spans="1:37" ht="12.75">
      <c r="A8" s="60" t="s">
        <v>92</v>
      </c>
      <c r="B8" s="97" t="e">
        <f>NPV(Financial!$B$288,C8:AK8)</f>
        <v>#NAME?</v>
      </c>
      <c r="C8" s="65">
        <f>Financial!C270</f>
        <v>0</v>
      </c>
      <c r="D8" s="65">
        <f>Financial!D270</f>
        <v>0</v>
      </c>
      <c r="E8" s="65">
        <f>Financial!E270</f>
        <v>0</v>
      </c>
      <c r="F8" s="65">
        <f>Financial!F270</f>
        <v>0</v>
      </c>
      <c r="G8" s="65">
        <f>Financial!G270</f>
        <v>0</v>
      </c>
      <c r="H8" s="65" t="e">
        <f>Financial!H270</f>
        <v>#NAME?</v>
      </c>
      <c r="I8" s="65" t="e">
        <f>Financial!I270</f>
        <v>#NAME?</v>
      </c>
      <c r="J8" s="65" t="e">
        <f>Financial!J270</f>
        <v>#NAME?</v>
      </c>
      <c r="K8" s="65" t="e">
        <f>Financial!K270</f>
        <v>#NAME?</v>
      </c>
      <c r="L8" s="65" t="e">
        <f>Financial!L270</f>
        <v>#NAME?</v>
      </c>
      <c r="M8" s="65" t="e">
        <f>Financial!M270</f>
        <v>#NAME?</v>
      </c>
      <c r="N8" s="65" t="e">
        <f>Financial!N270</f>
        <v>#NAME?</v>
      </c>
      <c r="O8" s="65" t="e">
        <f>Financial!O270</f>
        <v>#NAME?</v>
      </c>
      <c r="P8" s="65" t="e">
        <f>Financial!P270</f>
        <v>#NAME?</v>
      </c>
      <c r="Q8" s="65" t="e">
        <f>Financial!Q270</f>
        <v>#NAME?</v>
      </c>
      <c r="R8" s="65" t="e">
        <f>Financial!R270</f>
        <v>#NAME?</v>
      </c>
      <c r="S8" s="65" t="e">
        <f>Financial!S270</f>
        <v>#NAME?</v>
      </c>
      <c r="T8" s="65" t="e">
        <f>Financial!T270</f>
        <v>#NAME?</v>
      </c>
      <c r="U8" s="65" t="e">
        <f>Financial!U270</f>
        <v>#NAME?</v>
      </c>
      <c r="V8" s="65" t="e">
        <f>Financial!V270</f>
        <v>#NAME?</v>
      </c>
      <c r="W8" s="65" t="e">
        <f>Financial!W270</f>
        <v>#NAME?</v>
      </c>
      <c r="X8" s="65" t="e">
        <f>Financial!X270</f>
        <v>#NAME?</v>
      </c>
      <c r="Y8" s="65" t="e">
        <f>Financial!Y270</f>
        <v>#NAME?</v>
      </c>
      <c r="Z8" s="65" t="e">
        <f>Financial!Z270</f>
        <v>#NAME?</v>
      </c>
      <c r="AA8" s="65" t="e">
        <f>Financial!AA270</f>
        <v>#NAME?</v>
      </c>
      <c r="AB8" s="65" t="e">
        <f>Financial!AB270</f>
        <v>#NAME?</v>
      </c>
      <c r="AC8" s="65" t="e">
        <f>Financial!AC270</f>
        <v>#NAME?</v>
      </c>
      <c r="AD8" s="65" t="e">
        <f>Financial!AD270</f>
        <v>#NAME?</v>
      </c>
      <c r="AE8" s="65" t="e">
        <f>Financial!AE270</f>
        <v>#NAME?</v>
      </c>
      <c r="AF8" s="65" t="e">
        <f>Financial!AF270</f>
        <v>#NAME?</v>
      </c>
      <c r="AG8" s="65" t="e">
        <f>Financial!AG270</f>
        <v>#NAME?</v>
      </c>
      <c r="AH8" s="65" t="e">
        <f>Financial!AH270</f>
        <v>#NAME?</v>
      </c>
      <c r="AI8" s="65" t="e">
        <f>Financial!AI270</f>
        <v>#NAME?</v>
      </c>
      <c r="AJ8" s="65" t="e">
        <f>Financial!AJ270</f>
        <v>#NAME?</v>
      </c>
      <c r="AK8" s="65" t="e">
        <f>Financial!AK270</f>
        <v>#NAME?</v>
      </c>
    </row>
    <row r="9" spans="1:37" ht="12.75">
      <c r="A9" s="60" t="s">
        <v>93</v>
      </c>
      <c r="B9" s="97">
        <f>NPV(Financial!$B$288,C9:AK9)</f>
        <v>9976.985057589269</v>
      </c>
      <c r="C9" s="65">
        <f>Financial!C271</f>
        <v>1030.6800917431192</v>
      </c>
      <c r="D9" s="65">
        <f>Financial!D271</f>
        <v>2204.5818882401995</v>
      </c>
      <c r="E9" s="65">
        <f>Financial!E271</f>
        <v>2553.2864870725602</v>
      </c>
      <c r="F9" s="65">
        <f>Financial!F271</f>
        <v>2421.0545037531274</v>
      </c>
      <c r="G9" s="65">
        <f>Financial!G271</f>
        <v>2378.312955796496</v>
      </c>
      <c r="H9" s="65">
        <f>Financial!H271</f>
        <v>0</v>
      </c>
      <c r="I9" s="65">
        <f>Financial!I271</f>
        <v>0</v>
      </c>
      <c r="J9" s="65">
        <f>Financial!J271</f>
        <v>0</v>
      </c>
      <c r="K9" s="65">
        <f>Financial!K271</f>
        <v>0</v>
      </c>
      <c r="L9" s="65">
        <f>Financial!L271</f>
        <v>0</v>
      </c>
      <c r="M9" s="65">
        <f>Financial!M271</f>
        <v>0</v>
      </c>
      <c r="N9" s="65">
        <f>Financial!N271</f>
        <v>0</v>
      </c>
      <c r="O9" s="65">
        <f>Financial!O271</f>
        <v>0</v>
      </c>
      <c r="P9" s="65">
        <f>Financial!P271</f>
        <v>0</v>
      </c>
      <c r="Q9" s="65">
        <f>Financial!Q271</f>
        <v>0</v>
      </c>
      <c r="R9" s="65">
        <f>Financial!R271</f>
        <v>0</v>
      </c>
      <c r="S9" s="65">
        <f>Financial!S271</f>
        <v>0</v>
      </c>
      <c r="T9" s="65">
        <f>Financial!T271</f>
        <v>0</v>
      </c>
      <c r="U9" s="65">
        <f>Financial!U271</f>
        <v>0</v>
      </c>
      <c r="V9" s="65">
        <f>Financial!V271</f>
        <v>0</v>
      </c>
      <c r="W9" s="65">
        <f>Financial!W271</f>
        <v>0</v>
      </c>
      <c r="X9" s="65">
        <f>Financial!X271</f>
        <v>0</v>
      </c>
      <c r="Y9" s="65">
        <f>Financial!Y271</f>
        <v>0</v>
      </c>
      <c r="Z9" s="65">
        <f>Financial!Z271</f>
        <v>0</v>
      </c>
      <c r="AA9" s="65">
        <f>Financial!AA271</f>
        <v>0</v>
      </c>
      <c r="AB9" s="65">
        <f>Financial!AB271</f>
        <v>0</v>
      </c>
      <c r="AC9" s="65">
        <f>Financial!AC271</f>
        <v>0</v>
      </c>
      <c r="AD9" s="65">
        <f>Financial!AD271</f>
        <v>0</v>
      </c>
      <c r="AE9" s="65">
        <f>Financial!AE271</f>
        <v>0</v>
      </c>
      <c r="AF9" s="65">
        <f>Financial!AF271</f>
        <v>0</v>
      </c>
      <c r="AG9" s="65">
        <f>Financial!AG271</f>
        <v>0</v>
      </c>
      <c r="AH9" s="65">
        <f>Financial!AH271</f>
        <v>0</v>
      </c>
      <c r="AI9" s="65">
        <f>Financial!AI271</f>
        <v>0</v>
      </c>
      <c r="AJ9" s="65">
        <f>Financial!AJ271</f>
        <v>0</v>
      </c>
      <c r="AK9" s="65">
        <f>Financial!AK271</f>
        <v>0</v>
      </c>
    </row>
    <row r="10" spans="1:37" ht="12.75">
      <c r="A10" s="63" t="s">
        <v>178</v>
      </c>
      <c r="B10" s="97" t="e">
        <f>NPV(Financial!$B$288,C10:AK10)</f>
        <v>#NAME?</v>
      </c>
      <c r="C10" s="65">
        <f>C4-SUM(C5:C9)</f>
        <v>-1030.6800917431192</v>
      </c>
      <c r="D10" s="65">
        <f aca="true" t="shared" si="0" ref="D10:AK10">D4-SUM(D5:D9)</f>
        <v>-2204.5818882401995</v>
      </c>
      <c r="E10" s="65">
        <f t="shared" si="0"/>
        <v>-2553.2864870725602</v>
      </c>
      <c r="F10" s="65">
        <f t="shared" si="0"/>
        <v>-2421.0545037531274</v>
      </c>
      <c r="G10" s="65">
        <f t="shared" si="0"/>
        <v>-2378.312955796496</v>
      </c>
      <c r="H10" s="65" t="e">
        <f t="shared" si="0"/>
        <v>#NAME?</v>
      </c>
      <c r="I10" s="65" t="e">
        <f t="shared" si="0"/>
        <v>#NAME?</v>
      </c>
      <c r="J10" s="65" t="e">
        <f t="shared" si="0"/>
        <v>#NAME?</v>
      </c>
      <c r="K10" s="65" t="e">
        <f t="shared" si="0"/>
        <v>#NAME?</v>
      </c>
      <c r="L10" s="65" t="e">
        <f t="shared" si="0"/>
        <v>#NAME?</v>
      </c>
      <c r="M10" s="65" t="e">
        <f t="shared" si="0"/>
        <v>#NAME?</v>
      </c>
      <c r="N10" s="65" t="e">
        <f t="shared" si="0"/>
        <v>#NAME?</v>
      </c>
      <c r="O10" s="65" t="e">
        <f t="shared" si="0"/>
        <v>#NAME?</v>
      </c>
      <c r="P10" s="65" t="e">
        <f t="shared" si="0"/>
        <v>#NAME?</v>
      </c>
      <c r="Q10" s="65" t="e">
        <f t="shared" si="0"/>
        <v>#NAME?</v>
      </c>
      <c r="R10" s="65" t="e">
        <f t="shared" si="0"/>
        <v>#NAME?</v>
      </c>
      <c r="S10" s="65" t="e">
        <f t="shared" si="0"/>
        <v>#NAME?</v>
      </c>
      <c r="T10" s="65" t="e">
        <f t="shared" si="0"/>
        <v>#NAME?</v>
      </c>
      <c r="U10" s="65" t="e">
        <f t="shared" si="0"/>
        <v>#NAME?</v>
      </c>
      <c r="V10" s="65" t="e">
        <f t="shared" si="0"/>
        <v>#NAME?</v>
      </c>
      <c r="W10" s="65" t="e">
        <f t="shared" si="0"/>
        <v>#NAME?</v>
      </c>
      <c r="X10" s="65" t="e">
        <f t="shared" si="0"/>
        <v>#NAME?</v>
      </c>
      <c r="Y10" s="65" t="e">
        <f t="shared" si="0"/>
        <v>#NAME?</v>
      </c>
      <c r="Z10" s="65" t="e">
        <f t="shared" si="0"/>
        <v>#NAME?</v>
      </c>
      <c r="AA10" s="65" t="e">
        <f t="shared" si="0"/>
        <v>#NAME?</v>
      </c>
      <c r="AB10" s="65" t="e">
        <f t="shared" si="0"/>
        <v>#NAME?</v>
      </c>
      <c r="AC10" s="65" t="e">
        <f t="shared" si="0"/>
        <v>#NAME?</v>
      </c>
      <c r="AD10" s="65" t="e">
        <f t="shared" si="0"/>
        <v>#NAME?</v>
      </c>
      <c r="AE10" s="65" t="e">
        <f t="shared" si="0"/>
        <v>#NAME?</v>
      </c>
      <c r="AF10" s="65" t="e">
        <f t="shared" si="0"/>
        <v>#NAME?</v>
      </c>
      <c r="AG10" s="65" t="e">
        <f t="shared" si="0"/>
        <v>#NAME?</v>
      </c>
      <c r="AH10" s="65" t="e">
        <f t="shared" si="0"/>
        <v>#NAME?</v>
      </c>
      <c r="AI10" s="65" t="e">
        <f t="shared" si="0"/>
        <v>#NAME?</v>
      </c>
      <c r="AJ10" s="65" t="e">
        <f t="shared" si="0"/>
        <v>#NAME?</v>
      </c>
      <c r="AK10" s="65" t="e">
        <f t="shared" si="0"/>
        <v>#NAME?</v>
      </c>
    </row>
    <row r="11" ht="12.75">
      <c r="B11" s="98"/>
    </row>
    <row r="12" spans="1:2" ht="12.75">
      <c r="A12" s="62" t="s">
        <v>181</v>
      </c>
      <c r="B12" s="96" t="s">
        <v>206</v>
      </c>
    </row>
    <row r="13" spans="1:37" ht="12.75">
      <c r="A13" s="60" t="s">
        <v>175</v>
      </c>
      <c r="B13" s="97">
        <f>NPV(Economic!$B$35,C13:AK13)</f>
        <v>11444.49521134458</v>
      </c>
      <c r="C13" s="65">
        <f>Economic!C130+Economic!C131</f>
        <v>0</v>
      </c>
      <c r="D13" s="65">
        <f>Economic!D130+Economic!D131</f>
        <v>0</v>
      </c>
      <c r="E13" s="65">
        <f>Economic!E130+Economic!E131</f>
        <v>0</v>
      </c>
      <c r="F13" s="65">
        <f>Economic!F130+Economic!F131</f>
        <v>0</v>
      </c>
      <c r="G13" s="65">
        <f>Economic!G130+Economic!G131</f>
        <v>0</v>
      </c>
      <c r="H13" s="65">
        <f>Economic!H130+Economic!H131</f>
        <v>693.24055706925</v>
      </c>
      <c r="I13" s="65">
        <f>Economic!I130+Economic!I131</f>
        <v>751.0140826762499</v>
      </c>
      <c r="J13" s="65">
        <f>Economic!J130+Economic!J131</f>
        <v>813.6308118982499</v>
      </c>
      <c r="K13" s="65">
        <f>Economic!K130+Economic!K131</f>
        <v>883.86222797856</v>
      </c>
      <c r="L13" s="65">
        <f>Economic!L130+Economic!L131</f>
        <v>954.9276935787</v>
      </c>
      <c r="M13" s="65">
        <f>Economic!M130+Economic!M131</f>
        <v>1034.5528276317</v>
      </c>
      <c r="N13" s="65">
        <f>Economic!N130+Economic!N131</f>
        <v>1120.8136641812998</v>
      </c>
      <c r="O13" s="65">
        <f>Economic!O130+Economic!O131</f>
        <v>1217.5765683271202</v>
      </c>
      <c r="P13" s="65">
        <f>Economic!P130+Economic!P131</f>
        <v>1292.92251583095</v>
      </c>
      <c r="Q13" s="65">
        <f>Economic!Q130+Economic!Q131</f>
        <v>1376.6716269593999</v>
      </c>
      <c r="R13" s="65">
        <f>Economic!R130+Economic!R131</f>
        <v>1465.88942291625</v>
      </c>
      <c r="S13" s="65">
        <f>Economic!S130+Economic!S131</f>
        <v>1565.11548442908</v>
      </c>
      <c r="T13" s="65">
        <f>Economic!T130+Economic!T131</f>
        <v>1662.0095279475</v>
      </c>
      <c r="U13" s="65">
        <f>Economic!U130+Economic!U131</f>
        <v>1699.8624469156498</v>
      </c>
      <c r="V13" s="65">
        <f>Economic!V130+Economic!V131</f>
        <v>1739.86408389105</v>
      </c>
      <c r="W13" s="65">
        <f>Economic!W130+Economic!W131</f>
        <v>1786.9725847911598</v>
      </c>
      <c r="X13" s="65">
        <f>Economic!X130+Economic!X131</f>
        <v>1826.6411173252498</v>
      </c>
      <c r="Y13" s="65">
        <f>Economic!Y130+Economic!Y131</f>
        <v>1873.6756954879502</v>
      </c>
      <c r="Z13" s="65">
        <f>Economic!Z130+Economic!Z131</f>
        <v>1873.6756954879502</v>
      </c>
      <c r="AA13" s="65">
        <f>Economic!AA130+Economic!AA131</f>
        <v>1878.8090535577799</v>
      </c>
      <c r="AB13" s="65">
        <f>Economic!AB130+Economic!AB131</f>
        <v>1873.6756954879502</v>
      </c>
      <c r="AC13" s="65">
        <f>Economic!AC130+Economic!AC131</f>
        <v>1873.6756954879502</v>
      </c>
      <c r="AD13" s="65">
        <f>Economic!AD130+Economic!AD131</f>
        <v>1873.6756954879502</v>
      </c>
      <c r="AE13" s="65">
        <f>Economic!AE130+Economic!AE131</f>
        <v>1878.8090535577799</v>
      </c>
      <c r="AF13" s="65">
        <f>Economic!AF130+Economic!AF131</f>
        <v>1873.6756954879502</v>
      </c>
      <c r="AG13" s="65">
        <f>Economic!AG130+Economic!AG131</f>
        <v>1873.6756954879502</v>
      </c>
      <c r="AH13" s="65">
        <f>Economic!AH130+Economic!AH131</f>
        <v>1873.6756954879502</v>
      </c>
      <c r="AI13" s="65">
        <f>Economic!AI130+Economic!AI131</f>
        <v>1878.8090535577799</v>
      </c>
      <c r="AJ13" s="65">
        <f>Economic!AJ130+Economic!AJ131</f>
        <v>1873.6756954879502</v>
      </c>
      <c r="AK13" s="65">
        <f>(Economic!AK130+Economic!AK131)+(Economic!AK130+Economic!AK131)/Economic!$B$35</f>
        <v>25294.621889087324</v>
      </c>
    </row>
    <row r="14" spans="1:37" ht="12.75">
      <c r="A14" s="63" t="s">
        <v>204</v>
      </c>
      <c r="B14" s="97">
        <f>NPV(Economic!$B$35,C14:AK14)</f>
        <v>148.76806632570893</v>
      </c>
      <c r="C14" s="65">
        <f>Economic!C134</f>
        <v>0</v>
      </c>
      <c r="D14" s="65">
        <f>Economic!D134</f>
        <v>0</v>
      </c>
      <c r="E14" s="65">
        <f>Economic!E134</f>
        <v>0</v>
      </c>
      <c r="F14" s="65">
        <f>Economic!F134</f>
        <v>0</v>
      </c>
      <c r="G14" s="65">
        <f>Economic!G134</f>
        <v>0</v>
      </c>
      <c r="H14" s="65">
        <f>Economic!H134</f>
        <v>10.467835</v>
      </c>
      <c r="I14" s="65">
        <f>Economic!I134</f>
        <v>11.340915</v>
      </c>
      <c r="J14" s="65">
        <f>Economic!J134</f>
        <v>12.286995000000001</v>
      </c>
      <c r="K14" s="65">
        <f>Economic!K134</f>
        <v>13.348019999999998</v>
      </c>
      <c r="L14" s="65">
        <f>Economic!L134</f>
        <v>14.421880000000002</v>
      </c>
      <c r="M14" s="65">
        <f>Economic!M134</f>
        <v>15.624555000000003</v>
      </c>
      <c r="N14" s="65">
        <f>Economic!N134</f>
        <v>16.927605</v>
      </c>
      <c r="O14" s="65">
        <f>Economic!O134</f>
        <v>18.390036</v>
      </c>
      <c r="P14" s="65">
        <f>Economic!P134</f>
        <v>19.527865</v>
      </c>
      <c r="Q14" s="65">
        <f>Economic!Q134</f>
        <v>20.79259</v>
      </c>
      <c r="R14" s="65">
        <f>Economic!R134</f>
        <v>22.13944</v>
      </c>
      <c r="S14" s="65">
        <f>Economic!S134</f>
        <v>23.638109999999998</v>
      </c>
      <c r="T14" s="65">
        <f>Economic!T134</f>
        <v>25.100684999999995</v>
      </c>
      <c r="U14" s="65">
        <f>Economic!U134</f>
        <v>25.657675</v>
      </c>
      <c r="V14" s="65">
        <f>Economic!V134</f>
        <v>26.246055000000002</v>
      </c>
      <c r="W14" s="65">
        <f>Economic!W134</f>
        <v>26.94126</v>
      </c>
      <c r="X14" s="65">
        <f>Economic!X134</f>
        <v>27.523555</v>
      </c>
      <c r="Y14" s="65">
        <f>Economic!Y134</f>
        <v>28.21596</v>
      </c>
      <c r="Z14" s="65">
        <f>Economic!Z134</f>
        <v>28.215959999999995</v>
      </c>
      <c r="AA14" s="65">
        <f>Economic!AA134</f>
        <v>28.293264000000004</v>
      </c>
      <c r="AB14" s="65">
        <f>Economic!AB134</f>
        <v>28.21596</v>
      </c>
      <c r="AC14" s="65">
        <f>Economic!AC134</f>
        <v>28.21596</v>
      </c>
      <c r="AD14" s="65">
        <f>Economic!AD134</f>
        <v>28.215959999999995</v>
      </c>
      <c r="AE14" s="65">
        <f>Economic!AE134</f>
        <v>28.293264</v>
      </c>
      <c r="AF14" s="65">
        <f>Economic!AF134</f>
        <v>28.21596</v>
      </c>
      <c r="AG14" s="65">
        <f>Economic!AG134</f>
        <v>28.21596</v>
      </c>
      <c r="AH14" s="65">
        <f>Economic!AH134</f>
        <v>28.215960000000003</v>
      </c>
      <c r="AI14" s="65">
        <f>Economic!AI134</f>
        <v>28.293263999999997</v>
      </c>
      <c r="AJ14" s="65">
        <f>Economic!AJ134</f>
        <v>28.215960000000003</v>
      </c>
      <c r="AK14" s="65">
        <f>Economic!AK134</f>
        <v>28.215960000000003</v>
      </c>
    </row>
    <row r="15" spans="1:37" ht="12.75">
      <c r="A15" s="63" t="s">
        <v>123</v>
      </c>
      <c r="B15" s="97">
        <f>NPV(Economic!$B$35,C15:AK15)</f>
        <v>20.94324643072114</v>
      </c>
      <c r="C15" s="65">
        <f>Economic!C135</f>
        <v>0</v>
      </c>
      <c r="D15" s="65">
        <f>Economic!D135</f>
        <v>0</v>
      </c>
      <c r="E15" s="65">
        <f>Economic!E135</f>
        <v>0</v>
      </c>
      <c r="F15" s="65">
        <f>Economic!F135</f>
        <v>0</v>
      </c>
      <c r="G15" s="65">
        <f>Economic!G135</f>
        <v>0</v>
      </c>
      <c r="H15" s="65">
        <f>Economic!H135</f>
        <v>2.4618</v>
      </c>
      <c r="I15" s="65">
        <f>Economic!I135</f>
        <v>2.4618</v>
      </c>
      <c r="J15" s="65">
        <f>Economic!J135</f>
        <v>2.4618</v>
      </c>
      <c r="K15" s="65">
        <f>Economic!K135</f>
        <v>2.4618</v>
      </c>
      <c r="L15" s="65">
        <f>Economic!L135</f>
        <v>2.4618</v>
      </c>
      <c r="M15" s="65">
        <f>Economic!M135</f>
        <v>2.4618</v>
      </c>
      <c r="N15" s="65">
        <f>Economic!N135</f>
        <v>2.4618</v>
      </c>
      <c r="O15" s="65">
        <f>Economic!O135</f>
        <v>2.4618</v>
      </c>
      <c r="P15" s="65">
        <f>Economic!P135</f>
        <v>2.4618</v>
      </c>
      <c r="Q15" s="65">
        <f>Economic!Q135</f>
        <v>2.4618</v>
      </c>
      <c r="R15" s="65">
        <f>Economic!R135</f>
        <v>2.4618</v>
      </c>
      <c r="S15" s="65">
        <f>Economic!S135</f>
        <v>2.4618</v>
      </c>
      <c r="T15" s="65">
        <f>Economic!T135</f>
        <v>2.4618</v>
      </c>
      <c r="U15" s="65">
        <f>Economic!U135</f>
        <v>2.4618</v>
      </c>
      <c r="V15" s="65">
        <f>Economic!V135</f>
        <v>2.4618</v>
      </c>
      <c r="W15" s="65">
        <f>Economic!W135</f>
        <v>2.4618</v>
      </c>
      <c r="X15" s="65">
        <f>Economic!X135</f>
        <v>2.4618</v>
      </c>
      <c r="Y15" s="65">
        <f>Economic!Y135</f>
        <v>2.4618</v>
      </c>
      <c r="Z15" s="65">
        <f>Economic!Z135</f>
        <v>2.4618</v>
      </c>
      <c r="AA15" s="65">
        <f>Economic!AA135</f>
        <v>2.4618</v>
      </c>
      <c r="AB15" s="65">
        <f>Economic!AB135</f>
        <v>2.4618</v>
      </c>
      <c r="AC15" s="65">
        <f>Economic!AC135</f>
        <v>2.4618</v>
      </c>
      <c r="AD15" s="65">
        <f>Economic!AD135</f>
        <v>2.4618</v>
      </c>
      <c r="AE15" s="65">
        <f>Economic!AE135</f>
        <v>2.4618</v>
      </c>
      <c r="AF15" s="65">
        <f>Economic!AF135</f>
        <v>2.4618</v>
      </c>
      <c r="AG15" s="65">
        <f>Economic!AG135</f>
        <v>2.4618</v>
      </c>
      <c r="AH15" s="65">
        <f>Economic!AH135</f>
        <v>2.4618</v>
      </c>
      <c r="AI15" s="65">
        <f>Economic!AI135</f>
        <v>2.4618</v>
      </c>
      <c r="AJ15" s="65">
        <f>Economic!AJ135</f>
        <v>2.4618</v>
      </c>
      <c r="AK15" s="65">
        <f>Economic!AK135+Economic!AK135/Economic!$B$35</f>
        <v>33.234300000000005</v>
      </c>
    </row>
    <row r="16" spans="1:37" ht="12.75">
      <c r="A16" s="63" t="s">
        <v>180</v>
      </c>
      <c r="B16" s="97">
        <f>NPV(Economic!$B$35,C16:AK16)</f>
        <v>159.88573772465108</v>
      </c>
      <c r="C16" s="65">
        <f>Economic!C136</f>
        <v>0</v>
      </c>
      <c r="D16" s="65">
        <f>Economic!D136</f>
        <v>0</v>
      </c>
      <c r="E16" s="65">
        <f>Economic!E136</f>
        <v>0</v>
      </c>
      <c r="F16" s="65">
        <f>Economic!F136</f>
        <v>0</v>
      </c>
      <c r="G16" s="65">
        <f>Economic!G136</f>
        <v>0</v>
      </c>
      <c r="H16" s="65">
        <f>Economic!H136</f>
        <v>0</v>
      </c>
      <c r="I16" s="65">
        <f>Economic!I136</f>
        <v>0</v>
      </c>
      <c r="J16" s="65">
        <f>Economic!J136</f>
        <v>0</v>
      </c>
      <c r="K16" s="65">
        <f>Economic!K136</f>
        <v>0</v>
      </c>
      <c r="L16" s="65">
        <f>Economic!L136</f>
        <v>0</v>
      </c>
      <c r="M16" s="65">
        <f>Economic!M136</f>
        <v>0</v>
      </c>
      <c r="N16" s="65">
        <f>Economic!N136</f>
        <v>0</v>
      </c>
      <c r="O16" s="65">
        <f>Economic!O136</f>
        <v>205.15</v>
      </c>
      <c r="P16" s="65">
        <f>Economic!P136</f>
        <v>0</v>
      </c>
      <c r="Q16" s="65">
        <f>Economic!Q136</f>
        <v>0</v>
      </c>
      <c r="R16" s="65">
        <f>Economic!R136</f>
        <v>0</v>
      </c>
      <c r="S16" s="65">
        <f>Economic!S136</f>
        <v>0</v>
      </c>
      <c r="T16" s="65">
        <f>Economic!T136</f>
        <v>0</v>
      </c>
      <c r="U16" s="65">
        <f>Economic!U136</f>
        <v>0</v>
      </c>
      <c r="V16" s="65">
        <f>Economic!V136</f>
        <v>0</v>
      </c>
      <c r="W16" s="65">
        <f>Economic!W136</f>
        <v>205.15</v>
      </c>
      <c r="X16" s="65">
        <f>Economic!X136</f>
        <v>0</v>
      </c>
      <c r="Y16" s="65">
        <f>Economic!Y136</f>
        <v>0</v>
      </c>
      <c r="Z16" s="65">
        <f>Economic!Z136</f>
        <v>0</v>
      </c>
      <c r="AA16" s="65">
        <f>Economic!AA136</f>
        <v>0</v>
      </c>
      <c r="AB16" s="65">
        <f>Economic!AB136</f>
        <v>0</v>
      </c>
      <c r="AC16" s="65">
        <f>Economic!AC136</f>
        <v>0</v>
      </c>
      <c r="AD16" s="65">
        <f>Economic!AD136</f>
        <v>0</v>
      </c>
      <c r="AE16" s="65">
        <f>Economic!AE136</f>
        <v>205.15</v>
      </c>
      <c r="AF16" s="65">
        <f>Economic!AF136</f>
        <v>0</v>
      </c>
      <c r="AG16" s="65">
        <f>Economic!AG136</f>
        <v>0</v>
      </c>
      <c r="AH16" s="65">
        <f>Economic!AH136</f>
        <v>0</v>
      </c>
      <c r="AI16" s="65">
        <f>Economic!AI136</f>
        <v>0</v>
      </c>
      <c r="AJ16" s="65">
        <f>Economic!AJ136</f>
        <v>0</v>
      </c>
      <c r="AK16" s="65">
        <f>Economic!AK136+Economic!AE136/8/Economic!$B$35</f>
        <v>320.546875</v>
      </c>
    </row>
    <row r="17" spans="1:37" ht="12.75">
      <c r="A17" s="60" t="s">
        <v>92</v>
      </c>
      <c r="B17" s="97">
        <f>NPV(Economic!$B$35,C17:AK17)</f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</row>
    <row r="18" spans="1:37" ht="12.75">
      <c r="A18" s="60" t="s">
        <v>93</v>
      </c>
      <c r="B18" s="97">
        <f>NPV(Economic!$B$35,C18:AK18)</f>
        <v>7979.311736871316</v>
      </c>
      <c r="C18" s="65">
        <f>Economic!C137</f>
        <v>1053.61</v>
      </c>
      <c r="D18" s="65">
        <f>Economic!D137</f>
        <v>2180.1491</v>
      </c>
      <c r="E18" s="65">
        <f>Economic!E137</f>
        <v>2424.6812999999997</v>
      </c>
      <c r="F18" s="65">
        <f>Economic!F137</f>
        <v>2290.9892999999997</v>
      </c>
      <c r="G18" s="65">
        <f>Economic!G137</f>
        <v>2242.0253</v>
      </c>
      <c r="H18" s="65">
        <f>Economic!H137</f>
        <v>0</v>
      </c>
      <c r="I18" s="65">
        <f>Economic!I137</f>
        <v>0</v>
      </c>
      <c r="J18" s="65">
        <f>Economic!J137</f>
        <v>0</v>
      </c>
      <c r="K18" s="65">
        <f>Economic!K137</f>
        <v>0</v>
      </c>
      <c r="L18" s="65">
        <f>Economic!L137</f>
        <v>0</v>
      </c>
      <c r="M18" s="65">
        <f>Economic!M137</f>
        <v>0</v>
      </c>
      <c r="N18" s="65">
        <f>Economic!N137</f>
        <v>0</v>
      </c>
      <c r="O18" s="65">
        <f>Economic!O137</f>
        <v>0</v>
      </c>
      <c r="P18" s="65">
        <f>Economic!P137</f>
        <v>0</v>
      </c>
      <c r="Q18" s="65">
        <f>Economic!Q137</f>
        <v>0</v>
      </c>
      <c r="R18" s="65">
        <f>Economic!R137</f>
        <v>0</v>
      </c>
      <c r="S18" s="65">
        <f>Economic!S137</f>
        <v>0</v>
      </c>
      <c r="T18" s="65">
        <f>Economic!T137</f>
        <v>0</v>
      </c>
      <c r="U18" s="65">
        <f>Economic!U137</f>
        <v>0</v>
      </c>
      <c r="V18" s="65">
        <f>Economic!V137</f>
        <v>0</v>
      </c>
      <c r="W18" s="65">
        <f>Economic!W137</f>
        <v>0</v>
      </c>
      <c r="X18" s="65">
        <f>Economic!X137</f>
        <v>0</v>
      </c>
      <c r="Y18" s="65">
        <f>Economic!Y137</f>
        <v>0</v>
      </c>
      <c r="Z18" s="65">
        <f>Economic!Z137</f>
        <v>0</v>
      </c>
      <c r="AA18" s="65">
        <f>Economic!AA137</f>
        <v>0</v>
      </c>
      <c r="AB18" s="65">
        <f>Economic!AB137</f>
        <v>0</v>
      </c>
      <c r="AC18" s="65">
        <f>Economic!AC137</f>
        <v>0</v>
      </c>
      <c r="AD18" s="65">
        <f>Economic!AD137</f>
        <v>0</v>
      </c>
      <c r="AE18" s="65">
        <f>Economic!AE137</f>
        <v>0</v>
      </c>
      <c r="AF18" s="65">
        <f>Economic!AF137</f>
        <v>0</v>
      </c>
      <c r="AG18" s="65">
        <f>Economic!AG137</f>
        <v>0</v>
      </c>
      <c r="AH18" s="65">
        <f>Economic!AH137</f>
        <v>0</v>
      </c>
      <c r="AI18" s="65">
        <f>Economic!AI137</f>
        <v>0</v>
      </c>
      <c r="AJ18" s="65">
        <f>Economic!AJ137</f>
        <v>0</v>
      </c>
      <c r="AK18" s="65">
        <f>Economic!AK137</f>
        <v>0</v>
      </c>
    </row>
    <row r="19" spans="1:37" ht="12.75">
      <c r="A19" s="63" t="s">
        <v>178</v>
      </c>
      <c r="B19" s="97">
        <f>NPV(Economic!$B$35,C19:AK19)</f>
        <v>3135.5864239921857</v>
      </c>
      <c r="C19" s="65">
        <f>C13-SUM(C14:C18)</f>
        <v>-1053.61</v>
      </c>
      <c r="D19" s="65">
        <f aca="true" t="shared" si="1" ref="D19:AK19">D13-SUM(D14:D18)</f>
        <v>-2180.1491</v>
      </c>
      <c r="E19" s="65">
        <f t="shared" si="1"/>
        <v>-2424.6812999999997</v>
      </c>
      <c r="F19" s="65">
        <f t="shared" si="1"/>
        <v>-2290.9892999999997</v>
      </c>
      <c r="G19" s="65">
        <f t="shared" si="1"/>
        <v>-2242.0253</v>
      </c>
      <c r="H19" s="65">
        <f t="shared" si="1"/>
        <v>680.3109220692501</v>
      </c>
      <c r="I19" s="65">
        <f t="shared" si="1"/>
        <v>737.2113676762499</v>
      </c>
      <c r="J19" s="65">
        <f t="shared" si="1"/>
        <v>798.88201689825</v>
      </c>
      <c r="K19" s="65">
        <f t="shared" si="1"/>
        <v>868.05240797856</v>
      </c>
      <c r="L19" s="65">
        <f t="shared" si="1"/>
        <v>938.0440135787</v>
      </c>
      <c r="M19" s="65">
        <f t="shared" si="1"/>
        <v>1016.4664726317</v>
      </c>
      <c r="N19" s="65">
        <f t="shared" si="1"/>
        <v>1101.4242591813</v>
      </c>
      <c r="O19" s="65">
        <f t="shared" si="1"/>
        <v>991.5747323271202</v>
      </c>
      <c r="P19" s="65">
        <f t="shared" si="1"/>
        <v>1270.93285083095</v>
      </c>
      <c r="Q19" s="65">
        <f t="shared" si="1"/>
        <v>1353.4172369593998</v>
      </c>
      <c r="R19" s="65">
        <f t="shared" si="1"/>
        <v>1441.28818291625</v>
      </c>
      <c r="S19" s="65">
        <f t="shared" si="1"/>
        <v>1539.01557442908</v>
      </c>
      <c r="T19" s="65">
        <f t="shared" si="1"/>
        <v>1634.4470429475</v>
      </c>
      <c r="U19" s="65">
        <f t="shared" si="1"/>
        <v>1671.7429719156498</v>
      </c>
      <c r="V19" s="65">
        <f t="shared" si="1"/>
        <v>1711.15622889105</v>
      </c>
      <c r="W19" s="65">
        <f t="shared" si="1"/>
        <v>1552.4195247911598</v>
      </c>
      <c r="X19" s="65">
        <f t="shared" si="1"/>
        <v>1796.6557623252497</v>
      </c>
      <c r="Y19" s="65">
        <f t="shared" si="1"/>
        <v>1842.9979354879501</v>
      </c>
      <c r="Z19" s="65">
        <f t="shared" si="1"/>
        <v>1842.9979354879501</v>
      </c>
      <c r="AA19" s="65">
        <f t="shared" si="1"/>
        <v>1848.05398955778</v>
      </c>
      <c r="AB19" s="65">
        <f t="shared" si="1"/>
        <v>1842.9979354879501</v>
      </c>
      <c r="AC19" s="65">
        <f t="shared" si="1"/>
        <v>1842.9979354879501</v>
      </c>
      <c r="AD19" s="65">
        <f t="shared" si="1"/>
        <v>1842.9979354879501</v>
      </c>
      <c r="AE19" s="65">
        <f t="shared" si="1"/>
        <v>1642.9039895577798</v>
      </c>
      <c r="AF19" s="65">
        <f t="shared" si="1"/>
        <v>1842.9979354879501</v>
      </c>
      <c r="AG19" s="65">
        <f t="shared" si="1"/>
        <v>1842.9979354879501</v>
      </c>
      <c r="AH19" s="65">
        <f t="shared" si="1"/>
        <v>1842.9979354879501</v>
      </c>
      <c r="AI19" s="65">
        <f t="shared" si="1"/>
        <v>1848.05398955778</v>
      </c>
      <c r="AJ19" s="65">
        <f t="shared" si="1"/>
        <v>1842.9979354879501</v>
      </c>
      <c r="AK19" s="65">
        <f t="shared" si="1"/>
        <v>24912.624754087323</v>
      </c>
    </row>
    <row r="20" ht="12.75">
      <c r="A20" s="63"/>
    </row>
    <row r="21" ht="13.5" thickBot="1">
      <c r="A21" s="64" t="s">
        <v>179</v>
      </c>
    </row>
    <row r="22" spans="1:13" ht="52.5">
      <c r="A22" s="78" t="s">
        <v>178</v>
      </c>
      <c r="B22" s="79" t="s">
        <v>213</v>
      </c>
      <c r="C22" s="79" t="s">
        <v>214</v>
      </c>
      <c r="D22" s="79" t="s">
        <v>215</v>
      </c>
      <c r="E22" s="80"/>
      <c r="F22" s="81" t="s">
        <v>183</v>
      </c>
      <c r="G22" s="81"/>
      <c r="H22" s="81" t="s">
        <v>176</v>
      </c>
      <c r="I22" s="81" t="s">
        <v>184</v>
      </c>
      <c r="J22" s="81" t="s">
        <v>212</v>
      </c>
      <c r="K22" s="81" t="s">
        <v>185</v>
      </c>
      <c r="L22" s="81" t="s">
        <v>202</v>
      </c>
      <c r="M22" s="82" t="s">
        <v>203</v>
      </c>
    </row>
    <row r="23" spans="1:13" ht="12.75">
      <c r="A23" s="71" t="s">
        <v>175</v>
      </c>
      <c r="B23" s="72">
        <f>NPV(Financial!$B$288,Distributive!$C4:$AK4)</f>
        <v>21728.730706894086</v>
      </c>
      <c r="C23" s="72">
        <f>NPV(Economic!$B$35,Distributive!$C4:$AK4)</f>
        <v>6891.766100761698</v>
      </c>
      <c r="D23" s="72">
        <f>NPV(Economic!$B$35,Distributive!$C13:$AK13)</f>
        <v>11444.49521134458</v>
      </c>
      <c r="E23" s="73"/>
      <c r="F23" s="72">
        <f aca="true" t="shared" si="2" ref="F23:F28">D23-C23</f>
        <v>4552.729110582882</v>
      </c>
      <c r="G23" s="73"/>
      <c r="H23" s="92">
        <f>F23</f>
        <v>4552.729110582882</v>
      </c>
      <c r="I23" s="92"/>
      <c r="J23" s="92">
        <f aca="true" t="shared" si="3" ref="J23:J28">B23</f>
        <v>21728.730706894086</v>
      </c>
      <c r="K23" s="92"/>
      <c r="L23" s="92"/>
      <c r="M23" s="93">
        <f aca="true" t="shared" si="4" ref="M23:M28">C23-B23</f>
        <v>-14836.964606132387</v>
      </c>
    </row>
    <row r="24" spans="1:13" ht="12.75">
      <c r="A24" s="71" t="s">
        <v>163</v>
      </c>
      <c r="B24" s="72">
        <f>NPV(Financial!$B$288,Distributive!$C5:$AK5)</f>
        <v>467.12948009813323</v>
      </c>
      <c r="C24" s="72">
        <f>NPV(Economic!$B$35,Distributive!$C5:$AK5)</f>
        <v>148.76806632570893</v>
      </c>
      <c r="D24" s="72">
        <f>NPV(Economic!$B$35,Distributive!$C14:$AK14)</f>
        <v>148.76806632570893</v>
      </c>
      <c r="E24" s="73"/>
      <c r="F24" s="72">
        <f t="shared" si="2"/>
        <v>0</v>
      </c>
      <c r="G24" s="73"/>
      <c r="H24" s="92"/>
      <c r="I24" s="92"/>
      <c r="J24" s="92">
        <f t="shared" si="3"/>
        <v>467.12948009813323</v>
      </c>
      <c r="K24" s="92"/>
      <c r="L24" s="92"/>
      <c r="M24" s="93">
        <f t="shared" si="4"/>
        <v>-318.36141377242427</v>
      </c>
    </row>
    <row r="25" spans="1:13" ht="12.75">
      <c r="A25" s="71" t="s">
        <v>123</v>
      </c>
      <c r="B25" s="72">
        <f>NPV(Financial!$B$288,Distributive!$C6:$AK6)</f>
        <v>55.18322083601778</v>
      </c>
      <c r="C25" s="72">
        <f>NPV(Economic!$B$35,Distributive!$C6:$AK6)</f>
        <v>20.22730559303264</v>
      </c>
      <c r="D25" s="72">
        <f>NPV(Economic!$B$35,Distributive!$C15:$AK15)</f>
        <v>20.94324643072114</v>
      </c>
      <c r="E25" s="73"/>
      <c r="F25" s="72">
        <f t="shared" si="2"/>
        <v>0.7159408376884997</v>
      </c>
      <c r="G25" s="73"/>
      <c r="H25" s="92"/>
      <c r="I25" s="92">
        <f>F25-K25</f>
        <v>-1.5159990713926956</v>
      </c>
      <c r="J25" s="92">
        <f t="shared" si="3"/>
        <v>55.18322083601778</v>
      </c>
      <c r="K25" s="92">
        <f>AK6/Economic!$B$35/(1+Economic!$B$35)^$AK$2</f>
        <v>2.2319399090811953</v>
      </c>
      <c r="L25" s="92"/>
      <c r="M25" s="93">
        <f t="shared" si="4"/>
        <v>-34.95591524298514</v>
      </c>
    </row>
    <row r="26" spans="1:13" ht="12.75">
      <c r="A26" s="74" t="s">
        <v>180</v>
      </c>
      <c r="B26" s="72">
        <f>NPV(Financial!$B$288,Distributive!$C7:$AK7)</f>
        <v>453.25997446745185</v>
      </c>
      <c r="C26" s="72">
        <f>NPV(Economic!$B$35,Distributive!$C7:$AK7)</f>
        <v>148.2098621129165</v>
      </c>
      <c r="D26" s="72">
        <f>NPV(Economic!$B$35,Distributive!$C16:$AK16)</f>
        <v>159.88573772465108</v>
      </c>
      <c r="E26" s="73"/>
      <c r="F26" s="72">
        <f t="shared" si="2"/>
        <v>11.675875611734568</v>
      </c>
      <c r="G26" s="73"/>
      <c r="H26" s="92"/>
      <c r="I26" s="92">
        <f>F26-K26</f>
        <v>-11.573498441194552</v>
      </c>
      <c r="J26" s="92">
        <f t="shared" si="3"/>
        <v>453.25997446745185</v>
      </c>
      <c r="K26" s="92">
        <f>AE7/8/Economic!$B$35/(1+Economic!$B$35)^$AK$2</f>
        <v>23.24937405292912</v>
      </c>
      <c r="L26" s="92"/>
      <c r="M26" s="93">
        <f t="shared" si="4"/>
        <v>-305.0501123545354</v>
      </c>
    </row>
    <row r="27" spans="1:13" ht="12.75">
      <c r="A27" s="71" t="s">
        <v>92</v>
      </c>
      <c r="B27" s="72" t="e">
        <f>NPV(Financial!$B$288,Distributive!$C8:$AK8)</f>
        <v>#NAME?</v>
      </c>
      <c r="C27" s="72" t="e">
        <f>NPV(Economic!$B$35,Distributive!$C8:$AK8)</f>
        <v>#NAME?</v>
      </c>
      <c r="D27" s="72">
        <f>NPV(Economic!$B$35,Distributive!$C17:$AK17)</f>
        <v>0</v>
      </c>
      <c r="E27" s="73"/>
      <c r="F27" s="72" t="e">
        <f t="shared" si="2"/>
        <v>#NAME?</v>
      </c>
      <c r="G27" s="73"/>
      <c r="H27" s="92"/>
      <c r="I27" s="92"/>
      <c r="J27" s="92" t="e">
        <f t="shared" si="3"/>
        <v>#NAME?</v>
      </c>
      <c r="K27" s="92" t="e">
        <f>F27</f>
        <v>#NAME?</v>
      </c>
      <c r="L27" s="92"/>
      <c r="M27" s="93" t="e">
        <f t="shared" si="4"/>
        <v>#NAME?</v>
      </c>
    </row>
    <row r="28" spans="1:13" ht="12.75">
      <c r="A28" s="71" t="s">
        <v>93</v>
      </c>
      <c r="B28" s="72">
        <f>NPV(Financial!$B$288,Distributive!$C9:$AK9)</f>
        <v>9976.985057589269</v>
      </c>
      <c r="C28" s="72">
        <f>NPV(Economic!$B$35,Distributive!$C9:$AK9)</f>
        <v>8269.475358111147</v>
      </c>
      <c r="D28" s="72">
        <f>NPV(Economic!$B$35,Distributive!$C18:$AK18)</f>
        <v>7979.311736871316</v>
      </c>
      <c r="E28" s="73"/>
      <c r="F28" s="72">
        <f t="shared" si="2"/>
        <v>-290.1636212398316</v>
      </c>
      <c r="G28" s="73"/>
      <c r="H28" s="92"/>
      <c r="I28" s="92">
        <f>NPV(Economic!$B$35,Economic!C60:G60)</f>
        <v>-380.9227795277367</v>
      </c>
      <c r="J28" s="92">
        <f t="shared" si="3"/>
        <v>9976.985057589269</v>
      </c>
      <c r="K28" s="92"/>
      <c r="L28" s="92">
        <f>F28-I28</f>
        <v>90.75915828790505</v>
      </c>
      <c r="M28" s="93">
        <f t="shared" si="4"/>
        <v>-1707.5096994781215</v>
      </c>
    </row>
    <row r="29" spans="1:13" ht="13.5" thickBot="1">
      <c r="A29" s="75" t="s">
        <v>178</v>
      </c>
      <c r="B29" s="76" t="e">
        <f>NPV(Financial!$B$288,Distributive!$C10:$AK10)</f>
        <v>#NAME?</v>
      </c>
      <c r="C29" s="76" t="e">
        <f>C23-SUM(C24:C28)</f>
        <v>#NAME?</v>
      </c>
      <c r="D29" s="76">
        <f>D23-SUM(D24:D28)</f>
        <v>3135.586423992183</v>
      </c>
      <c r="E29" s="77"/>
      <c r="F29" s="76" t="e">
        <f>F23-SUM(F24:F28)</f>
        <v>#NAME?</v>
      </c>
      <c r="G29" s="77"/>
      <c r="H29" s="94">
        <f aca="true" t="shared" si="5" ref="H29:M29">H23-SUM(H24:H28)</f>
        <v>4552.729110582882</v>
      </c>
      <c r="I29" s="94">
        <f t="shared" si="5"/>
        <v>394.0122770403239</v>
      </c>
      <c r="J29" s="94" t="e">
        <f t="shared" si="5"/>
        <v>#NAME?</v>
      </c>
      <c r="K29" s="94" t="e">
        <f t="shared" si="5"/>
        <v>#NAME?</v>
      </c>
      <c r="L29" s="94">
        <f t="shared" si="5"/>
        <v>-90.75915828790505</v>
      </c>
      <c r="M29" s="95" t="e">
        <f t="shared" si="5"/>
        <v>#NAME?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Fulbright Economics Teaching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Xuan Thanh</dc:creator>
  <cp:keywords/>
  <dc:description/>
  <cp:lastModifiedBy>hoatm</cp:lastModifiedBy>
  <dcterms:created xsi:type="dcterms:W3CDTF">2009-08-20T09:22:24Z</dcterms:created>
  <dcterms:modified xsi:type="dcterms:W3CDTF">2014-08-15T04:28:11Z</dcterms:modified>
  <cp:category/>
  <cp:version/>
  <cp:contentType/>
  <cp:contentStatus/>
</cp:coreProperties>
</file>