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41" windowWidth="14940" windowHeight="8640" activeTab="0"/>
  </bookViews>
  <sheets>
    <sheet name="Mo hinh co so" sheetId="1" r:id="rId1"/>
    <sheet name="Chi phi von" sheetId="2" r:id="rId2"/>
  </sheets>
  <externalReferences>
    <externalReference r:id="rId5"/>
  </externalReferences>
  <definedNames>
    <definedName name="solver_adj" localSheetId="0" hidden="1">'Mo hinh co so'!#REF!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 hinh co so'!#REF!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opt" localSheetId="0" hidden="1">'Mo hinh co so'!#REF!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o" localSheetId="0" hidden="1">2</definedName>
    <definedName name="solver_rep" localSheetId="0" hidden="1">2</definedName>
    <definedName name="solver_rhs1" localSheetId="0" hidden="1">'Mo hinh co so'!#REF!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3</definedName>
    <definedName name="solver_val" localSheetId="0" hidden="1">0</definedName>
    <definedName name="solver_ver" localSheetId="0" hidden="1">2</definedName>
    <definedName name="ZA0" localSheetId="0">"Crystal Ball Data : Ver. 5.0"</definedName>
    <definedName name="ZA0A" localSheetId="0">0+106</definedName>
    <definedName name="ZA0C" localSheetId="0">0+100</definedName>
    <definedName name="ZA0D" localSheetId="0">0+0</definedName>
    <definedName name="ZA0F" localSheetId="0">0+119</definedName>
    <definedName name="ZA0T" localSheetId="0">7124577+0</definedName>
    <definedName name="ZA104AA" localSheetId="0">0+0.1+13+0+0.1+14+0+0.1+"?"+0+0.151111111111111+14+0+0.148888888888889+15+0+0.15+"?"+0+0.25+15+0+0.25+16+0+0.25+"?"+0+0.25+16+0+0.25+17+0+0.25+"?"+8</definedName>
    <definedName name="ZA104AB" localSheetId="0">0+0.15+17+0+0.15+18+0+0.15+"?"+0+0.1+18+0+0.1+19+0+0.1+"?"+9</definedName>
  </definedNames>
  <calcPr fullCalcOnLoad="1"/>
</workbook>
</file>

<file path=xl/sharedStrings.xml><?xml version="1.0" encoding="utf-8"?>
<sst xmlns="http://schemas.openxmlformats.org/spreadsheetml/2006/main" count="192" uniqueCount="174">
  <si>
    <t>Chi phí vốn</t>
  </si>
  <si>
    <t>Công suất</t>
  </si>
  <si>
    <t>Hóa chất</t>
  </si>
  <si>
    <t>Năng lượng</t>
  </si>
  <si>
    <t>Lao động</t>
  </si>
  <si>
    <t>Bảo trì &amp; chi phí khác</t>
  </si>
  <si>
    <t>Tổng</t>
  </si>
  <si>
    <t>Thuế doanh thu</t>
  </si>
  <si>
    <t>4 năm đầu</t>
  </si>
  <si>
    <t>4 năm tiếp theo</t>
  </si>
  <si>
    <t>Chi phí đầu tư</t>
  </si>
  <si>
    <t>Xây dựng</t>
  </si>
  <si>
    <t>Máy móc thiết bị</t>
  </si>
  <si>
    <t>Chi phí liên quan đến dự án</t>
  </si>
  <si>
    <t>Chi phí liên quan đến xây dựng</t>
  </si>
  <si>
    <t>Nợ vay</t>
  </si>
  <si>
    <t>Thời gian rút vốn</t>
  </si>
  <si>
    <t>Thời gian ân hạn</t>
  </si>
  <si>
    <t>Khấu hao</t>
  </si>
  <si>
    <t>Đầu tư thay thế máy móc thiết bị</t>
  </si>
  <si>
    <t>Khấu hao chi phí nhận đất, chi phí liên quan tới dự án và XD</t>
  </si>
  <si>
    <t>Số ngày hoạt động trong năm</t>
  </si>
  <si>
    <t>Sản lượng nước sản xuất</t>
  </si>
  <si>
    <t>Bảo trì và chi phí khác</t>
  </si>
  <si>
    <t>Khấu hao công trình xây dựng</t>
  </si>
  <si>
    <t>Khấu hao thay thế MMTB năm 2003</t>
  </si>
  <si>
    <t>Khấu hao tài sản máy móc thiết bị (MMTB ) ban đầu</t>
  </si>
  <si>
    <t>Khấu hao thay thế MMTB năm 2007</t>
  </si>
  <si>
    <t>Khấu hao thay thế MMTB năm 2010</t>
  </si>
  <si>
    <t>Khấu hao thay thế MMTB năm 2011</t>
  </si>
  <si>
    <t>Khấu hao thay thế MMTB năm 2015</t>
  </si>
  <si>
    <t>Khấu hao thay thế MMTB năm 2017</t>
  </si>
  <si>
    <t>Khấu hao tài sản khác</t>
  </si>
  <si>
    <t>Chi phí đất đai</t>
  </si>
  <si>
    <t>Doanh thu từ bán nước</t>
  </si>
  <si>
    <t>Doanh thu ròng</t>
  </si>
  <si>
    <t>Chi phí hoạt động</t>
  </si>
  <si>
    <t>Phí quản lý và bảo trì</t>
  </si>
  <si>
    <t>Lợi nhuận trước lãi vay và thuế</t>
  </si>
  <si>
    <t>Chi phí lãi vay</t>
  </si>
  <si>
    <t>Lợi nhuận trước thuế</t>
  </si>
  <si>
    <t>Lợi nhuận sau thuế</t>
  </si>
  <si>
    <t>Tổng chi phí</t>
  </si>
  <si>
    <t>Trả nợ gốc</t>
  </si>
  <si>
    <t>Ngân lưu vào</t>
  </si>
  <si>
    <t>Ngân lưu ra</t>
  </si>
  <si>
    <t>Lịch khấu hao hợp nhất</t>
  </si>
  <si>
    <t>Tài sản cố định ròng đầu kỳ</t>
  </si>
  <si>
    <t>Khấu hao hàng năm</t>
  </si>
  <si>
    <t>Khấu hao lũy tích</t>
  </si>
  <si>
    <t>Đầu tư mới</t>
  </si>
  <si>
    <t>Tài sản cố định ròng cuối kỳ</t>
  </si>
  <si>
    <t>Giải ngân</t>
  </si>
  <si>
    <t>Dư nợ đầu kỳ</t>
  </si>
  <si>
    <t>Dư nợ cuối kỳ</t>
  </si>
  <si>
    <t>Số lần trả nợ gốc bán niên</t>
  </si>
  <si>
    <t>Tốc độ tăng giá bán nước</t>
  </si>
  <si>
    <t>Tỷ lệ sản lượng nước bán ra/công suất năm 1</t>
  </si>
  <si>
    <t>Tỷ lệ sản lượng nước bán ra/công suất năm khác</t>
  </si>
  <si>
    <t>Tỷ lệ sản lượng nước SX/công suất</t>
  </si>
  <si>
    <t>Tốc độ tăng chi phí sản xuất trực tiếp</t>
  </si>
  <si>
    <t>Thuế</t>
  </si>
  <si>
    <t>Thuế lợi tức</t>
  </si>
  <si>
    <t>Công suất nhà máy ('000 m3/ngày)</t>
  </si>
  <si>
    <t>Khấu hao (năm)</t>
  </si>
  <si>
    <t>Mệnh giá ('000 USD)</t>
  </si>
  <si>
    <t>Kỳ hạn (năm)</t>
  </si>
  <si>
    <t>CÔNG TY NƯỚC BÌNH AN</t>
  </si>
  <si>
    <t>BẢNG THÔNG SỐ</t>
  </si>
  <si>
    <t>Chi phí vốn chủ sở hữu</t>
  </si>
  <si>
    <t>Chi phí vốn bình quân trọng số (WACC)</t>
  </si>
  <si>
    <t>LỊCH KHẤU HAO</t>
  </si>
  <si>
    <t>Năm bắt đầu khấu hao</t>
  </si>
  <si>
    <t xml:space="preserve"> Máy móc thiết bị</t>
  </si>
  <si>
    <t>Công trình xây dựng</t>
  </si>
  <si>
    <t>Tài sản khác (xe hơi)</t>
  </si>
  <si>
    <t>Khấu hao vô hình về chi phí đất đai, liên quan tới dự án và xây dựng</t>
  </si>
  <si>
    <t>Trong đó, nghiên cứu khả thi</t>
  </si>
  <si>
    <t>Trả lãi</t>
  </si>
  <si>
    <t>LỊCH NỢ VAY (hàng năm)</t>
  </si>
  <si>
    <t>DOANH THU</t>
  </si>
  <si>
    <t>Tỷ lệ sản lượng nước bán ra/công suất</t>
  </si>
  <si>
    <t>Sản lượng nước bán ra ('000 m3/năm)</t>
  </si>
  <si>
    <t>Giá nước</t>
  </si>
  <si>
    <t>Doanh thu bán nước</t>
  </si>
  <si>
    <t>Doanh thu bán nước ('000 USD)</t>
  </si>
  <si>
    <t>CHI PHÍ</t>
  </si>
  <si>
    <t>BÁO CÁO THU NHẬP</t>
  </si>
  <si>
    <t>Chi phí sản xuất và phí quản lý, bảo trì</t>
  </si>
  <si>
    <t>NGÂN LƯU</t>
  </si>
  <si>
    <t>Chi phí hoạt động và phí quản lý, bảo trì</t>
  </si>
  <si>
    <t>Chi đầu tư</t>
  </si>
  <si>
    <t>Ngân lưu nợ vay</t>
  </si>
  <si>
    <t>Cơ cấu vốn</t>
  </si>
  <si>
    <t>Vốn pháp định</t>
  </si>
  <si>
    <t>Vòng đời dự án (năm)</t>
  </si>
  <si>
    <t>Thời gian xây dựng (tháng)</t>
  </si>
  <si>
    <t>Lạm phát USD</t>
  </si>
  <si>
    <t>Tính theo giá thực</t>
  </si>
  <si>
    <t>Lãi suất danh nghĩa</t>
  </si>
  <si>
    <t>Lãi suất thực</t>
  </si>
  <si>
    <t>Thuế lợi nhuận</t>
  </si>
  <si>
    <t>Ngân lưu ròng của dự án</t>
  </si>
  <si>
    <t>Ngân lưu ròng chủ sở hữu</t>
  </si>
  <si>
    <t>Lợi nhuận trước khấu hao, lãi vay và thuế</t>
  </si>
  <si>
    <t>Ngày</t>
  </si>
  <si>
    <t>Lợi suất trái phiếu</t>
  </si>
  <si>
    <t>Hạng mức tín nhiệm</t>
  </si>
  <si>
    <t>Chênh lệch lãi suất tương ứng tính theo điểm cơ bản</t>
  </si>
  <si>
    <t>A1</t>
  </si>
  <si>
    <t>Thị trường Hoa Kỳ</t>
  </si>
  <si>
    <t>Công ty Nước Bình An</t>
  </si>
  <si>
    <t>A2</t>
  </si>
  <si>
    <t>B1</t>
  </si>
  <si>
    <t>A3</t>
  </si>
  <si>
    <t>Lợi suất trái phiếu CPHK 20 năm</t>
  </si>
  <si>
    <t>Aa1</t>
  </si>
  <si>
    <t>Mức bù rủi ro thị trường</t>
  </si>
  <si>
    <t>Aa2</t>
  </si>
  <si>
    <t>Aa3</t>
  </si>
  <si>
    <t>Hệ số beta có vay nợ ngành cấp nước</t>
  </si>
  <si>
    <t>Aaa</t>
  </si>
  <si>
    <t>Nợ/Vốn chủ sở hữu (D/E)</t>
  </si>
  <si>
    <t>Thuế suất thuế thu nhập</t>
  </si>
  <si>
    <t>B2</t>
  </si>
  <si>
    <t>Hệ số beta không vay nợ ngành cấp nước</t>
  </si>
  <si>
    <t>B3</t>
  </si>
  <si>
    <t>Ba1</t>
  </si>
  <si>
    <t>Hệ số beta có vay nợ tính cho Bình An</t>
  </si>
  <si>
    <t>Ba2</t>
  </si>
  <si>
    <t>Danh nghĩa</t>
  </si>
  <si>
    <t>Thực</t>
  </si>
  <si>
    <t>Ba3</t>
  </si>
  <si>
    <t>Suất sinh lợi nợ vay</t>
  </si>
  <si>
    <t>Baa1</t>
  </si>
  <si>
    <t>Suất sinh lợi vốn chủ sở hữu</t>
  </si>
  <si>
    <t>Baa2</t>
  </si>
  <si>
    <t>Baa3</t>
  </si>
  <si>
    <t>Ca</t>
  </si>
  <si>
    <t>Caa</t>
  </si>
  <si>
    <t>Việt Nam</t>
  </si>
  <si>
    <t>Hệ số tín nhiệm vay nợ Moody's</t>
  </si>
  <si>
    <t>Mức bù rủi ro quốc gia</t>
  </si>
  <si>
    <t>Ghi nhớ</t>
  </si>
  <si>
    <t>Thuế suất lợi nhuận hiệu dụng</t>
  </si>
  <si>
    <t>D/E</t>
  </si>
  <si>
    <t>Vốn chủ sở hữu, E</t>
  </si>
  <si>
    <t>Nợ vay, D</t>
  </si>
  <si>
    <t>WACC^</t>
  </si>
  <si>
    <t>Thuế suất TNDN theo luật định</t>
  </si>
  <si>
    <t>Lựa chọn thuế suất TNDN (luật định: 1; hiệu dụng: 2)</t>
  </si>
  <si>
    <t>Lựa chọn tỉ lệ D/E (ban đầu:1; bình quân: 2)</t>
  </si>
  <si>
    <t>Thuế suất TNDN hiệu dụng</t>
  </si>
  <si>
    <t>Tỷ lệ D/E</t>
  </si>
  <si>
    <t>Tỷ lệ E/V</t>
  </si>
  <si>
    <t>Tỷ lệ D/V</t>
  </si>
  <si>
    <r>
      <t>Tỷ lệ phí quản lý và bảo trì/</t>
    </r>
    <r>
      <rPr>
        <strike/>
        <sz val="8"/>
        <rFont val="Angsana New"/>
        <family val="1"/>
      </rPr>
      <t>Doanh thu ròng</t>
    </r>
  </si>
  <si>
    <t>(lấy chính xác, năm nhuận hay năm thường…)</t>
  </si>
  <si>
    <t>Chỉ số giá USD</t>
  </si>
  <si>
    <t>CHI PHÍ ĐẦU TƯ</t>
  </si>
  <si>
    <t>Giá nước năm 1996 (USD/m3)</t>
  </si>
  <si>
    <t>Chi phí sản xuất năm 1996 (USD/m3)</t>
  </si>
  <si>
    <t>theo lạm phát</t>
  </si>
  <si>
    <t>PHÂN TÍCH</t>
  </si>
  <si>
    <t>Ngân lưu chi phí đầu tư</t>
  </si>
  <si>
    <t>Chọn chi phí vốn chủ sỡ hữu</t>
  </si>
  <si>
    <t>Chi phí vốn chủ sở hữu theo quan điểm chủ quan, 1</t>
  </si>
  <si>
    <t>IRR dự án</t>
  </si>
  <si>
    <t>DSCR (Tỷ lệ an toàn trả nợ)</t>
  </si>
  <si>
    <t>NPV dự án</t>
  </si>
  <si>
    <t>NPV chủ sỡ hữu</t>
  </si>
  <si>
    <t>IRR chủ sở hữu</t>
  </si>
  <si>
    <t>Chi phí vốn chủ sở hữu tính khách quan, 2</t>
  </si>
  <si>
    <t>Tỷ lệ sản lượng nước thô dùng để SX/công suất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</si>
</sst>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_);_(* \(#,##0.0\);_(* &quot;-&quot;_);_(@_)"/>
    <numFmt numFmtId="168" formatCode="_(* #,##0.000_);_(* \(#,##0.000\);_(* &quot;-&quot;_);_(@_)"/>
    <numFmt numFmtId="169" formatCode="0_);\(0\)"/>
    <numFmt numFmtId="170" formatCode="_(* #,##0.0000_);_(* \(#,##0.0000\);_(* &quot;-&quot;_);_(@_)"/>
    <numFmt numFmtId="171" formatCode="[$-409]d\-mmm\-yy;@"/>
    <numFmt numFmtId="172" formatCode="_(* #,##0.00_);_(* \(#,##0.00\);_(* &quot;-&quot;_);_(@_)"/>
    <numFmt numFmtId="173" formatCode="_(* #,##0.000_);_(* \(#,##0.000\);_(* &quot;-&quot;???_);_(@_)"/>
    <numFmt numFmtId="174" formatCode="_(* #,##0.00000_);_(* \(#,##0.00000\);_(* &quot;-&quot;_);_(@_)"/>
    <numFmt numFmtId="175" formatCode="0.000%"/>
    <numFmt numFmtId="176" formatCode="0.0000%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00000%"/>
    <numFmt numFmtId="189" formatCode="_(* #,##0.0_);_(* \(#,##0.0\);_(* &quot;-&quot;??_);_(@_)"/>
    <numFmt numFmtId="190" formatCode="0.00000%"/>
    <numFmt numFmtId="191" formatCode="0.000000%"/>
    <numFmt numFmtId="192" formatCode="_(* #,##0.0000_);_(* \(#,##0.0000\);_(* &quot;-&quot;????_);_(@_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2.5"/>
      <color indexed="8"/>
      <name val="VNI-Helve"/>
      <family val="0"/>
    </font>
    <font>
      <sz val="1.5"/>
      <color indexed="8"/>
      <name val="VNI-Helve"/>
      <family val="0"/>
    </font>
    <font>
      <b/>
      <sz val="8"/>
      <color indexed="63"/>
      <name val="Arial"/>
      <family val="2"/>
    </font>
    <font>
      <b/>
      <sz val="8"/>
      <name val="Geneva"/>
      <family val="0"/>
    </font>
    <font>
      <sz val="8"/>
      <color indexed="63"/>
      <name val="Arial"/>
      <family val="2"/>
    </font>
    <font>
      <b/>
      <i/>
      <sz val="8"/>
      <name val="Arial"/>
      <family val="2"/>
    </font>
    <font>
      <strike/>
      <sz val="8"/>
      <name val="Angsana New"/>
      <family val="1"/>
    </font>
    <font>
      <b/>
      <i/>
      <u val="single"/>
      <sz val="8"/>
      <color indexed="23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.VnArial"/>
      <family val="0"/>
    </font>
    <font>
      <b/>
      <sz val="1.75"/>
      <color indexed="8"/>
      <name val=".VnArial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1" fontId="4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 indent="2"/>
    </xf>
    <xf numFmtId="41" fontId="3" fillId="0" borderId="0" xfId="0" applyNumberFormat="1" applyFont="1" applyBorder="1" applyAlignment="1">
      <alignment horizontal="left" vertical="center" indent="1"/>
    </xf>
    <xf numFmtId="41" fontId="3" fillId="0" borderId="0" xfId="42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left" vertical="center" indent="1"/>
    </xf>
    <xf numFmtId="9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quotePrefix="1">
      <alignment vertical="center"/>
    </xf>
    <xf numFmtId="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59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169" fontId="8" fillId="0" borderId="11" xfId="0" applyNumberFormat="1" applyFont="1" applyBorder="1" applyAlignment="1">
      <alignment vertical="center"/>
    </xf>
    <xf numFmtId="171" fontId="9" fillId="0" borderId="0" xfId="42" applyNumberFormat="1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41" fontId="3" fillId="33" borderId="0" xfId="0" applyNumberFormat="1" applyFont="1" applyFill="1" applyBorder="1" applyAlignment="1">
      <alignment vertical="center"/>
    </xf>
    <xf numFmtId="41" fontId="3" fillId="33" borderId="10" xfId="0" applyNumberFormat="1" applyFont="1" applyFill="1" applyBorder="1" applyAlignment="1">
      <alignment horizontal="left" vertical="center"/>
    </xf>
    <xf numFmtId="16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34" borderId="12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4" fontId="14" fillId="34" borderId="10" xfId="0" applyNumberFormat="1" applyFont="1" applyFill="1" applyBorder="1" applyAlignment="1">
      <alignment wrapText="1"/>
    </xf>
    <xf numFmtId="2" fontId="14" fillId="34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16" xfId="59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175" fontId="3" fillId="0" borderId="14" xfId="59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0" fontId="6" fillId="35" borderId="0" xfId="0" applyFont="1" applyFill="1" applyAlignment="1">
      <alignment/>
    </xf>
    <xf numFmtId="10" fontId="6" fillId="35" borderId="0" xfId="0" applyNumberFormat="1" applyFont="1" applyFill="1" applyAlignment="1">
      <alignment/>
    </xf>
    <xf numFmtId="10" fontId="6" fillId="35" borderId="0" xfId="59" applyNumberFormat="1" applyFont="1" applyFill="1" applyAlignment="1">
      <alignment/>
    </xf>
    <xf numFmtId="10" fontId="3" fillId="0" borderId="0" xfId="59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14" fillId="34" borderId="15" xfId="0" applyNumberFormat="1" applyFont="1" applyFill="1" applyBorder="1" applyAlignment="1">
      <alignment wrapText="1"/>
    </xf>
    <xf numFmtId="2" fontId="14" fillId="34" borderId="16" xfId="0" applyNumberFormat="1" applyFont="1" applyFill="1" applyBorder="1" applyAlignment="1">
      <alignment wrapText="1"/>
    </xf>
    <xf numFmtId="168" fontId="6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9" fontId="3" fillId="0" borderId="14" xfId="59" applyFont="1" applyFill="1" applyBorder="1" applyAlignment="1">
      <alignment/>
    </xf>
    <xf numFmtId="10" fontId="3" fillId="0" borderId="14" xfId="59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41" fontId="6" fillId="36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Fill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9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66" fontId="18" fillId="0" borderId="0" xfId="59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0" fontId="3" fillId="37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left" vertical="center" indent="1"/>
    </xf>
    <xf numFmtId="168" fontId="3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§é s©u tµi chÝnh M2/GDP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1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391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y%20Documents\Du\Problem%20set%20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1"/>
      <sheetName val="Problem 2"/>
      <sheetName val="Chart2"/>
      <sheetName val="Problem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0"/>
  <sheetViews>
    <sheetView tabSelected="1" zoomScale="110" zoomScaleNormal="110" zoomScaleSheetLayoutView="100" zoomScalePageLayoutView="0" workbookViewId="0" topLeftCell="A1">
      <pane xSplit="2" ySplit="4" topLeftCell="D1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3" sqref="L153"/>
    </sheetView>
  </sheetViews>
  <sheetFormatPr defaultColWidth="9.140625" defaultRowHeight="12.75"/>
  <cols>
    <col min="1" max="1" width="50.140625" style="5" bestFit="1" customWidth="1"/>
    <col min="2" max="2" width="9.421875" style="16" customWidth="1"/>
    <col min="3" max="3" width="13.57421875" style="5" customWidth="1"/>
    <col min="4" max="4" width="11.28125" style="5" customWidth="1"/>
    <col min="5" max="5" width="9.57421875" style="5" bestFit="1" customWidth="1"/>
    <col min="6" max="6" width="9.00390625" style="5" bestFit="1" customWidth="1"/>
    <col min="7" max="7" width="9.140625" style="5" customWidth="1"/>
    <col min="8" max="13" width="9.57421875" style="5" bestFit="1" customWidth="1"/>
    <col min="14" max="16384" width="9.140625" style="5" customWidth="1"/>
  </cols>
  <sheetData>
    <row r="1" spans="1:11" s="3" customFormat="1" ht="18">
      <c r="A1" s="1" t="s">
        <v>67</v>
      </c>
      <c r="B1" s="17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18">
      <c r="A2" s="1"/>
      <c r="B2" s="17"/>
      <c r="C2" s="1"/>
      <c r="D2" s="1"/>
      <c r="E2" s="1"/>
      <c r="F2" s="1"/>
      <c r="G2" s="1"/>
      <c r="H2" s="1"/>
      <c r="I2" s="1"/>
      <c r="J2" s="2"/>
      <c r="K2" s="2"/>
    </row>
    <row r="3" spans="1:26" ht="11.25">
      <c r="A3" s="27" t="s">
        <v>98</v>
      </c>
      <c r="C3" s="29">
        <v>0</v>
      </c>
      <c r="D3" s="29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29">
        <v>9</v>
      </c>
      <c r="M3" s="29">
        <v>10</v>
      </c>
      <c r="N3" s="29">
        <v>11</v>
      </c>
      <c r="O3" s="29">
        <v>12</v>
      </c>
      <c r="P3" s="29">
        <v>13</v>
      </c>
      <c r="Q3" s="29">
        <v>14</v>
      </c>
      <c r="R3" s="29">
        <v>15</v>
      </c>
      <c r="S3" s="29">
        <v>16</v>
      </c>
      <c r="T3" s="29">
        <v>17</v>
      </c>
      <c r="U3" s="29">
        <v>18</v>
      </c>
      <c r="V3" s="29">
        <v>19</v>
      </c>
      <c r="W3" s="29">
        <v>20</v>
      </c>
      <c r="X3" s="29">
        <v>21</v>
      </c>
      <c r="Y3" s="29">
        <v>22</v>
      </c>
      <c r="Z3" s="29">
        <v>23</v>
      </c>
    </row>
    <row r="4" spans="3:26" ht="12" thickBot="1">
      <c r="C4" s="30">
        <v>1996</v>
      </c>
      <c r="D4" s="30">
        <v>1997</v>
      </c>
      <c r="E4" s="30">
        <v>1998</v>
      </c>
      <c r="F4" s="30">
        <v>1999</v>
      </c>
      <c r="G4" s="30">
        <v>2000</v>
      </c>
      <c r="H4" s="30">
        <v>2001</v>
      </c>
      <c r="I4" s="30">
        <v>2002</v>
      </c>
      <c r="J4" s="30">
        <v>2003</v>
      </c>
      <c r="K4" s="30">
        <v>2004</v>
      </c>
      <c r="L4" s="30">
        <v>2005</v>
      </c>
      <c r="M4" s="30">
        <v>2006</v>
      </c>
      <c r="N4" s="30">
        <v>2007</v>
      </c>
      <c r="O4" s="30">
        <v>2008</v>
      </c>
      <c r="P4" s="30">
        <v>2009</v>
      </c>
      <c r="Q4" s="30">
        <v>2010</v>
      </c>
      <c r="R4" s="30">
        <v>2011</v>
      </c>
      <c r="S4" s="30">
        <v>2012</v>
      </c>
      <c r="T4" s="30">
        <v>2013</v>
      </c>
      <c r="U4" s="30">
        <v>2014</v>
      </c>
      <c r="V4" s="30">
        <v>2015</v>
      </c>
      <c r="W4" s="30">
        <v>2016</v>
      </c>
      <c r="X4" s="30">
        <v>2017</v>
      </c>
      <c r="Y4" s="30">
        <v>2018</v>
      </c>
      <c r="Z4" s="30">
        <v>2019</v>
      </c>
    </row>
    <row r="5" spans="1:3" s="4" customFormat="1" ht="12" thickTop="1">
      <c r="A5" s="4" t="s">
        <v>68</v>
      </c>
      <c r="B5" s="26"/>
      <c r="C5" s="26"/>
    </row>
    <row r="6" spans="1:3" s="4" customFormat="1" ht="11.25">
      <c r="A6" s="4" t="s">
        <v>97</v>
      </c>
      <c r="B6" s="21">
        <v>0.03</v>
      </c>
      <c r="C6" s="26"/>
    </row>
    <row r="7" spans="1:3" s="4" customFormat="1" ht="11.25">
      <c r="A7" s="4" t="s">
        <v>95</v>
      </c>
      <c r="B7" s="40">
        <v>20</v>
      </c>
      <c r="C7" s="26"/>
    </row>
    <row r="8" spans="1:3" s="4" customFormat="1" ht="11.25">
      <c r="A8" s="4" t="s">
        <v>96</v>
      </c>
      <c r="B8" s="40">
        <v>30</v>
      </c>
      <c r="C8" s="26"/>
    </row>
    <row r="9" spans="1:2" ht="11.25">
      <c r="A9" s="4" t="s">
        <v>160</v>
      </c>
      <c r="B9" s="19">
        <v>0.2</v>
      </c>
    </row>
    <row r="10" spans="1:5" ht="11.25">
      <c r="A10" s="7" t="s">
        <v>56</v>
      </c>
      <c r="B10" s="21"/>
      <c r="E10" s="21"/>
    </row>
    <row r="11" spans="1:5" ht="11.25">
      <c r="A11" s="4" t="s">
        <v>63</v>
      </c>
      <c r="B11" s="16">
        <v>100</v>
      </c>
      <c r="C11" s="20"/>
      <c r="E11" s="16"/>
    </row>
    <row r="12" spans="1:6" ht="11.25">
      <c r="A12" s="7" t="s">
        <v>57</v>
      </c>
      <c r="B12" s="21">
        <v>0.95</v>
      </c>
      <c r="F12" s="11"/>
    </row>
    <row r="13" spans="1:6" ht="11.25">
      <c r="A13" s="7" t="s">
        <v>58</v>
      </c>
      <c r="B13" s="21">
        <v>1</v>
      </c>
      <c r="F13" s="11"/>
    </row>
    <row r="14" spans="1:25" ht="11.25">
      <c r="A14" s="7" t="s">
        <v>59</v>
      </c>
      <c r="B14" s="21">
        <v>1.1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1.25">
      <c r="A15" s="105" t="s">
        <v>173</v>
      </c>
      <c r="B15" s="21">
        <v>1.15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1.25">
      <c r="A16" s="4" t="s">
        <v>161</v>
      </c>
    </row>
    <row r="17" spans="1:2" ht="11.25">
      <c r="A17" s="7" t="s">
        <v>2</v>
      </c>
      <c r="B17" s="22">
        <v>0.0043</v>
      </c>
    </row>
    <row r="18" spans="1:2" ht="11.25">
      <c r="A18" s="7" t="s">
        <v>3</v>
      </c>
      <c r="B18" s="22">
        <v>0.0374</v>
      </c>
    </row>
    <row r="19" spans="1:2" ht="11.25">
      <c r="A19" s="7" t="s">
        <v>4</v>
      </c>
      <c r="B19" s="22">
        <v>0.0013</v>
      </c>
    </row>
    <row r="20" spans="1:2" ht="11.25">
      <c r="A20" s="7" t="s">
        <v>5</v>
      </c>
      <c r="B20" s="22">
        <v>0.0011</v>
      </c>
    </row>
    <row r="21" spans="1:2" ht="11.25">
      <c r="A21" s="7" t="s">
        <v>6</v>
      </c>
      <c r="B21" s="22">
        <f>SUM(B17:B20)</f>
        <v>0.0441</v>
      </c>
    </row>
    <row r="22" spans="1:2" ht="11.25">
      <c r="A22" s="7" t="s">
        <v>60</v>
      </c>
      <c r="B22" s="21" t="s">
        <v>162</v>
      </c>
    </row>
    <row r="23" spans="1:3" ht="11.25">
      <c r="A23" s="85" t="s">
        <v>156</v>
      </c>
      <c r="B23" s="24">
        <v>0.05</v>
      </c>
      <c r="C23" s="12"/>
    </row>
    <row r="24" spans="1:3" ht="11.25">
      <c r="A24" s="18" t="s">
        <v>61</v>
      </c>
      <c r="B24" s="24"/>
      <c r="C24" s="12"/>
    </row>
    <row r="25" spans="1:2" ht="11.25">
      <c r="A25" s="7" t="s">
        <v>7</v>
      </c>
      <c r="B25" s="21">
        <v>0.01</v>
      </c>
    </row>
    <row r="26" spans="1:2" ht="11.25">
      <c r="A26" s="7" t="s">
        <v>62</v>
      </c>
      <c r="B26" s="23">
        <v>0.1</v>
      </c>
    </row>
    <row r="27" spans="1:2" ht="11.25">
      <c r="A27" s="6" t="s">
        <v>8</v>
      </c>
      <c r="B27" s="24">
        <v>0</v>
      </c>
    </row>
    <row r="28" spans="1:2" ht="11.25">
      <c r="A28" s="6" t="s">
        <v>9</v>
      </c>
      <c r="B28" s="24">
        <v>0.05</v>
      </c>
    </row>
    <row r="29" spans="1:3" ht="11.25">
      <c r="A29" s="4" t="s">
        <v>10</v>
      </c>
      <c r="C29" s="20"/>
    </row>
    <row r="30" spans="1:5" ht="11.25">
      <c r="A30" s="7" t="s">
        <v>11</v>
      </c>
      <c r="C30" s="20"/>
      <c r="D30" s="5">
        <v>4140</v>
      </c>
      <c r="E30" s="5">
        <v>9660</v>
      </c>
    </row>
    <row r="31" spans="1:26" ht="11.25">
      <c r="A31" s="7" t="s">
        <v>12</v>
      </c>
      <c r="C31" s="20"/>
      <c r="D31" s="5">
        <v>1371</v>
      </c>
      <c r="E31" s="5">
        <v>9660</v>
      </c>
      <c r="F31" s="5">
        <v>2372</v>
      </c>
      <c r="G31" s="5">
        <v>330</v>
      </c>
      <c r="H31" s="5">
        <v>0</v>
      </c>
      <c r="I31" s="5">
        <v>0</v>
      </c>
      <c r="J31" s="5">
        <v>125</v>
      </c>
      <c r="K31" s="5">
        <v>0</v>
      </c>
      <c r="L31" s="5">
        <v>0</v>
      </c>
      <c r="M31" s="5">
        <v>0</v>
      </c>
      <c r="N31" s="5">
        <v>815</v>
      </c>
      <c r="O31" s="5">
        <v>0</v>
      </c>
      <c r="P31" s="5">
        <v>0</v>
      </c>
      <c r="Q31" s="5">
        <v>765</v>
      </c>
      <c r="R31" s="5">
        <v>125</v>
      </c>
      <c r="S31" s="5">
        <v>0</v>
      </c>
      <c r="T31" s="5">
        <v>0</v>
      </c>
      <c r="U31" s="5">
        <v>0</v>
      </c>
      <c r="V31" s="5">
        <v>2450</v>
      </c>
      <c r="W31" s="5">
        <v>0</v>
      </c>
      <c r="X31" s="5">
        <v>125</v>
      </c>
      <c r="Y31" s="5">
        <v>0</v>
      </c>
      <c r="Z31" s="5">
        <v>0</v>
      </c>
    </row>
    <row r="32" spans="1:15" ht="11.25">
      <c r="A32" s="7" t="s">
        <v>75</v>
      </c>
      <c r="C32" s="20">
        <v>60</v>
      </c>
      <c r="D32" s="5">
        <v>40</v>
      </c>
      <c r="O32" s="5">
        <v>100</v>
      </c>
    </row>
    <row r="33" spans="1:4" ht="11.25">
      <c r="A33" s="7" t="s">
        <v>33</v>
      </c>
      <c r="C33" s="20">
        <v>400</v>
      </c>
      <c r="D33" s="5">
        <v>100</v>
      </c>
    </row>
    <row r="34" spans="1:6" ht="11.25">
      <c r="A34" s="7" t="s">
        <v>13</v>
      </c>
      <c r="C34" s="20">
        <v>800</v>
      </c>
      <c r="D34" s="5">
        <v>900</v>
      </c>
      <c r="E34" s="5">
        <v>990</v>
      </c>
      <c r="F34" s="5">
        <v>500</v>
      </c>
    </row>
    <row r="35" spans="1:3" ht="11.25">
      <c r="A35" s="6" t="s">
        <v>77</v>
      </c>
      <c r="C35" s="20">
        <v>400</v>
      </c>
    </row>
    <row r="36" spans="1:6" ht="11.25">
      <c r="A36" s="7" t="s">
        <v>14</v>
      </c>
      <c r="C36" s="20">
        <v>300</v>
      </c>
      <c r="D36" s="5">
        <v>1395</v>
      </c>
      <c r="E36" s="5">
        <v>3300</v>
      </c>
      <c r="F36" s="5">
        <v>1162</v>
      </c>
    </row>
    <row r="37" ht="11.25">
      <c r="A37" s="4" t="s">
        <v>64</v>
      </c>
    </row>
    <row r="38" spans="1:2" ht="11.25">
      <c r="A38" s="6" t="s">
        <v>72</v>
      </c>
      <c r="B38" s="41">
        <v>1999</v>
      </c>
    </row>
    <row r="39" spans="1:2" ht="11.25">
      <c r="A39" s="6" t="s">
        <v>74</v>
      </c>
      <c r="B39" s="16">
        <v>20</v>
      </c>
    </row>
    <row r="40" spans="1:2" ht="11.25">
      <c r="A40" s="6" t="s">
        <v>73</v>
      </c>
      <c r="B40" s="16">
        <v>7</v>
      </c>
    </row>
    <row r="41" spans="1:2" ht="11.25">
      <c r="A41" s="6" t="s">
        <v>19</v>
      </c>
      <c r="B41" s="16">
        <v>7</v>
      </c>
    </row>
    <row r="42" spans="1:2" ht="11.25">
      <c r="A42" s="6" t="s">
        <v>75</v>
      </c>
      <c r="B42" s="16">
        <v>6</v>
      </c>
    </row>
    <row r="43" spans="1:2" ht="11.25">
      <c r="A43" s="6" t="s">
        <v>20</v>
      </c>
      <c r="B43" s="16">
        <v>20</v>
      </c>
    </row>
    <row r="44" spans="1:3" ht="11.25">
      <c r="A44" s="18" t="s">
        <v>15</v>
      </c>
      <c r="C44" s="20"/>
    </row>
    <row r="45" spans="1:3" ht="11.25">
      <c r="A45" s="7" t="s">
        <v>65</v>
      </c>
      <c r="B45" s="16">
        <v>25000</v>
      </c>
      <c r="C45" s="20"/>
    </row>
    <row r="46" spans="1:3" ht="11.25">
      <c r="A46" s="7" t="s">
        <v>99</v>
      </c>
      <c r="B46" s="25">
        <v>0.085</v>
      </c>
      <c r="C46" s="20"/>
    </row>
    <row r="47" spans="1:3" ht="11.25">
      <c r="A47" s="7" t="s">
        <v>100</v>
      </c>
      <c r="B47" s="25">
        <f>(1+B46)/(1+B6)-1</f>
        <v>0.05339805825242716</v>
      </c>
      <c r="C47" s="20"/>
    </row>
    <row r="48" spans="1:3" ht="11.25">
      <c r="A48" s="7" t="s">
        <v>66</v>
      </c>
      <c r="B48" s="16">
        <v>7</v>
      </c>
      <c r="C48" s="20"/>
    </row>
    <row r="49" spans="1:3" ht="11.25">
      <c r="A49" s="7" t="s">
        <v>16</v>
      </c>
      <c r="B49" s="16">
        <v>1</v>
      </c>
      <c r="C49" s="20"/>
    </row>
    <row r="50" spans="1:3" ht="11.25">
      <c r="A50" s="7" t="s">
        <v>17</v>
      </c>
      <c r="B50" s="19">
        <v>0.5</v>
      </c>
      <c r="C50" s="20"/>
    </row>
    <row r="51" spans="1:6" ht="11.25">
      <c r="A51" s="7" t="s">
        <v>55</v>
      </c>
      <c r="B51" s="16">
        <f>(B48-B49-B50)*2</f>
        <v>11</v>
      </c>
      <c r="C51" s="31"/>
      <c r="D51" s="32"/>
      <c r="E51" s="31"/>
      <c r="F51" s="32"/>
    </row>
    <row r="52" spans="1:8" ht="11.25">
      <c r="A52" s="7" t="s">
        <v>52</v>
      </c>
      <c r="C52" s="20"/>
      <c r="E52" s="39">
        <v>35801</v>
      </c>
      <c r="F52" s="39">
        <v>35804</v>
      </c>
      <c r="G52" s="39">
        <v>35807</v>
      </c>
      <c r="H52" s="39">
        <v>36163</v>
      </c>
    </row>
    <row r="53" spans="3:8" ht="11.25">
      <c r="C53" s="20"/>
      <c r="E53" s="5">
        <v>7500</v>
      </c>
      <c r="F53" s="5">
        <v>7500</v>
      </c>
      <c r="G53" s="5">
        <v>7500</v>
      </c>
      <c r="H53" s="5">
        <v>2500</v>
      </c>
    </row>
    <row r="54" spans="1:3" ht="11.25">
      <c r="A54" s="38" t="s">
        <v>93</v>
      </c>
      <c r="C54" s="20"/>
    </row>
    <row r="55" spans="1:5" ht="11.25">
      <c r="A55" s="7" t="s">
        <v>94</v>
      </c>
      <c r="B55" s="5">
        <f>SUM(C55:E55)</f>
        <v>11100</v>
      </c>
      <c r="C55" s="20">
        <v>5000</v>
      </c>
      <c r="D55" s="5">
        <v>5800</v>
      </c>
      <c r="E55" s="5">
        <v>300</v>
      </c>
    </row>
    <row r="56" spans="1:3" ht="11.25">
      <c r="A56" s="7" t="s">
        <v>15</v>
      </c>
      <c r="B56" s="5">
        <f>SUM(E53:H53)</f>
        <v>25000</v>
      </c>
      <c r="C56" s="20"/>
    </row>
    <row r="57" spans="1:3" ht="11.25">
      <c r="A57" s="7"/>
      <c r="B57" s="5"/>
      <c r="C57" s="20"/>
    </row>
    <row r="58" spans="1:3" ht="11.25">
      <c r="A58" s="93" t="s">
        <v>163</v>
      </c>
      <c r="B58" s="5"/>
      <c r="C58" s="20"/>
    </row>
    <row r="59" spans="1:3" ht="11.25">
      <c r="A59" s="7"/>
      <c r="B59" s="5"/>
      <c r="C59" s="20"/>
    </row>
    <row r="60" spans="1:3" ht="11.25">
      <c r="A60" s="4" t="s">
        <v>0</v>
      </c>
      <c r="B60" s="5"/>
      <c r="C60" s="20"/>
    </row>
    <row r="61" spans="1:3" ht="11.25">
      <c r="A61" s="15" t="s">
        <v>165</v>
      </c>
      <c r="B61" s="5">
        <v>1</v>
      </c>
      <c r="C61" s="20"/>
    </row>
    <row r="62" spans="1:3" ht="11.25">
      <c r="A62" s="7" t="s">
        <v>166</v>
      </c>
      <c r="B62" s="104">
        <v>0.15</v>
      </c>
      <c r="C62" s="20"/>
    </row>
    <row r="63" spans="1:3" ht="11.25">
      <c r="A63" s="7" t="s">
        <v>172</v>
      </c>
      <c r="B63" s="28">
        <f>'Chi phi von'!E16</f>
        <v>0.17613339518215504</v>
      </c>
      <c r="C63" s="20"/>
    </row>
    <row r="64" spans="1:3" ht="11.25">
      <c r="A64" s="15" t="s">
        <v>69</v>
      </c>
      <c r="B64" s="28">
        <f>IF(B61=1,B62,B63)</f>
        <v>0.15</v>
      </c>
      <c r="C64" s="20"/>
    </row>
    <row r="65" spans="1:3" ht="11.25">
      <c r="A65" s="15" t="s">
        <v>70</v>
      </c>
      <c r="B65" s="28">
        <f>IF(B61=1,B62*'Chi phi von'!E9+'Chi phi von'!E10*'Mo hinh co so'!B46,'Chi phi von'!E17)</f>
        <v>0.10498614958448754</v>
      </c>
      <c r="C65" s="20"/>
    </row>
    <row r="66" spans="1:3" ht="11.25">
      <c r="A66" s="7"/>
      <c r="B66" s="28"/>
      <c r="C66" s="20"/>
    </row>
    <row r="67" spans="1:26" ht="11.25">
      <c r="A67" s="18" t="s">
        <v>158</v>
      </c>
      <c r="B67" s="28"/>
      <c r="C67" s="94">
        <v>1</v>
      </c>
      <c r="D67" s="92">
        <f>C67*(1+$B$6)</f>
        <v>1.03</v>
      </c>
      <c r="E67" s="92">
        <f aca="true" t="shared" si="0" ref="E67:Z67">D67*(1+$B$6)</f>
        <v>1.0609</v>
      </c>
      <c r="F67" s="92">
        <f t="shared" si="0"/>
        <v>1.092727</v>
      </c>
      <c r="G67" s="92">
        <f t="shared" si="0"/>
        <v>1.1255088100000001</v>
      </c>
      <c r="H67" s="92">
        <f t="shared" si="0"/>
        <v>1.1592740743</v>
      </c>
      <c r="I67" s="92">
        <f t="shared" si="0"/>
        <v>1.1940522965290001</v>
      </c>
      <c r="J67" s="92">
        <f t="shared" si="0"/>
        <v>1.2298738654248702</v>
      </c>
      <c r="K67" s="92">
        <f t="shared" si="0"/>
        <v>1.2667700813876164</v>
      </c>
      <c r="L67" s="92">
        <f t="shared" si="0"/>
        <v>1.304773183829245</v>
      </c>
      <c r="M67" s="92">
        <f t="shared" si="0"/>
        <v>1.3439163793441222</v>
      </c>
      <c r="N67" s="92">
        <f t="shared" si="0"/>
        <v>1.384233870724446</v>
      </c>
      <c r="O67" s="92">
        <f t="shared" si="0"/>
        <v>1.4257608868461793</v>
      </c>
      <c r="P67" s="92">
        <f t="shared" si="0"/>
        <v>1.4685337134515648</v>
      </c>
      <c r="Q67" s="92">
        <f t="shared" si="0"/>
        <v>1.512589724855112</v>
      </c>
      <c r="R67" s="92">
        <f t="shared" si="0"/>
        <v>1.5579674166007653</v>
      </c>
      <c r="S67" s="92">
        <f t="shared" si="0"/>
        <v>1.6047064390987884</v>
      </c>
      <c r="T67" s="92">
        <f t="shared" si="0"/>
        <v>1.652847632271752</v>
      </c>
      <c r="U67" s="92">
        <f t="shared" si="0"/>
        <v>1.7024330612399046</v>
      </c>
      <c r="V67" s="92">
        <f t="shared" si="0"/>
        <v>1.7535060530771018</v>
      </c>
      <c r="W67" s="92">
        <f t="shared" si="0"/>
        <v>1.806111234669415</v>
      </c>
      <c r="X67" s="92">
        <f t="shared" si="0"/>
        <v>1.8602945717094976</v>
      </c>
      <c r="Y67" s="92">
        <f t="shared" si="0"/>
        <v>1.9161034088607827</v>
      </c>
      <c r="Z67" s="92">
        <f t="shared" si="0"/>
        <v>1.9735865111266062</v>
      </c>
    </row>
    <row r="68" spans="1:3" ht="11.25">
      <c r="A68" s="7"/>
      <c r="B68" s="28"/>
      <c r="C68" s="20"/>
    </row>
    <row r="69" spans="1:3" ht="11.25">
      <c r="A69" s="91" t="s">
        <v>159</v>
      </c>
      <c r="B69" s="28"/>
      <c r="C69" s="20"/>
    </row>
    <row r="70" spans="1:26" ht="11.25">
      <c r="A70" s="7" t="s">
        <v>11</v>
      </c>
      <c r="C70" s="20">
        <f aca="true" t="shared" si="1" ref="C70:Z70">C30*C$67</f>
        <v>0</v>
      </c>
      <c r="D70" s="20">
        <f t="shared" si="1"/>
        <v>4264.2</v>
      </c>
      <c r="E70" s="20">
        <f t="shared" si="1"/>
        <v>10248.294</v>
      </c>
      <c r="F70" s="20">
        <f t="shared" si="1"/>
        <v>0</v>
      </c>
      <c r="G70" s="20">
        <f t="shared" si="1"/>
        <v>0</v>
      </c>
      <c r="H70" s="20">
        <f t="shared" si="1"/>
        <v>0</v>
      </c>
      <c r="I70" s="20">
        <f t="shared" si="1"/>
        <v>0</v>
      </c>
      <c r="J70" s="20">
        <f t="shared" si="1"/>
        <v>0</v>
      </c>
      <c r="K70" s="20">
        <f t="shared" si="1"/>
        <v>0</v>
      </c>
      <c r="L70" s="20">
        <f t="shared" si="1"/>
        <v>0</v>
      </c>
      <c r="M70" s="20">
        <f t="shared" si="1"/>
        <v>0</v>
      </c>
      <c r="N70" s="20">
        <f t="shared" si="1"/>
        <v>0</v>
      </c>
      <c r="O70" s="20">
        <f t="shared" si="1"/>
        <v>0</v>
      </c>
      <c r="P70" s="20">
        <f t="shared" si="1"/>
        <v>0</v>
      </c>
      <c r="Q70" s="20">
        <f t="shared" si="1"/>
        <v>0</v>
      </c>
      <c r="R70" s="20">
        <f t="shared" si="1"/>
        <v>0</v>
      </c>
      <c r="S70" s="20">
        <f t="shared" si="1"/>
        <v>0</v>
      </c>
      <c r="T70" s="20">
        <f t="shared" si="1"/>
        <v>0</v>
      </c>
      <c r="U70" s="20">
        <f t="shared" si="1"/>
        <v>0</v>
      </c>
      <c r="V70" s="20">
        <f t="shared" si="1"/>
        <v>0</v>
      </c>
      <c r="W70" s="20">
        <f t="shared" si="1"/>
        <v>0</v>
      </c>
      <c r="X70" s="20">
        <f t="shared" si="1"/>
        <v>0</v>
      </c>
      <c r="Y70" s="20">
        <f t="shared" si="1"/>
        <v>0</v>
      </c>
      <c r="Z70" s="20">
        <f t="shared" si="1"/>
        <v>0</v>
      </c>
    </row>
    <row r="71" spans="1:26" ht="11.25">
      <c r="A71" s="7" t="s">
        <v>12</v>
      </c>
      <c r="C71" s="20">
        <f aca="true" t="shared" si="2" ref="C71:Z71">C31*C$67</f>
        <v>0</v>
      </c>
      <c r="D71" s="20">
        <f t="shared" si="2"/>
        <v>1412.13</v>
      </c>
      <c r="E71" s="20">
        <f t="shared" si="2"/>
        <v>10248.294</v>
      </c>
      <c r="F71" s="20">
        <f t="shared" si="2"/>
        <v>2591.948444</v>
      </c>
      <c r="G71" s="20">
        <f t="shared" si="2"/>
        <v>371.4179073</v>
      </c>
      <c r="H71" s="20">
        <f t="shared" si="2"/>
        <v>0</v>
      </c>
      <c r="I71" s="20">
        <f t="shared" si="2"/>
        <v>0</v>
      </c>
      <c r="J71" s="20">
        <f t="shared" si="2"/>
        <v>153.73423317810878</v>
      </c>
      <c r="K71" s="20">
        <f t="shared" si="2"/>
        <v>0</v>
      </c>
      <c r="L71" s="20">
        <f t="shared" si="2"/>
        <v>0</v>
      </c>
      <c r="M71" s="20">
        <f t="shared" si="2"/>
        <v>0</v>
      </c>
      <c r="N71" s="20">
        <f t="shared" si="2"/>
        <v>1128.1506046404234</v>
      </c>
      <c r="O71" s="20">
        <f t="shared" si="2"/>
        <v>0</v>
      </c>
      <c r="P71" s="20">
        <f t="shared" si="2"/>
        <v>0</v>
      </c>
      <c r="Q71" s="20">
        <f t="shared" si="2"/>
        <v>1157.1311395141606</v>
      </c>
      <c r="R71" s="20">
        <f t="shared" si="2"/>
        <v>194.74592707509566</v>
      </c>
      <c r="S71" s="20">
        <f t="shared" si="2"/>
        <v>0</v>
      </c>
      <c r="T71" s="20">
        <f t="shared" si="2"/>
        <v>0</v>
      </c>
      <c r="U71" s="20">
        <f t="shared" si="2"/>
        <v>0</v>
      </c>
      <c r="V71" s="20">
        <f t="shared" si="2"/>
        <v>4296.0898300389</v>
      </c>
      <c r="W71" s="20">
        <f t="shared" si="2"/>
        <v>0</v>
      </c>
      <c r="X71" s="20">
        <f t="shared" si="2"/>
        <v>232.5368214636872</v>
      </c>
      <c r="Y71" s="20">
        <f t="shared" si="2"/>
        <v>0</v>
      </c>
      <c r="Z71" s="20">
        <f t="shared" si="2"/>
        <v>0</v>
      </c>
    </row>
    <row r="72" spans="1:26" ht="11.25">
      <c r="A72" s="7" t="s">
        <v>75</v>
      </c>
      <c r="C72" s="20">
        <f aca="true" t="shared" si="3" ref="C72:Z72">C32*C$67</f>
        <v>60</v>
      </c>
      <c r="D72" s="20">
        <f t="shared" si="3"/>
        <v>41.2</v>
      </c>
      <c r="E72" s="20">
        <f t="shared" si="3"/>
        <v>0</v>
      </c>
      <c r="F72" s="20">
        <f t="shared" si="3"/>
        <v>0</v>
      </c>
      <c r="G72" s="20">
        <f t="shared" si="3"/>
        <v>0</v>
      </c>
      <c r="H72" s="20">
        <f t="shared" si="3"/>
        <v>0</v>
      </c>
      <c r="I72" s="20">
        <f t="shared" si="3"/>
        <v>0</v>
      </c>
      <c r="J72" s="20">
        <f t="shared" si="3"/>
        <v>0</v>
      </c>
      <c r="K72" s="20">
        <f t="shared" si="3"/>
        <v>0</v>
      </c>
      <c r="L72" s="20">
        <f t="shared" si="3"/>
        <v>0</v>
      </c>
      <c r="M72" s="20">
        <f t="shared" si="3"/>
        <v>0</v>
      </c>
      <c r="N72" s="20">
        <f t="shared" si="3"/>
        <v>0</v>
      </c>
      <c r="O72" s="20">
        <f t="shared" si="3"/>
        <v>142.57608868461793</v>
      </c>
      <c r="P72" s="20">
        <f t="shared" si="3"/>
        <v>0</v>
      </c>
      <c r="Q72" s="20">
        <f t="shared" si="3"/>
        <v>0</v>
      </c>
      <c r="R72" s="20">
        <f t="shared" si="3"/>
        <v>0</v>
      </c>
      <c r="S72" s="20">
        <f t="shared" si="3"/>
        <v>0</v>
      </c>
      <c r="T72" s="20">
        <f t="shared" si="3"/>
        <v>0</v>
      </c>
      <c r="U72" s="20">
        <f t="shared" si="3"/>
        <v>0</v>
      </c>
      <c r="V72" s="20">
        <f t="shared" si="3"/>
        <v>0</v>
      </c>
      <c r="W72" s="20">
        <f t="shared" si="3"/>
        <v>0</v>
      </c>
      <c r="X72" s="20">
        <f t="shared" si="3"/>
        <v>0</v>
      </c>
      <c r="Y72" s="20">
        <f t="shared" si="3"/>
        <v>0</v>
      </c>
      <c r="Z72" s="20">
        <f t="shared" si="3"/>
        <v>0</v>
      </c>
    </row>
    <row r="73" spans="1:26" ht="11.25">
      <c r="A73" s="7" t="s">
        <v>33</v>
      </c>
      <c r="C73" s="20">
        <f aca="true" t="shared" si="4" ref="C73:Z73">C33*C$67</f>
        <v>400</v>
      </c>
      <c r="D73" s="20">
        <f t="shared" si="4"/>
        <v>103</v>
      </c>
      <c r="E73" s="20">
        <f t="shared" si="4"/>
        <v>0</v>
      </c>
      <c r="F73" s="20">
        <f t="shared" si="4"/>
        <v>0</v>
      </c>
      <c r="G73" s="20">
        <f t="shared" si="4"/>
        <v>0</v>
      </c>
      <c r="H73" s="20">
        <f t="shared" si="4"/>
        <v>0</v>
      </c>
      <c r="I73" s="20">
        <f t="shared" si="4"/>
        <v>0</v>
      </c>
      <c r="J73" s="20">
        <f t="shared" si="4"/>
        <v>0</v>
      </c>
      <c r="K73" s="20">
        <f t="shared" si="4"/>
        <v>0</v>
      </c>
      <c r="L73" s="20">
        <f t="shared" si="4"/>
        <v>0</v>
      </c>
      <c r="M73" s="20">
        <f t="shared" si="4"/>
        <v>0</v>
      </c>
      <c r="N73" s="20">
        <f t="shared" si="4"/>
        <v>0</v>
      </c>
      <c r="O73" s="20">
        <f t="shared" si="4"/>
        <v>0</v>
      </c>
      <c r="P73" s="20">
        <f t="shared" si="4"/>
        <v>0</v>
      </c>
      <c r="Q73" s="20">
        <f t="shared" si="4"/>
        <v>0</v>
      </c>
      <c r="R73" s="20">
        <f t="shared" si="4"/>
        <v>0</v>
      </c>
      <c r="S73" s="20">
        <f t="shared" si="4"/>
        <v>0</v>
      </c>
      <c r="T73" s="20">
        <f t="shared" si="4"/>
        <v>0</v>
      </c>
      <c r="U73" s="20">
        <f t="shared" si="4"/>
        <v>0</v>
      </c>
      <c r="V73" s="20">
        <f t="shared" si="4"/>
        <v>0</v>
      </c>
      <c r="W73" s="20">
        <f t="shared" si="4"/>
        <v>0</v>
      </c>
      <c r="X73" s="20">
        <f t="shared" si="4"/>
        <v>0</v>
      </c>
      <c r="Y73" s="20">
        <f t="shared" si="4"/>
        <v>0</v>
      </c>
      <c r="Z73" s="20">
        <f t="shared" si="4"/>
        <v>0</v>
      </c>
    </row>
    <row r="74" spans="1:26" ht="11.25">
      <c r="A74" s="7" t="s">
        <v>13</v>
      </c>
      <c r="C74" s="20">
        <f aca="true" t="shared" si="5" ref="C74:Z74">C34*C$67</f>
        <v>800</v>
      </c>
      <c r="D74" s="20">
        <f t="shared" si="5"/>
        <v>927</v>
      </c>
      <c r="E74" s="20">
        <f t="shared" si="5"/>
        <v>1050.291</v>
      </c>
      <c r="F74" s="20">
        <f t="shared" si="5"/>
        <v>546.3635</v>
      </c>
      <c r="G74" s="20">
        <f t="shared" si="5"/>
        <v>0</v>
      </c>
      <c r="H74" s="20">
        <f t="shared" si="5"/>
        <v>0</v>
      </c>
      <c r="I74" s="20">
        <f t="shared" si="5"/>
        <v>0</v>
      </c>
      <c r="J74" s="20">
        <f t="shared" si="5"/>
        <v>0</v>
      </c>
      <c r="K74" s="20">
        <f t="shared" si="5"/>
        <v>0</v>
      </c>
      <c r="L74" s="20">
        <f t="shared" si="5"/>
        <v>0</v>
      </c>
      <c r="M74" s="20">
        <f t="shared" si="5"/>
        <v>0</v>
      </c>
      <c r="N74" s="20">
        <f t="shared" si="5"/>
        <v>0</v>
      </c>
      <c r="O74" s="20">
        <f t="shared" si="5"/>
        <v>0</v>
      </c>
      <c r="P74" s="20">
        <f t="shared" si="5"/>
        <v>0</v>
      </c>
      <c r="Q74" s="20">
        <f t="shared" si="5"/>
        <v>0</v>
      </c>
      <c r="R74" s="20">
        <f t="shared" si="5"/>
        <v>0</v>
      </c>
      <c r="S74" s="20">
        <f t="shared" si="5"/>
        <v>0</v>
      </c>
      <c r="T74" s="20">
        <f t="shared" si="5"/>
        <v>0</v>
      </c>
      <c r="U74" s="20">
        <f t="shared" si="5"/>
        <v>0</v>
      </c>
      <c r="V74" s="20">
        <f t="shared" si="5"/>
        <v>0</v>
      </c>
      <c r="W74" s="20">
        <f t="shared" si="5"/>
        <v>0</v>
      </c>
      <c r="X74" s="20">
        <f t="shared" si="5"/>
        <v>0</v>
      </c>
      <c r="Y74" s="20">
        <f t="shared" si="5"/>
        <v>0</v>
      </c>
      <c r="Z74" s="20">
        <f t="shared" si="5"/>
        <v>0</v>
      </c>
    </row>
    <row r="75" spans="1:26" ht="11.25">
      <c r="A75" s="6" t="s">
        <v>77</v>
      </c>
      <c r="C75" s="20">
        <f aca="true" t="shared" si="6" ref="C75:Z75">C35*C$67</f>
        <v>400</v>
      </c>
      <c r="D75" s="20">
        <f t="shared" si="6"/>
        <v>0</v>
      </c>
      <c r="E75" s="20">
        <f t="shared" si="6"/>
        <v>0</v>
      </c>
      <c r="F75" s="20">
        <f t="shared" si="6"/>
        <v>0</v>
      </c>
      <c r="G75" s="20">
        <f t="shared" si="6"/>
        <v>0</v>
      </c>
      <c r="H75" s="20">
        <f t="shared" si="6"/>
        <v>0</v>
      </c>
      <c r="I75" s="20">
        <f t="shared" si="6"/>
        <v>0</v>
      </c>
      <c r="J75" s="20">
        <f t="shared" si="6"/>
        <v>0</v>
      </c>
      <c r="K75" s="20">
        <f t="shared" si="6"/>
        <v>0</v>
      </c>
      <c r="L75" s="20">
        <f t="shared" si="6"/>
        <v>0</v>
      </c>
      <c r="M75" s="20">
        <f t="shared" si="6"/>
        <v>0</v>
      </c>
      <c r="N75" s="20">
        <f t="shared" si="6"/>
        <v>0</v>
      </c>
      <c r="O75" s="20">
        <f t="shared" si="6"/>
        <v>0</v>
      </c>
      <c r="P75" s="20">
        <f t="shared" si="6"/>
        <v>0</v>
      </c>
      <c r="Q75" s="20">
        <f t="shared" si="6"/>
        <v>0</v>
      </c>
      <c r="R75" s="20">
        <f t="shared" si="6"/>
        <v>0</v>
      </c>
      <c r="S75" s="20">
        <f t="shared" si="6"/>
        <v>0</v>
      </c>
      <c r="T75" s="20">
        <f t="shared" si="6"/>
        <v>0</v>
      </c>
      <c r="U75" s="20">
        <f t="shared" si="6"/>
        <v>0</v>
      </c>
      <c r="V75" s="20">
        <f t="shared" si="6"/>
        <v>0</v>
      </c>
      <c r="W75" s="20">
        <f t="shared" si="6"/>
        <v>0</v>
      </c>
      <c r="X75" s="20">
        <f t="shared" si="6"/>
        <v>0</v>
      </c>
      <c r="Y75" s="20">
        <f t="shared" si="6"/>
        <v>0</v>
      </c>
      <c r="Z75" s="20">
        <f t="shared" si="6"/>
        <v>0</v>
      </c>
    </row>
    <row r="76" spans="1:26" ht="11.25">
      <c r="A76" s="7" t="s">
        <v>14</v>
      </c>
      <c r="C76" s="20">
        <f aca="true" t="shared" si="7" ref="C76:Z76">C36*C$67</f>
        <v>300</v>
      </c>
      <c r="D76" s="20">
        <f t="shared" si="7"/>
        <v>1436.8500000000001</v>
      </c>
      <c r="E76" s="20">
        <f t="shared" si="7"/>
        <v>3500.97</v>
      </c>
      <c r="F76" s="20">
        <f t="shared" si="7"/>
        <v>1269.748774</v>
      </c>
      <c r="G76" s="20">
        <f t="shared" si="7"/>
        <v>0</v>
      </c>
      <c r="H76" s="20">
        <f t="shared" si="7"/>
        <v>0</v>
      </c>
      <c r="I76" s="20">
        <f t="shared" si="7"/>
        <v>0</v>
      </c>
      <c r="J76" s="20">
        <f t="shared" si="7"/>
        <v>0</v>
      </c>
      <c r="K76" s="20">
        <f t="shared" si="7"/>
        <v>0</v>
      </c>
      <c r="L76" s="20">
        <f t="shared" si="7"/>
        <v>0</v>
      </c>
      <c r="M76" s="20">
        <f t="shared" si="7"/>
        <v>0</v>
      </c>
      <c r="N76" s="20">
        <f t="shared" si="7"/>
        <v>0</v>
      </c>
      <c r="O76" s="20">
        <f t="shared" si="7"/>
        <v>0</v>
      </c>
      <c r="P76" s="20">
        <f t="shared" si="7"/>
        <v>0</v>
      </c>
      <c r="Q76" s="20">
        <f t="shared" si="7"/>
        <v>0</v>
      </c>
      <c r="R76" s="20">
        <f t="shared" si="7"/>
        <v>0</v>
      </c>
      <c r="S76" s="20">
        <f t="shared" si="7"/>
        <v>0</v>
      </c>
      <c r="T76" s="20">
        <f t="shared" si="7"/>
        <v>0</v>
      </c>
      <c r="U76" s="20">
        <f t="shared" si="7"/>
        <v>0</v>
      </c>
      <c r="V76" s="20">
        <f t="shared" si="7"/>
        <v>0</v>
      </c>
      <c r="W76" s="20">
        <f t="shared" si="7"/>
        <v>0</v>
      </c>
      <c r="X76" s="20">
        <f t="shared" si="7"/>
        <v>0</v>
      </c>
      <c r="Y76" s="20">
        <f t="shared" si="7"/>
        <v>0</v>
      </c>
      <c r="Z76" s="20">
        <f t="shared" si="7"/>
        <v>0</v>
      </c>
    </row>
    <row r="77" spans="1:26" ht="11.25">
      <c r="A77" s="42" t="s">
        <v>164</v>
      </c>
      <c r="B77" s="42"/>
      <c r="C77" s="42">
        <f>(C70+C71+C72+C73+C74-C75+C76)</f>
        <v>1160</v>
      </c>
      <c r="D77" s="42">
        <f aca="true" t="shared" si="8" ref="D77:Z77">(D70+D71+D72+D73+D74-D75+D76)</f>
        <v>8184.38</v>
      </c>
      <c r="E77" s="42">
        <f t="shared" si="8"/>
        <v>25047.849000000002</v>
      </c>
      <c r="F77" s="42">
        <f t="shared" si="8"/>
        <v>4408.060718</v>
      </c>
      <c r="G77" s="42">
        <f t="shared" si="8"/>
        <v>371.4179073</v>
      </c>
      <c r="H77" s="42">
        <f t="shared" si="8"/>
        <v>0</v>
      </c>
      <c r="I77" s="42">
        <f t="shared" si="8"/>
        <v>0</v>
      </c>
      <c r="J77" s="42">
        <f t="shared" si="8"/>
        <v>153.73423317810878</v>
      </c>
      <c r="K77" s="42">
        <f t="shared" si="8"/>
        <v>0</v>
      </c>
      <c r="L77" s="42">
        <f t="shared" si="8"/>
        <v>0</v>
      </c>
      <c r="M77" s="42">
        <f t="shared" si="8"/>
        <v>0</v>
      </c>
      <c r="N77" s="42">
        <f t="shared" si="8"/>
        <v>1128.1506046404234</v>
      </c>
      <c r="O77" s="42">
        <f t="shared" si="8"/>
        <v>142.57608868461793</v>
      </c>
      <c r="P77" s="42">
        <f t="shared" si="8"/>
        <v>0</v>
      </c>
      <c r="Q77" s="42">
        <f t="shared" si="8"/>
        <v>1157.1311395141606</v>
      </c>
      <c r="R77" s="42">
        <f t="shared" si="8"/>
        <v>194.74592707509566</v>
      </c>
      <c r="S77" s="42">
        <f t="shared" si="8"/>
        <v>0</v>
      </c>
      <c r="T77" s="42">
        <f t="shared" si="8"/>
        <v>0</v>
      </c>
      <c r="U77" s="42">
        <f t="shared" si="8"/>
        <v>0</v>
      </c>
      <c r="V77" s="42">
        <f t="shared" si="8"/>
        <v>4296.0898300389</v>
      </c>
      <c r="W77" s="42">
        <f t="shared" si="8"/>
        <v>0</v>
      </c>
      <c r="X77" s="42">
        <f t="shared" si="8"/>
        <v>232.5368214636872</v>
      </c>
      <c r="Y77" s="42">
        <f t="shared" si="8"/>
        <v>0</v>
      </c>
      <c r="Z77" s="42">
        <f t="shared" si="8"/>
        <v>0</v>
      </c>
    </row>
    <row r="78" ht="11.25">
      <c r="B78" s="5"/>
    </row>
    <row r="79" ht="11.25">
      <c r="A79" s="4" t="s">
        <v>71</v>
      </c>
    </row>
    <row r="80" spans="1:25" ht="11.25">
      <c r="A80" s="13" t="s">
        <v>24</v>
      </c>
      <c r="F80" s="5">
        <f>SUM($C70:E70)/$B$39</f>
        <v>725.6247</v>
      </c>
      <c r="G80" s="5">
        <f>SUM($C70:F70)/$B$39</f>
        <v>725.6247</v>
      </c>
      <c r="H80" s="5">
        <f>SUM($C70:$G$70)/$B$39</f>
        <v>725.6247</v>
      </c>
      <c r="I80" s="5">
        <f>SUM($C70:$G$70)/$B$39</f>
        <v>725.6247</v>
      </c>
      <c r="J80" s="5">
        <f>SUM($C70:$G$70)/$B$39</f>
        <v>725.6247</v>
      </c>
      <c r="K80" s="5">
        <f>SUM($C70:$G$70)/$B$39</f>
        <v>725.6247</v>
      </c>
      <c r="L80" s="5">
        <f>SUM($C70:$G$70)/$B$39</f>
        <v>725.6247</v>
      </c>
      <c r="M80" s="5">
        <f>SUM($C70:$G$70)/$B$39</f>
        <v>725.6247</v>
      </c>
      <c r="N80" s="5">
        <f>SUM($C70:$G$70)/$B$39</f>
        <v>725.6247</v>
      </c>
      <c r="O80" s="5">
        <f>SUM($C70:$G$70)/$B$39</f>
        <v>725.6247</v>
      </c>
      <c r="P80" s="5">
        <f>SUM($C70:$G$70)/$B$39</f>
        <v>725.6247</v>
      </c>
      <c r="Q80" s="5">
        <f>SUM($C70:$G$70)/$B$39</f>
        <v>725.6247</v>
      </c>
      <c r="R80" s="5">
        <f>SUM($C70:$G$70)/$B$39</f>
        <v>725.6247</v>
      </c>
      <c r="S80" s="5">
        <f>SUM($C70:$G$70)/$B$39</f>
        <v>725.6247</v>
      </c>
      <c r="T80" s="5">
        <f>SUM($C70:$G$70)/$B$39</f>
        <v>725.6247</v>
      </c>
      <c r="U80" s="5">
        <f>SUM($C70:$G$70)/$B$39</f>
        <v>725.6247</v>
      </c>
      <c r="V80" s="5">
        <f>SUM($C70:$G$70)/$B$39</f>
        <v>725.6247</v>
      </c>
      <c r="W80" s="5">
        <f>SUM($C70:$G$70)/$B$39</f>
        <v>725.6247</v>
      </c>
      <c r="X80" s="5">
        <f>SUM($C70:$G$70)/$B$39</f>
        <v>725.6247</v>
      </c>
      <c r="Y80" s="5">
        <f>SUM($C70:$G$70)/$B$39</f>
        <v>725.6247</v>
      </c>
    </row>
    <row r="81" spans="1:14" ht="11.25">
      <c r="A81" s="13" t="s">
        <v>26</v>
      </c>
      <c r="F81" s="5">
        <f>SUM($C71:E71)/$B$40</f>
        <v>1665.774857142857</v>
      </c>
      <c r="G81" s="5">
        <f>SUM($C71:F71)/$B$40</f>
        <v>2036.0532062857142</v>
      </c>
      <c r="H81" s="5">
        <f>SUM($C71:$G$71)/$B$40</f>
        <v>2089.112907328571</v>
      </c>
      <c r="I81" s="5">
        <f>SUM($C71:$G$71)/$B$40</f>
        <v>2089.112907328571</v>
      </c>
      <c r="J81" s="5">
        <f>SUM($C71:$G$71)/$B$40</f>
        <v>2089.112907328571</v>
      </c>
      <c r="K81" s="5">
        <f>SUM($C71:$G$71)/$B$40</f>
        <v>2089.112907328571</v>
      </c>
      <c r="L81" s="5">
        <f>SUM($C71:$G$71)/$B$40</f>
        <v>2089.112907328571</v>
      </c>
      <c r="M81" s="5">
        <f>SUM($F71:$G$71)/$B$40</f>
        <v>423.3380501857143</v>
      </c>
      <c r="N81" s="5">
        <f>SUM($G71:$G$71)/$B$40</f>
        <v>53.05970104285715</v>
      </c>
    </row>
    <row r="82" spans="1:17" ht="11.25">
      <c r="A82" s="13" t="s">
        <v>25</v>
      </c>
      <c r="K82" s="5">
        <f aca="true" t="shared" si="9" ref="K82:Q82">$J$71/$B$41</f>
        <v>21.962033311158397</v>
      </c>
      <c r="L82" s="5">
        <f t="shared" si="9"/>
        <v>21.962033311158397</v>
      </c>
      <c r="M82" s="5">
        <f t="shared" si="9"/>
        <v>21.962033311158397</v>
      </c>
      <c r="N82" s="5">
        <f t="shared" si="9"/>
        <v>21.962033311158397</v>
      </c>
      <c r="O82" s="5">
        <f t="shared" si="9"/>
        <v>21.962033311158397</v>
      </c>
      <c r="P82" s="5">
        <f t="shared" si="9"/>
        <v>21.962033311158397</v>
      </c>
      <c r="Q82" s="5">
        <f t="shared" si="9"/>
        <v>21.962033311158397</v>
      </c>
    </row>
    <row r="83" spans="1:21" ht="11.25">
      <c r="A83" s="13" t="s">
        <v>27</v>
      </c>
      <c r="O83" s="5">
        <f aca="true" t="shared" si="10" ref="O83:U83">$N$71/$B$41</f>
        <v>161.16437209148904</v>
      </c>
      <c r="P83" s="5">
        <f t="shared" si="10"/>
        <v>161.16437209148904</v>
      </c>
      <c r="Q83" s="5">
        <f t="shared" si="10"/>
        <v>161.16437209148904</v>
      </c>
      <c r="R83" s="5">
        <f t="shared" si="10"/>
        <v>161.16437209148904</v>
      </c>
      <c r="S83" s="5">
        <f t="shared" si="10"/>
        <v>161.16437209148904</v>
      </c>
      <c r="T83" s="5">
        <f t="shared" si="10"/>
        <v>161.16437209148904</v>
      </c>
      <c r="U83" s="5">
        <f t="shared" si="10"/>
        <v>161.16437209148904</v>
      </c>
    </row>
    <row r="84" spans="1:24" ht="11.25">
      <c r="A84" s="13" t="s">
        <v>28</v>
      </c>
      <c r="R84" s="5">
        <f aca="true" t="shared" si="11" ref="R84:X84">$Q$71/$B$41</f>
        <v>165.30444850202295</v>
      </c>
      <c r="S84" s="5">
        <f t="shared" si="11"/>
        <v>165.30444850202295</v>
      </c>
      <c r="T84" s="5">
        <f t="shared" si="11"/>
        <v>165.30444850202295</v>
      </c>
      <c r="U84" s="5">
        <f t="shared" si="11"/>
        <v>165.30444850202295</v>
      </c>
      <c r="V84" s="5">
        <f t="shared" si="11"/>
        <v>165.30444850202295</v>
      </c>
      <c r="W84" s="5">
        <f t="shared" si="11"/>
        <v>165.30444850202295</v>
      </c>
      <c r="X84" s="5">
        <f t="shared" si="11"/>
        <v>165.30444850202295</v>
      </c>
    </row>
    <row r="85" spans="1:25" ht="11.25">
      <c r="A85" s="13" t="s">
        <v>29</v>
      </c>
      <c r="S85" s="5">
        <f aca="true" t="shared" si="12" ref="S85:Y85">$R$71/$B$41</f>
        <v>27.820846725013666</v>
      </c>
      <c r="T85" s="5">
        <f t="shared" si="12"/>
        <v>27.820846725013666</v>
      </c>
      <c r="U85" s="5">
        <f t="shared" si="12"/>
        <v>27.820846725013666</v>
      </c>
      <c r="V85" s="5">
        <f t="shared" si="12"/>
        <v>27.820846725013666</v>
      </c>
      <c r="W85" s="5">
        <f t="shared" si="12"/>
        <v>27.820846725013666</v>
      </c>
      <c r="X85" s="5">
        <f t="shared" si="12"/>
        <v>27.820846725013666</v>
      </c>
      <c r="Y85" s="5">
        <f t="shared" si="12"/>
        <v>27.820846725013666</v>
      </c>
    </row>
    <row r="86" spans="1:26" ht="11.25">
      <c r="A86" s="13" t="s">
        <v>30</v>
      </c>
      <c r="W86" s="5">
        <f>$V$71/$B$41</f>
        <v>613.7271185769857</v>
      </c>
      <c r="X86" s="5">
        <f>$V$71/$B$41</f>
        <v>613.7271185769857</v>
      </c>
      <c r="Y86" s="5">
        <f>$V$71/$B$41</f>
        <v>613.7271185769857</v>
      </c>
      <c r="Z86" s="5">
        <f>$V$71/$B$41</f>
        <v>613.7271185769857</v>
      </c>
    </row>
    <row r="87" spans="1:26" ht="11.25">
      <c r="A87" s="13" t="s">
        <v>31</v>
      </c>
      <c r="Y87" s="5">
        <f>$X$71/$B$41</f>
        <v>33.21954592338388</v>
      </c>
      <c r="Z87" s="5">
        <f>$X$71/$B$41</f>
        <v>33.21954592338388</v>
      </c>
    </row>
    <row r="88" spans="1:21" ht="11.25">
      <c r="A88" s="13" t="s">
        <v>32</v>
      </c>
      <c r="F88" s="5">
        <f>SUM($C$72:E72)/$B$42</f>
        <v>16.866666666666667</v>
      </c>
      <c r="G88" s="5">
        <f>SUM($C$72:F72)/$B$42</f>
        <v>16.866666666666667</v>
      </c>
      <c r="H88" s="5">
        <f>SUM($C$72:$G$72)/$B$42</f>
        <v>16.866666666666667</v>
      </c>
      <c r="I88" s="5">
        <f>SUM($C$72:$G$72)/$B$42</f>
        <v>16.866666666666667</v>
      </c>
      <c r="J88" s="5">
        <f>SUM($C$72:$G$72)/$B$42</f>
        <v>16.866666666666667</v>
      </c>
      <c r="K88" s="5">
        <f>SUM($C$72:$G$72)/$B$42</f>
        <v>16.866666666666667</v>
      </c>
      <c r="P88" s="5">
        <f aca="true" t="shared" si="13" ref="P88:U88">$O$72/$B$42</f>
        <v>23.76268144743632</v>
      </c>
      <c r="Q88" s="5">
        <f t="shared" si="13"/>
        <v>23.76268144743632</v>
      </c>
      <c r="R88" s="5">
        <f t="shared" si="13"/>
        <v>23.76268144743632</v>
      </c>
      <c r="S88" s="5">
        <f t="shared" si="13"/>
        <v>23.76268144743632</v>
      </c>
      <c r="T88" s="5">
        <f t="shared" si="13"/>
        <v>23.76268144743632</v>
      </c>
      <c r="U88" s="5">
        <f t="shared" si="13"/>
        <v>23.76268144743632</v>
      </c>
    </row>
    <row r="89" spans="1:26" ht="11.25">
      <c r="A89" s="13" t="s">
        <v>76</v>
      </c>
      <c r="F89" s="5">
        <f>(SUM($C$73:$E$74)+SUM($C$76:$E$76))/$B$43</f>
        <v>425.90555000000006</v>
      </c>
      <c r="G89" s="5">
        <f>(SUM($C$73:$F$74)+SUM($C$76:$F$76))/$B$43</f>
        <v>516.7111637</v>
      </c>
      <c r="H89" s="5">
        <f aca="true" t="shared" si="14" ref="H89:Y89">(SUM($C$73:$G$74)+SUM($C$76:$G$76))/$B$43</f>
        <v>516.7111637</v>
      </c>
      <c r="I89" s="5">
        <f t="shared" si="14"/>
        <v>516.7111637</v>
      </c>
      <c r="J89" s="5">
        <f t="shared" si="14"/>
        <v>516.7111637</v>
      </c>
      <c r="K89" s="5">
        <f t="shared" si="14"/>
        <v>516.7111637</v>
      </c>
      <c r="L89" s="5">
        <f t="shared" si="14"/>
        <v>516.7111637</v>
      </c>
      <c r="M89" s="5">
        <f t="shared" si="14"/>
        <v>516.7111637</v>
      </c>
      <c r="N89" s="5">
        <f t="shared" si="14"/>
        <v>516.7111637</v>
      </c>
      <c r="O89" s="5">
        <f t="shared" si="14"/>
        <v>516.7111637</v>
      </c>
      <c r="P89" s="5">
        <f t="shared" si="14"/>
        <v>516.7111637</v>
      </c>
      <c r="Q89" s="5">
        <f t="shared" si="14"/>
        <v>516.7111637</v>
      </c>
      <c r="R89" s="5">
        <f t="shared" si="14"/>
        <v>516.7111637</v>
      </c>
      <c r="S89" s="5">
        <f t="shared" si="14"/>
        <v>516.7111637</v>
      </c>
      <c r="T89" s="5">
        <f t="shared" si="14"/>
        <v>516.7111637</v>
      </c>
      <c r="U89" s="5">
        <f t="shared" si="14"/>
        <v>516.7111637</v>
      </c>
      <c r="V89" s="5">
        <f t="shared" si="14"/>
        <v>516.7111637</v>
      </c>
      <c r="W89" s="5">
        <f t="shared" si="14"/>
        <v>516.7111637</v>
      </c>
      <c r="X89" s="5">
        <f t="shared" si="14"/>
        <v>516.7111637</v>
      </c>
      <c r="Y89" s="5">
        <f t="shared" si="14"/>
        <v>516.7111637</v>
      </c>
      <c r="Z89" s="5">
        <f>(SUM($F$73:$G$74)+SUM($F$76:$G$76))/$B$43</f>
        <v>90.80561370000001</v>
      </c>
    </row>
    <row r="90" ht="11.25">
      <c r="A90" s="14"/>
    </row>
    <row r="91" ht="11.25">
      <c r="A91" s="37" t="s">
        <v>46</v>
      </c>
    </row>
    <row r="92" spans="1:26" ht="11.25">
      <c r="A92" s="13" t="s">
        <v>47</v>
      </c>
      <c r="C92" s="5">
        <v>0</v>
      </c>
      <c r="D92" s="5">
        <f>C96</f>
        <v>1560</v>
      </c>
      <c r="E92" s="5">
        <f aca="true" t="shared" si="15" ref="E92:Z92">D96</f>
        <v>9744.380000000001</v>
      </c>
      <c r="F92" s="5">
        <f t="shared" si="15"/>
        <v>34792.22900000001</v>
      </c>
      <c r="G92" s="5">
        <f t="shared" si="15"/>
        <v>36366.11794419048</v>
      </c>
      <c r="H92" s="5">
        <f t="shared" si="15"/>
        <v>33442.2801148381</v>
      </c>
      <c r="I92" s="5">
        <f t="shared" si="15"/>
        <v>30093.96467714286</v>
      </c>
      <c r="J92" s="5">
        <f t="shared" si="15"/>
        <v>26745.649239447623</v>
      </c>
      <c r="K92" s="5">
        <f t="shared" si="15"/>
        <v>23551.068034930493</v>
      </c>
      <c r="L92" s="5">
        <f t="shared" si="15"/>
        <v>20180.790563924096</v>
      </c>
      <c r="M92" s="5">
        <f t="shared" si="15"/>
        <v>16827.379759584368</v>
      </c>
      <c r="N92" s="5">
        <f t="shared" si="15"/>
        <v>15139.743812387496</v>
      </c>
      <c r="O92" s="5">
        <f t="shared" si="15"/>
        <v>14950.536818973904</v>
      </c>
      <c r="P92" s="5">
        <f t="shared" si="15"/>
        <v>13667.650638555875</v>
      </c>
      <c r="Q92" s="5">
        <f t="shared" si="15"/>
        <v>12218.425688005791</v>
      </c>
      <c r="R92" s="5">
        <f t="shared" si="15"/>
        <v>11926.331876969867</v>
      </c>
      <c r="S92" s="5">
        <f t="shared" si="15"/>
        <v>10528.510438304014</v>
      </c>
      <c r="T92" s="5">
        <f t="shared" si="15"/>
        <v>8908.122225838051</v>
      </c>
      <c r="U92" s="5">
        <f t="shared" si="15"/>
        <v>7287.734013372089</v>
      </c>
      <c r="V92" s="5">
        <f t="shared" si="15"/>
        <v>5667.345800906127</v>
      </c>
      <c r="W92" s="5">
        <f t="shared" si="15"/>
        <v>8527.97447201799</v>
      </c>
      <c r="X92" s="5">
        <f t="shared" si="15"/>
        <v>6478.7861945139675</v>
      </c>
      <c r="Y92" s="5">
        <f t="shared" si="15"/>
        <v>4662.134738473633</v>
      </c>
      <c r="Z92" s="5">
        <f t="shared" si="15"/>
        <v>2745.0313635482494</v>
      </c>
    </row>
    <row r="93" spans="1:26" ht="11.25">
      <c r="A93" s="43" t="s">
        <v>48</v>
      </c>
      <c r="B93" s="42"/>
      <c r="C93" s="42">
        <f>SUM(C80:C89)</f>
        <v>0</v>
      </c>
      <c r="D93" s="42">
        <f>SUM(D80:D89)</f>
        <v>0</v>
      </c>
      <c r="E93" s="42">
        <f aca="true" t="shared" si="16" ref="E93:Z93">SUM(E80:E89)</f>
        <v>0</v>
      </c>
      <c r="F93" s="42">
        <f>SUM(F80:F89)</f>
        <v>2834.1717738095235</v>
      </c>
      <c r="G93" s="42">
        <f t="shared" si="16"/>
        <v>3295.2557366523806</v>
      </c>
      <c r="H93" s="42">
        <f t="shared" si="16"/>
        <v>3348.315437695238</v>
      </c>
      <c r="I93" s="42">
        <f t="shared" si="16"/>
        <v>3348.315437695238</v>
      </c>
      <c r="J93" s="42">
        <f t="shared" si="16"/>
        <v>3348.315437695238</v>
      </c>
      <c r="K93" s="42">
        <f t="shared" si="16"/>
        <v>3370.277471006396</v>
      </c>
      <c r="L93" s="42">
        <f t="shared" si="16"/>
        <v>3353.410804339729</v>
      </c>
      <c r="M93" s="42">
        <f t="shared" si="16"/>
        <v>1687.6359471968726</v>
      </c>
      <c r="N93" s="42">
        <f t="shared" si="16"/>
        <v>1317.3575980540154</v>
      </c>
      <c r="O93" s="42">
        <f t="shared" si="16"/>
        <v>1425.4622691026475</v>
      </c>
      <c r="P93" s="42">
        <f t="shared" si="16"/>
        <v>1449.2249505500838</v>
      </c>
      <c r="Q93" s="42">
        <f t="shared" si="16"/>
        <v>1449.2249505500838</v>
      </c>
      <c r="R93" s="42">
        <f t="shared" si="16"/>
        <v>1592.5673657409484</v>
      </c>
      <c r="S93" s="42">
        <f t="shared" si="16"/>
        <v>1620.3882124659622</v>
      </c>
      <c r="T93" s="42">
        <f t="shared" si="16"/>
        <v>1620.3882124659622</v>
      </c>
      <c r="U93" s="42">
        <f t="shared" si="16"/>
        <v>1620.3882124659622</v>
      </c>
      <c r="V93" s="42">
        <f t="shared" si="16"/>
        <v>1435.4611589270366</v>
      </c>
      <c r="W93" s="42">
        <f t="shared" si="16"/>
        <v>2049.188277504022</v>
      </c>
      <c r="X93" s="42">
        <f t="shared" si="16"/>
        <v>2049.188277504022</v>
      </c>
      <c r="Y93" s="42">
        <f t="shared" si="16"/>
        <v>1917.1033749253834</v>
      </c>
      <c r="Z93" s="42">
        <f t="shared" si="16"/>
        <v>737.7522782003696</v>
      </c>
    </row>
    <row r="94" spans="1:26" ht="11.25">
      <c r="A94" s="13" t="s">
        <v>49</v>
      </c>
      <c r="C94" s="5">
        <f>B94+C93</f>
        <v>0</v>
      </c>
      <c r="D94" s="5">
        <f>C94+D93</f>
        <v>0</v>
      </c>
      <c r="E94" s="5">
        <f>D94+E93</f>
        <v>0</v>
      </c>
      <c r="F94" s="5">
        <f>E94+F93</f>
        <v>2834.1717738095235</v>
      </c>
      <c r="G94" s="5">
        <f>F94+G93</f>
        <v>6129.427510461905</v>
      </c>
      <c r="H94" s="5">
        <f aca="true" t="shared" si="17" ref="H94:Z94">G94+H93</f>
        <v>9477.742948157142</v>
      </c>
      <c r="I94" s="5">
        <f t="shared" si="17"/>
        <v>12826.058385852379</v>
      </c>
      <c r="J94" s="5">
        <f t="shared" si="17"/>
        <v>16174.373823547616</v>
      </c>
      <c r="K94" s="5">
        <f t="shared" si="17"/>
        <v>19544.651294554013</v>
      </c>
      <c r="L94" s="5">
        <f t="shared" si="17"/>
        <v>22898.06209889374</v>
      </c>
      <c r="M94" s="5">
        <f t="shared" si="17"/>
        <v>24585.698046090612</v>
      </c>
      <c r="N94" s="5">
        <f t="shared" si="17"/>
        <v>25903.055644144628</v>
      </c>
      <c r="O94" s="5">
        <f t="shared" si="17"/>
        <v>27328.517913247277</v>
      </c>
      <c r="P94" s="5">
        <f t="shared" si="17"/>
        <v>28777.74286379736</v>
      </c>
      <c r="Q94" s="5">
        <f t="shared" si="17"/>
        <v>30226.967814347445</v>
      </c>
      <c r="R94" s="5">
        <f t="shared" si="17"/>
        <v>31819.535180088395</v>
      </c>
      <c r="S94" s="5">
        <f t="shared" si="17"/>
        <v>33439.92339255436</v>
      </c>
      <c r="T94" s="5">
        <f t="shared" si="17"/>
        <v>35060.311605020324</v>
      </c>
      <c r="U94" s="5">
        <f t="shared" si="17"/>
        <v>36680.69981748629</v>
      </c>
      <c r="V94" s="5">
        <f t="shared" si="17"/>
        <v>38116.160976413325</v>
      </c>
      <c r="W94" s="5">
        <f t="shared" si="17"/>
        <v>40165.349253917346</v>
      </c>
      <c r="X94" s="5">
        <f t="shared" si="17"/>
        <v>42214.53753142137</v>
      </c>
      <c r="Y94" s="5">
        <f t="shared" si="17"/>
        <v>44131.64090634675</v>
      </c>
      <c r="Z94" s="5">
        <f t="shared" si="17"/>
        <v>44869.39318454712</v>
      </c>
    </row>
    <row r="95" spans="1:26" ht="11.25">
      <c r="A95" s="13" t="s">
        <v>50</v>
      </c>
      <c r="C95" s="5">
        <f>C70+C71+C72+C73+C74+C76</f>
        <v>1560</v>
      </c>
      <c r="D95" s="5">
        <f aca="true" t="shared" si="18" ref="D95:Z95">D70+D71+D72+D73+D74+D76</f>
        <v>8184.38</v>
      </c>
      <c r="E95" s="5">
        <f t="shared" si="18"/>
        <v>25047.849000000002</v>
      </c>
      <c r="F95" s="5">
        <f t="shared" si="18"/>
        <v>4408.060718</v>
      </c>
      <c r="G95" s="5">
        <f t="shared" si="18"/>
        <v>371.4179073</v>
      </c>
      <c r="H95" s="5">
        <f t="shared" si="18"/>
        <v>0</v>
      </c>
      <c r="I95" s="5">
        <f t="shared" si="18"/>
        <v>0</v>
      </c>
      <c r="J95" s="5">
        <f t="shared" si="18"/>
        <v>153.73423317810878</v>
      </c>
      <c r="K95" s="5">
        <f t="shared" si="18"/>
        <v>0</v>
      </c>
      <c r="L95" s="5">
        <f t="shared" si="18"/>
        <v>0</v>
      </c>
      <c r="M95" s="5">
        <f t="shared" si="18"/>
        <v>0</v>
      </c>
      <c r="N95" s="5">
        <f t="shared" si="18"/>
        <v>1128.1506046404234</v>
      </c>
      <c r="O95" s="5">
        <f t="shared" si="18"/>
        <v>142.57608868461793</v>
      </c>
      <c r="P95" s="5">
        <f t="shared" si="18"/>
        <v>0</v>
      </c>
      <c r="Q95" s="5">
        <f t="shared" si="18"/>
        <v>1157.1311395141606</v>
      </c>
      <c r="R95" s="5">
        <f t="shared" si="18"/>
        <v>194.74592707509566</v>
      </c>
      <c r="S95" s="5">
        <f t="shared" si="18"/>
        <v>0</v>
      </c>
      <c r="T95" s="5">
        <f t="shared" si="18"/>
        <v>0</v>
      </c>
      <c r="U95" s="5">
        <f t="shared" si="18"/>
        <v>0</v>
      </c>
      <c r="V95" s="5">
        <f t="shared" si="18"/>
        <v>4296.0898300389</v>
      </c>
      <c r="W95" s="5">
        <f t="shared" si="18"/>
        <v>0</v>
      </c>
      <c r="X95" s="5">
        <f t="shared" si="18"/>
        <v>232.5368214636872</v>
      </c>
      <c r="Y95" s="5">
        <f t="shared" si="18"/>
        <v>0</v>
      </c>
      <c r="Z95" s="5">
        <f t="shared" si="18"/>
        <v>0</v>
      </c>
    </row>
    <row r="96" spans="1:26" ht="11.25">
      <c r="A96" s="13" t="s">
        <v>51</v>
      </c>
      <c r="C96" s="5">
        <f>C92-C93+C95</f>
        <v>1560</v>
      </c>
      <c r="D96" s="5">
        <f aca="true" t="shared" si="19" ref="D96:Z96">D92-D93+D95</f>
        <v>9744.380000000001</v>
      </c>
      <c r="E96" s="5">
        <f t="shared" si="19"/>
        <v>34792.22900000001</v>
      </c>
      <c r="F96" s="5">
        <f t="shared" si="19"/>
        <v>36366.11794419048</v>
      </c>
      <c r="G96" s="5">
        <f t="shared" si="19"/>
        <v>33442.2801148381</v>
      </c>
      <c r="H96" s="5">
        <f t="shared" si="19"/>
        <v>30093.96467714286</v>
      </c>
      <c r="I96" s="5">
        <f t="shared" si="19"/>
        <v>26745.649239447623</v>
      </c>
      <c r="J96" s="5">
        <f t="shared" si="19"/>
        <v>23551.068034930493</v>
      </c>
      <c r="K96" s="5">
        <f t="shared" si="19"/>
        <v>20180.790563924096</v>
      </c>
      <c r="L96" s="5">
        <f t="shared" si="19"/>
        <v>16827.379759584368</v>
      </c>
      <c r="M96" s="5">
        <f t="shared" si="19"/>
        <v>15139.743812387496</v>
      </c>
      <c r="N96" s="5">
        <f t="shared" si="19"/>
        <v>14950.536818973904</v>
      </c>
      <c r="O96" s="5">
        <f t="shared" si="19"/>
        <v>13667.650638555875</v>
      </c>
      <c r="P96" s="5">
        <f t="shared" si="19"/>
        <v>12218.425688005791</v>
      </c>
      <c r="Q96" s="5">
        <f t="shared" si="19"/>
        <v>11926.331876969867</v>
      </c>
      <c r="R96" s="5">
        <f t="shared" si="19"/>
        <v>10528.510438304014</v>
      </c>
      <c r="S96" s="5">
        <f t="shared" si="19"/>
        <v>8908.122225838051</v>
      </c>
      <c r="T96" s="5">
        <f t="shared" si="19"/>
        <v>7287.734013372089</v>
      </c>
      <c r="U96" s="5">
        <f t="shared" si="19"/>
        <v>5667.345800906127</v>
      </c>
      <c r="V96" s="5">
        <f t="shared" si="19"/>
        <v>8527.97447201799</v>
      </c>
      <c r="W96" s="5">
        <f t="shared" si="19"/>
        <v>6478.7861945139675</v>
      </c>
      <c r="X96" s="5">
        <f t="shared" si="19"/>
        <v>4662.134738473633</v>
      </c>
      <c r="Y96" s="5">
        <f t="shared" si="19"/>
        <v>2745.0313635482494</v>
      </c>
      <c r="Z96" s="5">
        <f t="shared" si="19"/>
        <v>2007.2790853478798</v>
      </c>
    </row>
    <row r="98" spans="1:12" ht="11.25">
      <c r="A98" s="4" t="s">
        <v>79</v>
      </c>
      <c r="E98" s="44"/>
      <c r="F98" s="44"/>
      <c r="G98" s="44"/>
      <c r="H98" s="44"/>
      <c r="I98" s="44"/>
      <c r="J98" s="44"/>
      <c r="K98" s="44"/>
      <c r="L98" s="44"/>
    </row>
    <row r="99" spans="1:26" ht="11.25">
      <c r="A99" s="5" t="s">
        <v>53</v>
      </c>
      <c r="C99" s="5">
        <v>0</v>
      </c>
      <c r="D99" s="5">
        <f aca="true" t="shared" si="20" ref="D99:L99">C103</f>
        <v>0</v>
      </c>
      <c r="E99" s="5">
        <f t="shared" si="20"/>
        <v>0</v>
      </c>
      <c r="F99" s="5">
        <f t="shared" si="20"/>
        <v>22500</v>
      </c>
      <c r="G99" s="5">
        <f t="shared" si="20"/>
        <v>25000</v>
      </c>
      <c r="H99" s="5">
        <f t="shared" si="20"/>
        <v>20454.545454545456</v>
      </c>
      <c r="I99" s="5">
        <f t="shared" si="20"/>
        <v>15909.090909090912</v>
      </c>
      <c r="J99" s="5">
        <f t="shared" si="20"/>
        <v>11363.636363636368</v>
      </c>
      <c r="K99" s="5">
        <f t="shared" si="20"/>
        <v>6818.181818181823</v>
      </c>
      <c r="L99" s="5">
        <f t="shared" si="20"/>
        <v>2272.7272727272775</v>
      </c>
      <c r="M99" s="5">
        <f aca="true" t="shared" si="21" ref="M99:Z99">L103</f>
        <v>5.002220859751105E-12</v>
      </c>
      <c r="N99" s="5">
        <f t="shared" si="21"/>
        <v>5.002220859751105E-12</v>
      </c>
      <c r="O99" s="5">
        <f t="shared" si="21"/>
        <v>5.002220859751105E-12</v>
      </c>
      <c r="P99" s="5">
        <f t="shared" si="21"/>
        <v>5.002220859751105E-12</v>
      </c>
      <c r="Q99" s="5">
        <f t="shared" si="21"/>
        <v>5.002220859751105E-12</v>
      </c>
      <c r="R99" s="5">
        <f t="shared" si="21"/>
        <v>5.002220859751105E-12</v>
      </c>
      <c r="S99" s="5">
        <f t="shared" si="21"/>
        <v>5.002220859751105E-12</v>
      </c>
      <c r="T99" s="5">
        <f t="shared" si="21"/>
        <v>5.002220859751105E-12</v>
      </c>
      <c r="U99" s="5">
        <f t="shared" si="21"/>
        <v>5.002220859751105E-12</v>
      </c>
      <c r="V99" s="5">
        <f t="shared" si="21"/>
        <v>5.002220859751105E-12</v>
      </c>
      <c r="W99" s="5">
        <f t="shared" si="21"/>
        <v>5.002220859751105E-12</v>
      </c>
      <c r="X99" s="5">
        <f t="shared" si="21"/>
        <v>5.002220859751105E-12</v>
      </c>
      <c r="Y99" s="5">
        <f t="shared" si="21"/>
        <v>5.002220859751105E-12</v>
      </c>
      <c r="Z99" s="5">
        <f t="shared" si="21"/>
        <v>5.002220859751105E-12</v>
      </c>
    </row>
    <row r="100" spans="1:26" ht="11.25">
      <c r="A100" s="5" t="s">
        <v>52</v>
      </c>
      <c r="C100" s="5">
        <v>0</v>
      </c>
      <c r="D100" s="5">
        <v>0</v>
      </c>
      <c r="E100" s="5">
        <f>SUM(E53:G53)</f>
        <v>22500</v>
      </c>
      <c r="F100" s="5">
        <f aca="true" t="shared" si="22" ref="F100:L100">H53</f>
        <v>2500</v>
      </c>
      <c r="G100" s="5">
        <f t="shared" si="22"/>
        <v>0</v>
      </c>
      <c r="H100" s="5">
        <f t="shared" si="22"/>
        <v>0</v>
      </c>
      <c r="I100" s="5">
        <f t="shared" si="22"/>
        <v>0</v>
      </c>
      <c r="J100" s="5">
        <f t="shared" si="22"/>
        <v>0</v>
      </c>
      <c r="K100" s="5">
        <f t="shared" si="22"/>
        <v>0</v>
      </c>
      <c r="L100" s="5">
        <f t="shared" si="22"/>
        <v>0</v>
      </c>
      <c r="M100" s="5">
        <f aca="true" t="shared" si="23" ref="M100:Z100">O53</f>
        <v>0</v>
      </c>
      <c r="N100" s="5">
        <f t="shared" si="23"/>
        <v>0</v>
      </c>
      <c r="O100" s="5">
        <f t="shared" si="23"/>
        <v>0</v>
      </c>
      <c r="P100" s="5">
        <f t="shared" si="23"/>
        <v>0</v>
      </c>
      <c r="Q100" s="5">
        <f t="shared" si="23"/>
        <v>0</v>
      </c>
      <c r="R100" s="5">
        <f t="shared" si="23"/>
        <v>0</v>
      </c>
      <c r="S100" s="5">
        <f t="shared" si="23"/>
        <v>0</v>
      </c>
      <c r="T100" s="5">
        <f t="shared" si="23"/>
        <v>0</v>
      </c>
      <c r="U100" s="5">
        <f t="shared" si="23"/>
        <v>0</v>
      </c>
      <c r="V100" s="5">
        <f t="shared" si="23"/>
        <v>0</v>
      </c>
      <c r="W100" s="5">
        <f t="shared" si="23"/>
        <v>0</v>
      </c>
      <c r="X100" s="5">
        <f t="shared" si="23"/>
        <v>0</v>
      </c>
      <c r="Y100" s="5">
        <f t="shared" si="23"/>
        <v>0</v>
      </c>
      <c r="Z100" s="5">
        <f t="shared" si="23"/>
        <v>0</v>
      </c>
    </row>
    <row r="101" spans="1:26" ht="11.25">
      <c r="A101" s="42" t="s">
        <v>78</v>
      </c>
      <c r="B101" s="42"/>
      <c r="C101" s="42">
        <f aca="true" t="shared" si="24" ref="C101:L101">C99*$B$46</f>
        <v>0</v>
      </c>
      <c r="D101" s="42">
        <f t="shared" si="24"/>
        <v>0</v>
      </c>
      <c r="E101" s="42">
        <f t="shared" si="24"/>
        <v>0</v>
      </c>
      <c r="F101" s="42">
        <f t="shared" si="24"/>
        <v>1912.5000000000002</v>
      </c>
      <c r="G101" s="42">
        <f t="shared" si="24"/>
        <v>2125</v>
      </c>
      <c r="H101" s="42">
        <f t="shared" si="24"/>
        <v>1738.636363636364</v>
      </c>
      <c r="I101" s="42">
        <f t="shared" si="24"/>
        <v>1352.2727272727277</v>
      </c>
      <c r="J101" s="42">
        <f t="shared" si="24"/>
        <v>965.9090909090913</v>
      </c>
      <c r="K101" s="42">
        <f t="shared" si="24"/>
        <v>579.545454545455</v>
      </c>
      <c r="L101" s="42">
        <f t="shared" si="24"/>
        <v>193.1818181818186</v>
      </c>
      <c r="M101" s="42">
        <f aca="true" t="shared" si="25" ref="M101:Z101">M99*$B$46</f>
        <v>4.25188773078844E-13</v>
      </c>
      <c r="N101" s="42">
        <f t="shared" si="25"/>
        <v>4.25188773078844E-13</v>
      </c>
      <c r="O101" s="42">
        <f t="shared" si="25"/>
        <v>4.25188773078844E-13</v>
      </c>
      <c r="P101" s="42">
        <f t="shared" si="25"/>
        <v>4.25188773078844E-13</v>
      </c>
      <c r="Q101" s="42">
        <f t="shared" si="25"/>
        <v>4.25188773078844E-13</v>
      </c>
      <c r="R101" s="42">
        <f t="shared" si="25"/>
        <v>4.25188773078844E-13</v>
      </c>
      <c r="S101" s="42">
        <f t="shared" si="25"/>
        <v>4.25188773078844E-13</v>
      </c>
      <c r="T101" s="42">
        <f t="shared" si="25"/>
        <v>4.25188773078844E-13</v>
      </c>
      <c r="U101" s="42">
        <f t="shared" si="25"/>
        <v>4.25188773078844E-13</v>
      </c>
      <c r="V101" s="42">
        <f t="shared" si="25"/>
        <v>4.25188773078844E-13</v>
      </c>
      <c r="W101" s="42">
        <f t="shared" si="25"/>
        <v>4.25188773078844E-13</v>
      </c>
      <c r="X101" s="42">
        <f t="shared" si="25"/>
        <v>4.25188773078844E-13</v>
      </c>
      <c r="Y101" s="42">
        <f t="shared" si="25"/>
        <v>4.25188773078844E-13</v>
      </c>
      <c r="Z101" s="42">
        <f t="shared" si="25"/>
        <v>4.25188773078844E-13</v>
      </c>
    </row>
    <row r="102" spans="1:26" ht="11.25">
      <c r="A102" s="5" t="s">
        <v>43</v>
      </c>
      <c r="C102" s="5">
        <v>0</v>
      </c>
      <c r="D102" s="5">
        <v>0</v>
      </c>
      <c r="E102" s="5">
        <v>0</v>
      </c>
      <c r="F102" s="5">
        <v>0</v>
      </c>
      <c r="G102" s="5">
        <f aca="true" t="shared" si="26" ref="G102:L102">IF((G3-3)*2-$B$51=1,SUM($E$53:$H$53)/$B$51,IF((G3-3)*2-$B$51&gt;0,0,SUM($E$53:$H$53)/$B$51*2))</f>
        <v>4545.454545454545</v>
      </c>
      <c r="H102" s="5">
        <f t="shared" si="26"/>
        <v>4545.454545454545</v>
      </c>
      <c r="I102" s="5">
        <f t="shared" si="26"/>
        <v>4545.454545454545</v>
      </c>
      <c r="J102" s="5">
        <f t="shared" si="26"/>
        <v>4545.454545454545</v>
      </c>
      <c r="K102" s="5">
        <f t="shared" si="26"/>
        <v>4545.454545454545</v>
      </c>
      <c r="L102" s="5">
        <f t="shared" si="26"/>
        <v>2272.7272727272725</v>
      </c>
      <c r="M102" s="5">
        <f>IF((M3-3)*2-$B$51=1,SUM($E$53:$H$53)/$B$51,IF((M3-3)*2-$B$51&gt;0,0,SUM($E$53:$H$53)/$B$51*2))</f>
        <v>0</v>
      </c>
      <c r="N102" s="5">
        <f aca="true" t="shared" si="27" ref="N102:Z102">IF((N3-3)*2-$B$51=1,SUM($E$53:$H$53)/$B$51,IF((N3-3)*2-$B$51&gt;0,0,SUM($E$53:$H$53)/$B$51*2))</f>
        <v>0</v>
      </c>
      <c r="O102" s="5">
        <f t="shared" si="27"/>
        <v>0</v>
      </c>
      <c r="P102" s="5">
        <f t="shared" si="27"/>
        <v>0</v>
      </c>
      <c r="Q102" s="5">
        <f t="shared" si="27"/>
        <v>0</v>
      </c>
      <c r="R102" s="5">
        <f t="shared" si="27"/>
        <v>0</v>
      </c>
      <c r="S102" s="5">
        <f t="shared" si="27"/>
        <v>0</v>
      </c>
      <c r="T102" s="5">
        <f t="shared" si="27"/>
        <v>0</v>
      </c>
      <c r="U102" s="5">
        <f t="shared" si="27"/>
        <v>0</v>
      </c>
      <c r="V102" s="5">
        <f t="shared" si="27"/>
        <v>0</v>
      </c>
      <c r="W102" s="5">
        <f t="shared" si="27"/>
        <v>0</v>
      </c>
      <c r="X102" s="5">
        <f t="shared" si="27"/>
        <v>0</v>
      </c>
      <c r="Y102" s="5">
        <f t="shared" si="27"/>
        <v>0</v>
      </c>
      <c r="Z102" s="5">
        <f t="shared" si="27"/>
        <v>0</v>
      </c>
    </row>
    <row r="103" spans="1:26" ht="11.25">
      <c r="A103" s="5" t="s">
        <v>54</v>
      </c>
      <c r="C103" s="5">
        <f aca="true" t="shared" si="28" ref="C103:L103">C99+C100-C102</f>
        <v>0</v>
      </c>
      <c r="D103" s="5">
        <f t="shared" si="28"/>
        <v>0</v>
      </c>
      <c r="E103" s="5">
        <f t="shared" si="28"/>
        <v>22500</v>
      </c>
      <c r="F103" s="5">
        <f>F99+F100-F102</f>
        <v>25000</v>
      </c>
      <c r="G103" s="5">
        <f t="shared" si="28"/>
        <v>20454.545454545456</v>
      </c>
      <c r="H103" s="5">
        <f t="shared" si="28"/>
        <v>15909.090909090912</v>
      </c>
      <c r="I103" s="5">
        <f t="shared" si="28"/>
        <v>11363.636363636368</v>
      </c>
      <c r="J103" s="5">
        <f t="shared" si="28"/>
        <v>6818.181818181823</v>
      </c>
      <c r="K103" s="5">
        <f t="shared" si="28"/>
        <v>2272.7272727272775</v>
      </c>
      <c r="L103" s="5">
        <f t="shared" si="28"/>
        <v>5.002220859751105E-12</v>
      </c>
      <c r="M103" s="5">
        <f aca="true" t="shared" si="29" ref="M103:Z103">M99+M100-M102</f>
        <v>5.002220859751105E-12</v>
      </c>
      <c r="N103" s="5">
        <f t="shared" si="29"/>
        <v>5.002220859751105E-12</v>
      </c>
      <c r="O103" s="5">
        <f t="shared" si="29"/>
        <v>5.002220859751105E-12</v>
      </c>
      <c r="P103" s="5">
        <f t="shared" si="29"/>
        <v>5.002220859751105E-12</v>
      </c>
      <c r="Q103" s="5">
        <f t="shared" si="29"/>
        <v>5.002220859751105E-12</v>
      </c>
      <c r="R103" s="5">
        <f t="shared" si="29"/>
        <v>5.002220859751105E-12</v>
      </c>
      <c r="S103" s="5">
        <f t="shared" si="29"/>
        <v>5.002220859751105E-12</v>
      </c>
      <c r="T103" s="5">
        <f t="shared" si="29"/>
        <v>5.002220859751105E-12</v>
      </c>
      <c r="U103" s="5">
        <f t="shared" si="29"/>
        <v>5.002220859751105E-12</v>
      </c>
      <c r="V103" s="5">
        <f t="shared" si="29"/>
        <v>5.002220859751105E-12</v>
      </c>
      <c r="W103" s="5">
        <f t="shared" si="29"/>
        <v>5.002220859751105E-12</v>
      </c>
      <c r="X103" s="5">
        <f t="shared" si="29"/>
        <v>5.002220859751105E-12</v>
      </c>
      <c r="Y103" s="5">
        <f t="shared" si="29"/>
        <v>5.002220859751105E-12</v>
      </c>
      <c r="Z103" s="5">
        <f t="shared" si="29"/>
        <v>5.002220859751105E-12</v>
      </c>
    </row>
    <row r="105" ht="11.25">
      <c r="A105" s="4" t="s">
        <v>80</v>
      </c>
    </row>
    <row r="106" spans="1:26" ht="11.25">
      <c r="A106" s="5" t="s">
        <v>1</v>
      </c>
      <c r="F106" s="5">
        <f>$B$11</f>
        <v>100</v>
      </c>
      <c r="G106" s="5">
        <f aca="true" t="shared" si="30" ref="G106:Z106">$B$11</f>
        <v>100</v>
      </c>
      <c r="H106" s="5">
        <f t="shared" si="30"/>
        <v>100</v>
      </c>
      <c r="I106" s="5">
        <f t="shared" si="30"/>
        <v>100</v>
      </c>
      <c r="J106" s="5">
        <f t="shared" si="30"/>
        <v>100</v>
      </c>
      <c r="K106" s="5">
        <f t="shared" si="30"/>
        <v>100</v>
      </c>
      <c r="L106" s="5">
        <f t="shared" si="30"/>
        <v>100</v>
      </c>
      <c r="M106" s="5">
        <f t="shared" si="30"/>
        <v>100</v>
      </c>
      <c r="N106" s="5">
        <f t="shared" si="30"/>
        <v>100</v>
      </c>
      <c r="O106" s="5">
        <f t="shared" si="30"/>
        <v>100</v>
      </c>
      <c r="P106" s="5">
        <f t="shared" si="30"/>
        <v>100</v>
      </c>
      <c r="Q106" s="5">
        <f t="shared" si="30"/>
        <v>100</v>
      </c>
      <c r="R106" s="5">
        <f t="shared" si="30"/>
        <v>100</v>
      </c>
      <c r="S106" s="5">
        <f t="shared" si="30"/>
        <v>100</v>
      </c>
      <c r="T106" s="5">
        <f t="shared" si="30"/>
        <v>100</v>
      </c>
      <c r="U106" s="5">
        <f t="shared" si="30"/>
        <v>100</v>
      </c>
      <c r="V106" s="5">
        <f t="shared" si="30"/>
        <v>100</v>
      </c>
      <c r="W106" s="5">
        <f t="shared" si="30"/>
        <v>100</v>
      </c>
      <c r="X106" s="5">
        <f t="shared" si="30"/>
        <v>100</v>
      </c>
      <c r="Y106" s="5">
        <f t="shared" si="30"/>
        <v>100</v>
      </c>
      <c r="Z106" s="5">
        <f t="shared" si="30"/>
        <v>100</v>
      </c>
    </row>
    <row r="107" spans="1:26" ht="11.25">
      <c r="A107" s="15" t="s">
        <v>81</v>
      </c>
      <c r="C107" s="10"/>
      <c r="D107" s="10"/>
      <c r="E107" s="10"/>
      <c r="F107" s="10">
        <f>$B$12</f>
        <v>0.95</v>
      </c>
      <c r="G107" s="10">
        <f>$B$13</f>
        <v>1</v>
      </c>
      <c r="H107" s="10">
        <f aca="true" t="shared" si="31" ref="H107:Z107">$B$13</f>
        <v>1</v>
      </c>
      <c r="I107" s="10">
        <f t="shared" si="31"/>
        <v>1</v>
      </c>
      <c r="J107" s="10">
        <f t="shared" si="31"/>
        <v>1</v>
      </c>
      <c r="K107" s="10">
        <f t="shared" si="31"/>
        <v>1</v>
      </c>
      <c r="L107" s="10">
        <f t="shared" si="31"/>
        <v>1</v>
      </c>
      <c r="M107" s="10">
        <f t="shared" si="31"/>
        <v>1</v>
      </c>
      <c r="N107" s="10">
        <f t="shared" si="31"/>
        <v>1</v>
      </c>
      <c r="O107" s="10">
        <f t="shared" si="31"/>
        <v>1</v>
      </c>
      <c r="P107" s="10">
        <f t="shared" si="31"/>
        <v>1</v>
      </c>
      <c r="Q107" s="10">
        <f t="shared" si="31"/>
        <v>1</v>
      </c>
      <c r="R107" s="10">
        <f t="shared" si="31"/>
        <v>1</v>
      </c>
      <c r="S107" s="10">
        <f t="shared" si="31"/>
        <v>1</v>
      </c>
      <c r="T107" s="10">
        <f t="shared" si="31"/>
        <v>1</v>
      </c>
      <c r="U107" s="10">
        <f t="shared" si="31"/>
        <v>1</v>
      </c>
      <c r="V107" s="10">
        <f t="shared" si="31"/>
        <v>1</v>
      </c>
      <c r="W107" s="10">
        <f t="shared" si="31"/>
        <v>1</v>
      </c>
      <c r="X107" s="10">
        <f t="shared" si="31"/>
        <v>1</v>
      </c>
      <c r="Y107" s="10">
        <f t="shared" si="31"/>
        <v>1</v>
      </c>
      <c r="Z107" s="10">
        <f t="shared" si="31"/>
        <v>1</v>
      </c>
    </row>
    <row r="108" spans="1:26" ht="11.25">
      <c r="A108" s="5" t="s">
        <v>21</v>
      </c>
      <c r="B108" s="16" t="s">
        <v>157</v>
      </c>
      <c r="F108" s="5">
        <f>IF(MOD(F4,4)=0,366,365)-31-28</f>
        <v>306</v>
      </c>
      <c r="G108" s="5">
        <f>IF(MOD(G4,4)=0,366,365)</f>
        <v>366</v>
      </c>
      <c r="H108" s="5">
        <f aca="true" t="shared" si="32" ref="H108:Y108">IF(MOD(H4,4)=0,366,365)</f>
        <v>365</v>
      </c>
      <c r="I108" s="5">
        <f t="shared" si="32"/>
        <v>365</v>
      </c>
      <c r="J108" s="5">
        <f t="shared" si="32"/>
        <v>365</v>
      </c>
      <c r="K108" s="5">
        <f t="shared" si="32"/>
        <v>366</v>
      </c>
      <c r="L108" s="5">
        <f t="shared" si="32"/>
        <v>365</v>
      </c>
      <c r="M108" s="5">
        <f t="shared" si="32"/>
        <v>365</v>
      </c>
      <c r="N108" s="5">
        <f t="shared" si="32"/>
        <v>365</v>
      </c>
      <c r="O108" s="5">
        <f t="shared" si="32"/>
        <v>366</v>
      </c>
      <c r="P108" s="5">
        <f t="shared" si="32"/>
        <v>365</v>
      </c>
      <c r="Q108" s="5">
        <f t="shared" si="32"/>
        <v>365</v>
      </c>
      <c r="R108" s="5">
        <f t="shared" si="32"/>
        <v>365</v>
      </c>
      <c r="S108" s="5">
        <f t="shared" si="32"/>
        <v>366</v>
      </c>
      <c r="T108" s="5">
        <f t="shared" si="32"/>
        <v>365</v>
      </c>
      <c r="U108" s="5">
        <f t="shared" si="32"/>
        <v>365</v>
      </c>
      <c r="V108" s="5">
        <f t="shared" si="32"/>
        <v>365</v>
      </c>
      <c r="W108" s="5">
        <f t="shared" si="32"/>
        <v>366</v>
      </c>
      <c r="X108" s="5">
        <f t="shared" si="32"/>
        <v>365</v>
      </c>
      <c r="Y108" s="5">
        <f t="shared" si="32"/>
        <v>365</v>
      </c>
      <c r="Z108" s="5">
        <f>31+28</f>
        <v>59</v>
      </c>
    </row>
    <row r="109" spans="1:26" ht="11.25">
      <c r="A109" s="5" t="s">
        <v>82</v>
      </c>
      <c r="F109" s="5">
        <f>F108*F106*F107</f>
        <v>29070</v>
      </c>
      <c r="G109" s="5">
        <f aca="true" t="shared" si="33" ref="G109:Z109">G108*G106*G107</f>
        <v>36600</v>
      </c>
      <c r="H109" s="5">
        <f t="shared" si="33"/>
        <v>36500</v>
      </c>
      <c r="I109" s="5">
        <f t="shared" si="33"/>
        <v>36500</v>
      </c>
      <c r="J109" s="5">
        <f t="shared" si="33"/>
        <v>36500</v>
      </c>
      <c r="K109" s="5">
        <f t="shared" si="33"/>
        <v>36600</v>
      </c>
      <c r="L109" s="5">
        <f t="shared" si="33"/>
        <v>36500</v>
      </c>
      <c r="M109" s="5">
        <f t="shared" si="33"/>
        <v>36500</v>
      </c>
      <c r="N109" s="5">
        <f t="shared" si="33"/>
        <v>36500</v>
      </c>
      <c r="O109" s="5">
        <f t="shared" si="33"/>
        <v>36600</v>
      </c>
      <c r="P109" s="5">
        <f t="shared" si="33"/>
        <v>36500</v>
      </c>
      <c r="Q109" s="5">
        <f t="shared" si="33"/>
        <v>36500</v>
      </c>
      <c r="R109" s="5">
        <f t="shared" si="33"/>
        <v>36500</v>
      </c>
      <c r="S109" s="5">
        <f t="shared" si="33"/>
        <v>36600</v>
      </c>
      <c r="T109" s="5">
        <f t="shared" si="33"/>
        <v>36500</v>
      </c>
      <c r="U109" s="5">
        <f t="shared" si="33"/>
        <v>36500</v>
      </c>
      <c r="V109" s="5">
        <f t="shared" si="33"/>
        <v>36500</v>
      </c>
      <c r="W109" s="5">
        <f t="shared" si="33"/>
        <v>36600</v>
      </c>
      <c r="X109" s="5">
        <f t="shared" si="33"/>
        <v>36500</v>
      </c>
      <c r="Y109" s="5">
        <f t="shared" si="33"/>
        <v>36500</v>
      </c>
      <c r="Z109" s="5">
        <f t="shared" si="33"/>
        <v>5900</v>
      </c>
    </row>
    <row r="110" spans="1:26" s="16" customFormat="1" ht="11.25">
      <c r="A110" s="16" t="s">
        <v>83</v>
      </c>
      <c r="F110" s="106">
        <f>$B$9*F67</f>
        <v>0.2185454</v>
      </c>
      <c r="G110" s="106">
        <f aca="true" t="shared" si="34" ref="G110:Z110">$B$9*G67</f>
        <v>0.22510176200000004</v>
      </c>
      <c r="H110" s="106">
        <f t="shared" si="34"/>
        <v>0.23185481486000004</v>
      </c>
      <c r="I110" s="106">
        <f t="shared" si="34"/>
        <v>0.23881045930580003</v>
      </c>
      <c r="J110" s="106">
        <f t="shared" si="34"/>
        <v>0.24597477308497406</v>
      </c>
      <c r="K110" s="106">
        <f t="shared" si="34"/>
        <v>0.2533540162775233</v>
      </c>
      <c r="L110" s="106">
        <f t="shared" si="34"/>
        <v>0.260954636765849</v>
      </c>
      <c r="M110" s="106">
        <f t="shared" si="34"/>
        <v>0.26878327586882444</v>
      </c>
      <c r="N110" s="106">
        <f t="shared" si="34"/>
        <v>0.2768467741448892</v>
      </c>
      <c r="O110" s="106">
        <f t="shared" si="34"/>
        <v>0.28515217736923587</v>
      </c>
      <c r="P110" s="106">
        <f t="shared" si="34"/>
        <v>0.293706742690313</v>
      </c>
      <c r="Q110" s="106">
        <f t="shared" si="34"/>
        <v>0.3025179449710224</v>
      </c>
      <c r="R110" s="106">
        <f t="shared" si="34"/>
        <v>0.3115934833201531</v>
      </c>
      <c r="S110" s="106">
        <f t="shared" si="34"/>
        <v>0.3209412878197577</v>
      </c>
      <c r="T110" s="106">
        <f t="shared" si="34"/>
        <v>0.33056952645435045</v>
      </c>
      <c r="U110" s="106">
        <f t="shared" si="34"/>
        <v>0.34048661224798094</v>
      </c>
      <c r="V110" s="106">
        <f t="shared" si="34"/>
        <v>0.35070121061542037</v>
      </c>
      <c r="W110" s="106">
        <f t="shared" si="34"/>
        <v>0.36122224693388305</v>
      </c>
      <c r="X110" s="106">
        <f t="shared" si="34"/>
        <v>0.3720589143418995</v>
      </c>
      <c r="Y110" s="106">
        <f t="shared" si="34"/>
        <v>0.38322068177215657</v>
      </c>
      <c r="Z110" s="106">
        <f t="shared" si="34"/>
        <v>0.39471730222532125</v>
      </c>
    </row>
    <row r="111" spans="1:26" ht="11.25">
      <c r="A111" s="42" t="s">
        <v>85</v>
      </c>
      <c r="B111" s="42"/>
      <c r="C111" s="42"/>
      <c r="D111" s="42"/>
      <c r="E111" s="42"/>
      <c r="F111" s="42">
        <f>F110*F109</f>
        <v>6353.114778</v>
      </c>
      <c r="G111" s="42">
        <f aca="true" t="shared" si="35" ref="G111:Z111">G110*G109</f>
        <v>8238.724489200002</v>
      </c>
      <c r="H111" s="42">
        <f t="shared" si="35"/>
        <v>8462.700742390001</v>
      </c>
      <c r="I111" s="42">
        <f t="shared" si="35"/>
        <v>8716.581764661702</v>
      </c>
      <c r="J111" s="42">
        <f t="shared" si="35"/>
        <v>8978.079217601553</v>
      </c>
      <c r="K111" s="42">
        <f t="shared" si="35"/>
        <v>9272.756995757352</v>
      </c>
      <c r="L111" s="42">
        <f t="shared" si="35"/>
        <v>9524.84424195349</v>
      </c>
      <c r="M111" s="42">
        <f t="shared" si="35"/>
        <v>9810.589569212092</v>
      </c>
      <c r="N111" s="42">
        <f t="shared" si="35"/>
        <v>10104.907256288456</v>
      </c>
      <c r="O111" s="42">
        <f t="shared" si="35"/>
        <v>10436.569691714032</v>
      </c>
      <c r="P111" s="42">
        <f t="shared" si="35"/>
        <v>10720.296108196424</v>
      </c>
      <c r="Q111" s="42">
        <f t="shared" si="35"/>
        <v>11041.904991442318</v>
      </c>
      <c r="R111" s="42">
        <f t="shared" si="35"/>
        <v>11373.162141185587</v>
      </c>
      <c r="S111" s="42">
        <f t="shared" si="35"/>
        <v>11746.451134203133</v>
      </c>
      <c r="T111" s="42">
        <f t="shared" si="35"/>
        <v>12065.78771558379</v>
      </c>
      <c r="U111" s="42">
        <f t="shared" si="35"/>
        <v>12427.761347051304</v>
      </c>
      <c r="V111" s="42">
        <f t="shared" si="35"/>
        <v>12800.594187462844</v>
      </c>
      <c r="W111" s="42">
        <f t="shared" si="35"/>
        <v>13220.73423778012</v>
      </c>
      <c r="X111" s="42">
        <f t="shared" si="35"/>
        <v>13580.150373479333</v>
      </c>
      <c r="Y111" s="42">
        <f t="shared" si="35"/>
        <v>13987.554884683715</v>
      </c>
      <c r="Z111" s="42">
        <f t="shared" si="35"/>
        <v>2328.8320831293954</v>
      </c>
    </row>
    <row r="113" ht="11.25">
      <c r="A113" s="4" t="s">
        <v>86</v>
      </c>
    </row>
    <row r="114" spans="1:26" s="16" customFormat="1" ht="11.25">
      <c r="A114" s="16" t="s">
        <v>22</v>
      </c>
      <c r="F114" s="16">
        <f>F109*$B$14</f>
        <v>31977.000000000004</v>
      </c>
      <c r="G114" s="16">
        <f aca="true" t="shared" si="36" ref="G114:Z114">G109*$B$14</f>
        <v>40260</v>
      </c>
      <c r="H114" s="16">
        <f t="shared" si="36"/>
        <v>40150</v>
      </c>
      <c r="I114" s="16">
        <f t="shared" si="36"/>
        <v>40150</v>
      </c>
      <c r="J114" s="16">
        <f t="shared" si="36"/>
        <v>40150</v>
      </c>
      <c r="K114" s="16">
        <f t="shared" si="36"/>
        <v>40260</v>
      </c>
      <c r="L114" s="16">
        <f t="shared" si="36"/>
        <v>40150</v>
      </c>
      <c r="M114" s="16">
        <f t="shared" si="36"/>
        <v>40150</v>
      </c>
      <c r="N114" s="16">
        <f t="shared" si="36"/>
        <v>40150</v>
      </c>
      <c r="O114" s="16">
        <f t="shared" si="36"/>
        <v>40260</v>
      </c>
      <c r="P114" s="16">
        <f t="shared" si="36"/>
        <v>40150</v>
      </c>
      <c r="Q114" s="16">
        <f t="shared" si="36"/>
        <v>40150</v>
      </c>
      <c r="R114" s="16">
        <f t="shared" si="36"/>
        <v>40150</v>
      </c>
      <c r="S114" s="16">
        <f t="shared" si="36"/>
        <v>40260</v>
      </c>
      <c r="T114" s="16">
        <f t="shared" si="36"/>
        <v>40150</v>
      </c>
      <c r="U114" s="16">
        <f t="shared" si="36"/>
        <v>40150</v>
      </c>
      <c r="V114" s="16">
        <f t="shared" si="36"/>
        <v>40150</v>
      </c>
      <c r="W114" s="16">
        <f t="shared" si="36"/>
        <v>40260</v>
      </c>
      <c r="X114" s="16">
        <f t="shared" si="36"/>
        <v>40150</v>
      </c>
      <c r="Y114" s="16">
        <f t="shared" si="36"/>
        <v>40150</v>
      </c>
      <c r="Z114" s="16">
        <f t="shared" si="36"/>
        <v>6490.000000000001</v>
      </c>
    </row>
    <row r="115" spans="1:26" ht="11.25">
      <c r="A115" s="13" t="s">
        <v>2</v>
      </c>
      <c r="F115" s="5">
        <f>F$114*$B17*F$67</f>
        <v>150.2511644997</v>
      </c>
      <c r="G115" s="5">
        <f aca="true" t="shared" si="37" ref="G115:Z115">G$114*$B17*G$67</f>
        <v>194.84583416958003</v>
      </c>
      <c r="H115" s="5">
        <f t="shared" si="37"/>
        <v>200.14287255752353</v>
      </c>
      <c r="I115" s="5">
        <f t="shared" si="37"/>
        <v>206.14715873424925</v>
      </c>
      <c r="J115" s="5">
        <f t="shared" si="37"/>
        <v>212.33157349627672</v>
      </c>
      <c r="K115" s="5">
        <f t="shared" si="37"/>
        <v>219.30070294966137</v>
      </c>
      <c r="L115" s="5">
        <f t="shared" si="37"/>
        <v>225.2625663222</v>
      </c>
      <c r="M115" s="5">
        <f t="shared" si="37"/>
        <v>232.020443311866</v>
      </c>
      <c r="N115" s="5">
        <f t="shared" si="37"/>
        <v>238.981056611222</v>
      </c>
      <c r="O115" s="5">
        <f t="shared" si="37"/>
        <v>246.82487320903687</v>
      </c>
      <c r="P115" s="5">
        <f t="shared" si="37"/>
        <v>253.5350029588454</v>
      </c>
      <c r="Q115" s="5">
        <f t="shared" si="37"/>
        <v>261.1410530476108</v>
      </c>
      <c r="R115" s="5">
        <f t="shared" si="37"/>
        <v>268.97528463903916</v>
      </c>
      <c r="S115" s="5">
        <f t="shared" si="37"/>
        <v>277.80356932390407</v>
      </c>
      <c r="T115" s="5">
        <f t="shared" si="37"/>
        <v>285.3558794735566</v>
      </c>
      <c r="U115" s="5">
        <f t="shared" si="37"/>
        <v>293.91655585776334</v>
      </c>
      <c r="V115" s="5">
        <f t="shared" si="37"/>
        <v>302.73405253349625</v>
      </c>
      <c r="W115" s="5">
        <f t="shared" si="37"/>
        <v>312.6703647234998</v>
      </c>
      <c r="X115" s="5">
        <f t="shared" si="37"/>
        <v>321.17055633278625</v>
      </c>
      <c r="Y115" s="5">
        <f t="shared" si="37"/>
        <v>330.80567302276984</v>
      </c>
      <c r="Z115" s="5">
        <f t="shared" si="37"/>
        <v>55.0768787660102</v>
      </c>
    </row>
    <row r="116" spans="1:26" ht="11.25">
      <c r="A116" s="13" t="s">
        <v>3</v>
      </c>
      <c r="F116" s="5">
        <f aca="true" t="shared" si="38" ref="F116:Z116">F$114*$B18*F$67</f>
        <v>1306.8357098346003</v>
      </c>
      <c r="G116" s="5">
        <f t="shared" si="38"/>
        <v>1694.7056274284405</v>
      </c>
      <c r="H116" s="5">
        <f t="shared" si="38"/>
        <v>1740.7775427096233</v>
      </c>
      <c r="I116" s="5">
        <f t="shared" si="38"/>
        <v>1793.000868990912</v>
      </c>
      <c r="J116" s="5">
        <f t="shared" si="38"/>
        <v>1846.7908950606395</v>
      </c>
      <c r="K116" s="5">
        <f t="shared" si="38"/>
        <v>1907.4061140272875</v>
      </c>
      <c r="L116" s="5">
        <f t="shared" si="38"/>
        <v>1959.2604605698325</v>
      </c>
      <c r="M116" s="5">
        <f t="shared" si="38"/>
        <v>2018.0382743869275</v>
      </c>
      <c r="N116" s="5">
        <f t="shared" si="38"/>
        <v>2078.5794226185353</v>
      </c>
      <c r="O116" s="5">
        <f t="shared" si="38"/>
        <v>2146.8023855855768</v>
      </c>
      <c r="P116" s="5">
        <f t="shared" si="38"/>
        <v>2205.1649094560044</v>
      </c>
      <c r="Q116" s="5">
        <f t="shared" si="38"/>
        <v>2271.319856739685</v>
      </c>
      <c r="R116" s="5">
        <f t="shared" si="38"/>
        <v>2339.4594524418753</v>
      </c>
      <c r="S116" s="5">
        <f t="shared" si="38"/>
        <v>2416.2449983055844</v>
      </c>
      <c r="T116" s="5">
        <f t="shared" si="38"/>
        <v>2481.9325330955858</v>
      </c>
      <c r="U116" s="5">
        <f t="shared" si="38"/>
        <v>2556.390509088453</v>
      </c>
      <c r="V116" s="5">
        <f t="shared" si="38"/>
        <v>2633.082224361107</v>
      </c>
      <c r="W116" s="5">
        <f t="shared" si="38"/>
        <v>2719.5050327113704</v>
      </c>
      <c r="X116" s="5">
        <f t="shared" si="38"/>
        <v>2793.436931824699</v>
      </c>
      <c r="Y116" s="5">
        <f t="shared" si="38"/>
        <v>2877.24003977944</v>
      </c>
      <c r="Z116" s="5">
        <f t="shared" si="38"/>
        <v>479.0407594997167</v>
      </c>
    </row>
    <row r="117" spans="1:26" ht="11.25">
      <c r="A117" s="13" t="s">
        <v>4</v>
      </c>
      <c r="F117" s="5">
        <f aca="true" t="shared" si="39" ref="F117:Z117">F$114*$B19*F$67</f>
        <v>45.424770662700006</v>
      </c>
      <c r="G117" s="5">
        <f t="shared" si="39"/>
        <v>58.90688009778001</v>
      </c>
      <c r="H117" s="5">
        <f t="shared" si="39"/>
        <v>60.508310308088504</v>
      </c>
      <c r="I117" s="5">
        <f t="shared" si="39"/>
        <v>62.32355961733116</v>
      </c>
      <c r="J117" s="5">
        <f t="shared" si="39"/>
        <v>64.1932664058511</v>
      </c>
      <c r="K117" s="5">
        <f t="shared" si="39"/>
        <v>66.30021251966507</v>
      </c>
      <c r="L117" s="5">
        <f t="shared" si="39"/>
        <v>68.10263632996744</v>
      </c>
      <c r="M117" s="5">
        <f t="shared" si="39"/>
        <v>70.14571541986646</v>
      </c>
      <c r="N117" s="5">
        <f t="shared" si="39"/>
        <v>72.25008688246245</v>
      </c>
      <c r="O117" s="5">
        <f t="shared" si="39"/>
        <v>74.62147329575534</v>
      </c>
      <c r="P117" s="5">
        <f t="shared" si="39"/>
        <v>76.65011717360443</v>
      </c>
      <c r="Q117" s="5">
        <f t="shared" si="39"/>
        <v>78.94962068881257</v>
      </c>
      <c r="R117" s="5">
        <f t="shared" si="39"/>
        <v>81.31810930947695</v>
      </c>
      <c r="S117" s="5">
        <f t="shared" si="39"/>
        <v>83.9871256095524</v>
      </c>
      <c r="T117" s="5">
        <f t="shared" si="39"/>
        <v>86.2703821664241</v>
      </c>
      <c r="U117" s="5">
        <f t="shared" si="39"/>
        <v>88.85849363141682</v>
      </c>
      <c r="V117" s="5">
        <f t="shared" si="39"/>
        <v>91.52424844035933</v>
      </c>
      <c r="W117" s="5">
        <f t="shared" si="39"/>
        <v>94.52824980012785</v>
      </c>
      <c r="X117" s="5">
        <f t="shared" si="39"/>
        <v>97.09807517037723</v>
      </c>
      <c r="Y117" s="5">
        <f t="shared" si="39"/>
        <v>100.01101742548855</v>
      </c>
      <c r="Z117" s="5">
        <f t="shared" si="39"/>
        <v>16.651149394375178</v>
      </c>
    </row>
    <row r="118" spans="1:26" ht="11.25">
      <c r="A118" s="13" t="s">
        <v>23</v>
      </c>
      <c r="F118" s="5">
        <f aca="true" t="shared" si="40" ref="F118:Z118">F$114*$B20*F$67</f>
        <v>38.43634440690001</v>
      </c>
      <c r="G118" s="5">
        <f t="shared" si="40"/>
        <v>49.84428315966001</v>
      </c>
      <c r="H118" s="5">
        <f t="shared" si="40"/>
        <v>51.199339491459504</v>
      </c>
      <c r="I118" s="5">
        <f t="shared" si="40"/>
        <v>52.73531967620329</v>
      </c>
      <c r="J118" s="5">
        <f t="shared" si="40"/>
        <v>54.31737926648939</v>
      </c>
      <c r="K118" s="5">
        <f t="shared" si="40"/>
        <v>56.10017982433198</v>
      </c>
      <c r="L118" s="5">
        <f t="shared" si="40"/>
        <v>57.6253076638186</v>
      </c>
      <c r="M118" s="5">
        <f t="shared" si="40"/>
        <v>59.354066893733155</v>
      </c>
      <c r="N118" s="5">
        <f t="shared" si="40"/>
        <v>61.13468890054515</v>
      </c>
      <c r="O118" s="5">
        <f t="shared" si="40"/>
        <v>63.1412466348699</v>
      </c>
      <c r="P118" s="5">
        <f t="shared" si="40"/>
        <v>64.85779145458835</v>
      </c>
      <c r="Q118" s="5">
        <f t="shared" si="40"/>
        <v>66.80352519822601</v>
      </c>
      <c r="R118" s="5">
        <f t="shared" si="40"/>
        <v>68.8076309541728</v>
      </c>
      <c r="S118" s="5">
        <f t="shared" si="40"/>
        <v>71.06602936192894</v>
      </c>
      <c r="T118" s="5">
        <f t="shared" si="40"/>
        <v>72.99801567928192</v>
      </c>
      <c r="U118" s="5">
        <f t="shared" si="40"/>
        <v>75.18795614966038</v>
      </c>
      <c r="V118" s="5">
        <f t="shared" si="40"/>
        <v>77.4435948341502</v>
      </c>
      <c r="W118" s="5">
        <f t="shared" si="40"/>
        <v>79.98544213856972</v>
      </c>
      <c r="X118" s="5">
        <f t="shared" si="40"/>
        <v>82.15990975954996</v>
      </c>
      <c r="Y118" s="5">
        <f t="shared" si="40"/>
        <v>84.62470705233646</v>
      </c>
      <c r="Z118" s="5">
        <f t="shared" si="40"/>
        <v>14.089434102932843</v>
      </c>
    </row>
    <row r="119" spans="1:26" ht="11.25">
      <c r="A119" s="13" t="s">
        <v>36</v>
      </c>
      <c r="F119" s="5">
        <f>SUM(F115:F118)</f>
        <v>1540.9479894039002</v>
      </c>
      <c r="G119" s="5">
        <f aca="true" t="shared" si="41" ref="G119:Z119">SUM(G115:G118)</f>
        <v>1998.3026248554606</v>
      </c>
      <c r="H119" s="5">
        <f t="shared" si="41"/>
        <v>2052.628065066695</v>
      </c>
      <c r="I119" s="5">
        <f t="shared" si="41"/>
        <v>2114.206907018696</v>
      </c>
      <c r="J119" s="5">
        <f t="shared" si="41"/>
        <v>2177.633114229257</v>
      </c>
      <c r="K119" s="5">
        <f t="shared" si="41"/>
        <v>2249.1072093209455</v>
      </c>
      <c r="L119" s="5">
        <f t="shared" si="41"/>
        <v>2310.250970885819</v>
      </c>
      <c r="M119" s="5">
        <f t="shared" si="41"/>
        <v>2379.558500012393</v>
      </c>
      <c r="N119" s="5">
        <f t="shared" si="41"/>
        <v>2450.945255012765</v>
      </c>
      <c r="O119" s="5">
        <f t="shared" si="41"/>
        <v>2531.389978725239</v>
      </c>
      <c r="P119" s="5">
        <f t="shared" si="41"/>
        <v>2600.2078210430427</v>
      </c>
      <c r="Q119" s="5">
        <f t="shared" si="41"/>
        <v>2678.2140556743343</v>
      </c>
      <c r="R119" s="5">
        <f t="shared" si="41"/>
        <v>2758.5604773445643</v>
      </c>
      <c r="S119" s="5">
        <f t="shared" si="41"/>
        <v>2849.10172260097</v>
      </c>
      <c r="T119" s="5">
        <f t="shared" si="41"/>
        <v>2926.5568104148483</v>
      </c>
      <c r="U119" s="5">
        <f t="shared" si="41"/>
        <v>3014.3535147272937</v>
      </c>
      <c r="V119" s="5">
        <f t="shared" si="41"/>
        <v>3104.7841201691126</v>
      </c>
      <c r="W119" s="5">
        <f t="shared" si="41"/>
        <v>3206.689089373568</v>
      </c>
      <c r="X119" s="5">
        <f t="shared" si="41"/>
        <v>3293.8654730874127</v>
      </c>
      <c r="Y119" s="5">
        <f t="shared" si="41"/>
        <v>3392.681437280035</v>
      </c>
      <c r="Z119" s="5">
        <f t="shared" si="41"/>
        <v>564.8582217630349</v>
      </c>
    </row>
    <row r="120" spans="1:26" ht="11.25">
      <c r="A120" s="5" t="s">
        <v>37</v>
      </c>
      <c r="F120" s="5">
        <f>F111*(1-$B$25)*$B$23</f>
        <v>314.47918151100004</v>
      </c>
      <c r="G120" s="5">
        <f aca="true" t="shared" si="42" ref="G120:Z120">G111*(1-$B$25)*$B$23</f>
        <v>407.8168622154001</v>
      </c>
      <c r="H120" s="5">
        <f t="shared" si="42"/>
        <v>418.90368674830506</v>
      </c>
      <c r="I120" s="5">
        <f t="shared" si="42"/>
        <v>431.47079735075425</v>
      </c>
      <c r="J120" s="5">
        <f t="shared" si="42"/>
        <v>444.41492127127685</v>
      </c>
      <c r="K120" s="5">
        <f t="shared" si="42"/>
        <v>459.001471289989</v>
      </c>
      <c r="L120" s="5">
        <f t="shared" si="42"/>
        <v>471.4797899766977</v>
      </c>
      <c r="M120" s="5">
        <f t="shared" si="42"/>
        <v>485.6241836759986</v>
      </c>
      <c r="N120" s="5">
        <f t="shared" si="42"/>
        <v>500.1929091862786</v>
      </c>
      <c r="O120" s="5">
        <f t="shared" si="42"/>
        <v>516.6101997398446</v>
      </c>
      <c r="P120" s="5">
        <f t="shared" si="42"/>
        <v>530.654657355723</v>
      </c>
      <c r="Q120" s="5">
        <f t="shared" si="42"/>
        <v>546.5742970763948</v>
      </c>
      <c r="R120" s="5">
        <f t="shared" si="42"/>
        <v>562.9715259886865</v>
      </c>
      <c r="S120" s="5">
        <f t="shared" si="42"/>
        <v>581.449331143055</v>
      </c>
      <c r="T120" s="5">
        <f t="shared" si="42"/>
        <v>597.2564919213977</v>
      </c>
      <c r="U120" s="5">
        <f t="shared" si="42"/>
        <v>615.1741866790396</v>
      </c>
      <c r="V120" s="5">
        <f t="shared" si="42"/>
        <v>633.6294122794109</v>
      </c>
      <c r="W120" s="5">
        <f t="shared" si="42"/>
        <v>654.426344770116</v>
      </c>
      <c r="X120" s="5">
        <f t="shared" si="42"/>
        <v>672.217443487227</v>
      </c>
      <c r="Y120" s="5">
        <f t="shared" si="42"/>
        <v>692.3839667918439</v>
      </c>
      <c r="Z120" s="5">
        <f t="shared" si="42"/>
        <v>115.27718811490507</v>
      </c>
    </row>
    <row r="121" spans="1:26" ht="11.25">
      <c r="A121" s="42" t="s">
        <v>42</v>
      </c>
      <c r="B121" s="42"/>
      <c r="C121" s="42"/>
      <c r="D121" s="42"/>
      <c r="E121" s="42"/>
      <c r="F121" s="42">
        <f>F120+F119</f>
        <v>1855.4271709149002</v>
      </c>
      <c r="G121" s="42">
        <f aca="true" t="shared" si="43" ref="G121:Z121">G120+G119</f>
        <v>2406.1194870708605</v>
      </c>
      <c r="H121" s="42">
        <f t="shared" si="43"/>
        <v>2471.531751815</v>
      </c>
      <c r="I121" s="42">
        <f t="shared" si="43"/>
        <v>2545.67770436945</v>
      </c>
      <c r="J121" s="42">
        <f t="shared" si="43"/>
        <v>2622.048035500534</v>
      </c>
      <c r="K121" s="42">
        <f t="shared" si="43"/>
        <v>2708.1086806109342</v>
      </c>
      <c r="L121" s="42">
        <f t="shared" si="43"/>
        <v>2781.7307608625165</v>
      </c>
      <c r="M121" s="42">
        <f t="shared" si="43"/>
        <v>2865.1826836883915</v>
      </c>
      <c r="N121" s="42">
        <f t="shared" si="43"/>
        <v>2951.1381641990433</v>
      </c>
      <c r="O121" s="42">
        <f t="shared" si="43"/>
        <v>3048.0001784650835</v>
      </c>
      <c r="P121" s="42">
        <f t="shared" si="43"/>
        <v>3130.8624783987657</v>
      </c>
      <c r="Q121" s="42">
        <f t="shared" si="43"/>
        <v>3224.7883527507292</v>
      </c>
      <c r="R121" s="42">
        <f t="shared" si="43"/>
        <v>3321.532003333251</v>
      </c>
      <c r="S121" s="42">
        <f t="shared" si="43"/>
        <v>3430.551053744025</v>
      </c>
      <c r="T121" s="42">
        <f t="shared" si="43"/>
        <v>3523.813302336246</v>
      </c>
      <c r="U121" s="42">
        <f t="shared" si="43"/>
        <v>3629.527701406333</v>
      </c>
      <c r="V121" s="42">
        <f t="shared" si="43"/>
        <v>3738.4135324485233</v>
      </c>
      <c r="W121" s="42">
        <f t="shared" si="43"/>
        <v>3861.115434143684</v>
      </c>
      <c r="X121" s="42">
        <f t="shared" si="43"/>
        <v>3966.08291657464</v>
      </c>
      <c r="Y121" s="42">
        <f t="shared" si="43"/>
        <v>4085.065404071879</v>
      </c>
      <c r="Z121" s="42">
        <f t="shared" si="43"/>
        <v>680.13540987794</v>
      </c>
    </row>
    <row r="123" ht="11.25">
      <c r="A123" s="4" t="s">
        <v>87</v>
      </c>
    </row>
    <row r="124" spans="1:26" ht="11.25">
      <c r="A124" s="13" t="s">
        <v>34</v>
      </c>
      <c r="F124" s="5">
        <f>F111</f>
        <v>6353.114778</v>
      </c>
      <c r="G124" s="5">
        <f aca="true" t="shared" si="44" ref="G124:Z124">G111</f>
        <v>8238.724489200002</v>
      </c>
      <c r="H124" s="5">
        <f t="shared" si="44"/>
        <v>8462.700742390001</v>
      </c>
      <c r="I124" s="5">
        <f t="shared" si="44"/>
        <v>8716.581764661702</v>
      </c>
      <c r="J124" s="5">
        <f t="shared" si="44"/>
        <v>8978.079217601553</v>
      </c>
      <c r="K124" s="5">
        <f t="shared" si="44"/>
        <v>9272.756995757352</v>
      </c>
      <c r="L124" s="5">
        <f t="shared" si="44"/>
        <v>9524.84424195349</v>
      </c>
      <c r="M124" s="5">
        <f t="shared" si="44"/>
        <v>9810.589569212092</v>
      </c>
      <c r="N124" s="5">
        <f t="shared" si="44"/>
        <v>10104.907256288456</v>
      </c>
      <c r="O124" s="5">
        <f t="shared" si="44"/>
        <v>10436.569691714032</v>
      </c>
      <c r="P124" s="5">
        <f t="shared" si="44"/>
        <v>10720.296108196424</v>
      </c>
      <c r="Q124" s="5">
        <f t="shared" si="44"/>
        <v>11041.904991442318</v>
      </c>
      <c r="R124" s="5">
        <f t="shared" si="44"/>
        <v>11373.162141185587</v>
      </c>
      <c r="S124" s="5">
        <f t="shared" si="44"/>
        <v>11746.451134203133</v>
      </c>
      <c r="T124" s="5">
        <f t="shared" si="44"/>
        <v>12065.78771558379</v>
      </c>
      <c r="U124" s="5">
        <f t="shared" si="44"/>
        <v>12427.761347051304</v>
      </c>
      <c r="V124" s="5">
        <f t="shared" si="44"/>
        <v>12800.594187462844</v>
      </c>
      <c r="W124" s="5">
        <f t="shared" si="44"/>
        <v>13220.73423778012</v>
      </c>
      <c r="X124" s="5">
        <f t="shared" si="44"/>
        <v>13580.150373479333</v>
      </c>
      <c r="Y124" s="5">
        <f t="shared" si="44"/>
        <v>13987.554884683715</v>
      </c>
      <c r="Z124" s="5">
        <f t="shared" si="44"/>
        <v>2328.8320831293954</v>
      </c>
    </row>
    <row r="125" spans="1:26" ht="11.25">
      <c r="A125" s="9" t="s">
        <v>7</v>
      </c>
      <c r="F125" s="5">
        <f>F124*$B$25</f>
        <v>63.531147780000005</v>
      </c>
      <c r="G125" s="5">
        <f aca="true" t="shared" si="45" ref="G125:Z125">G124*$B$25</f>
        <v>82.38724489200001</v>
      </c>
      <c r="H125" s="5">
        <f t="shared" si="45"/>
        <v>84.62700742390001</v>
      </c>
      <c r="I125" s="5">
        <f t="shared" si="45"/>
        <v>87.16581764661701</v>
      </c>
      <c r="J125" s="5">
        <f t="shared" si="45"/>
        <v>89.78079217601554</v>
      </c>
      <c r="K125" s="5">
        <f t="shared" si="45"/>
        <v>92.72756995757352</v>
      </c>
      <c r="L125" s="5">
        <f t="shared" si="45"/>
        <v>95.2484424195349</v>
      </c>
      <c r="M125" s="5">
        <f t="shared" si="45"/>
        <v>98.10589569212092</v>
      </c>
      <c r="N125" s="5">
        <f t="shared" si="45"/>
        <v>101.04907256288456</v>
      </c>
      <c r="O125" s="5">
        <f t="shared" si="45"/>
        <v>104.36569691714033</v>
      </c>
      <c r="P125" s="5">
        <f t="shared" si="45"/>
        <v>107.20296108196425</v>
      </c>
      <c r="Q125" s="5">
        <f t="shared" si="45"/>
        <v>110.41904991442318</v>
      </c>
      <c r="R125" s="5">
        <f t="shared" si="45"/>
        <v>113.73162141185587</v>
      </c>
      <c r="S125" s="5">
        <f t="shared" si="45"/>
        <v>117.46451134203133</v>
      </c>
      <c r="T125" s="5">
        <f t="shared" si="45"/>
        <v>120.65787715583791</v>
      </c>
      <c r="U125" s="5">
        <f t="shared" si="45"/>
        <v>124.27761347051305</v>
      </c>
      <c r="V125" s="5">
        <f t="shared" si="45"/>
        <v>128.00594187462843</v>
      </c>
      <c r="W125" s="5">
        <f t="shared" si="45"/>
        <v>132.2073423778012</v>
      </c>
      <c r="X125" s="5">
        <f t="shared" si="45"/>
        <v>135.80150373479333</v>
      </c>
      <c r="Y125" s="5">
        <f t="shared" si="45"/>
        <v>139.87554884683715</v>
      </c>
      <c r="Z125" s="5">
        <f t="shared" si="45"/>
        <v>23.288320831293955</v>
      </c>
    </row>
    <row r="126" spans="1:26" ht="11.25">
      <c r="A126" s="13" t="s">
        <v>35</v>
      </c>
      <c r="F126" s="5">
        <f>F124-F125</f>
        <v>6289.5836302200005</v>
      </c>
      <c r="G126" s="5">
        <f aca="true" t="shared" si="46" ref="G126:Z126">G124-G125</f>
        <v>8156.337244308002</v>
      </c>
      <c r="H126" s="5">
        <f t="shared" si="46"/>
        <v>8378.073734966101</v>
      </c>
      <c r="I126" s="5">
        <f t="shared" si="46"/>
        <v>8629.415947015084</v>
      </c>
      <c r="J126" s="5">
        <f t="shared" si="46"/>
        <v>8888.298425425537</v>
      </c>
      <c r="K126" s="5">
        <f t="shared" si="46"/>
        <v>9180.02942579978</v>
      </c>
      <c r="L126" s="5">
        <f t="shared" si="46"/>
        <v>9429.595799533954</v>
      </c>
      <c r="M126" s="5">
        <f t="shared" si="46"/>
        <v>9712.483673519971</v>
      </c>
      <c r="N126" s="5">
        <f t="shared" si="46"/>
        <v>10003.858183725572</v>
      </c>
      <c r="O126" s="5">
        <f t="shared" si="46"/>
        <v>10332.203994796891</v>
      </c>
      <c r="P126" s="5">
        <f t="shared" si="46"/>
        <v>10613.09314711446</v>
      </c>
      <c r="Q126" s="5">
        <f t="shared" si="46"/>
        <v>10931.485941527895</v>
      </c>
      <c r="R126" s="5">
        <f t="shared" si="46"/>
        <v>11259.43051977373</v>
      </c>
      <c r="S126" s="5">
        <f t="shared" si="46"/>
        <v>11628.9866228611</v>
      </c>
      <c r="T126" s="5">
        <f t="shared" si="46"/>
        <v>11945.129838427953</v>
      </c>
      <c r="U126" s="5">
        <f t="shared" si="46"/>
        <v>12303.483733580792</v>
      </c>
      <c r="V126" s="5">
        <f t="shared" si="46"/>
        <v>12672.588245588217</v>
      </c>
      <c r="W126" s="5">
        <f t="shared" si="46"/>
        <v>13088.526895402318</v>
      </c>
      <c r="X126" s="5">
        <f t="shared" si="46"/>
        <v>13444.34886974454</v>
      </c>
      <c r="Y126" s="5">
        <f t="shared" si="46"/>
        <v>13847.679335836878</v>
      </c>
      <c r="Z126" s="5">
        <f t="shared" si="46"/>
        <v>2305.5437622981017</v>
      </c>
    </row>
    <row r="127" spans="1:26" ht="11.25">
      <c r="A127" s="9" t="s">
        <v>88</v>
      </c>
      <c r="F127" s="5">
        <f>F121</f>
        <v>1855.4271709149002</v>
      </c>
      <c r="G127" s="5">
        <f aca="true" t="shared" si="47" ref="G127:Z127">G121</f>
        <v>2406.1194870708605</v>
      </c>
      <c r="H127" s="5">
        <f t="shared" si="47"/>
        <v>2471.531751815</v>
      </c>
      <c r="I127" s="5">
        <f t="shared" si="47"/>
        <v>2545.67770436945</v>
      </c>
      <c r="J127" s="5">
        <f t="shared" si="47"/>
        <v>2622.048035500534</v>
      </c>
      <c r="K127" s="5">
        <f t="shared" si="47"/>
        <v>2708.1086806109342</v>
      </c>
      <c r="L127" s="5">
        <f t="shared" si="47"/>
        <v>2781.7307608625165</v>
      </c>
      <c r="M127" s="5">
        <f t="shared" si="47"/>
        <v>2865.1826836883915</v>
      </c>
      <c r="N127" s="5">
        <f t="shared" si="47"/>
        <v>2951.1381641990433</v>
      </c>
      <c r="O127" s="5">
        <f t="shared" si="47"/>
        <v>3048.0001784650835</v>
      </c>
      <c r="P127" s="5">
        <f t="shared" si="47"/>
        <v>3130.8624783987657</v>
      </c>
      <c r="Q127" s="5">
        <f t="shared" si="47"/>
        <v>3224.7883527507292</v>
      </c>
      <c r="R127" s="5">
        <f t="shared" si="47"/>
        <v>3321.532003333251</v>
      </c>
      <c r="S127" s="5">
        <f t="shared" si="47"/>
        <v>3430.551053744025</v>
      </c>
      <c r="T127" s="5">
        <f t="shared" si="47"/>
        <v>3523.813302336246</v>
      </c>
      <c r="U127" s="5">
        <f t="shared" si="47"/>
        <v>3629.527701406333</v>
      </c>
      <c r="V127" s="5">
        <f t="shared" si="47"/>
        <v>3738.4135324485233</v>
      </c>
      <c r="W127" s="5">
        <f t="shared" si="47"/>
        <v>3861.115434143684</v>
      </c>
      <c r="X127" s="5">
        <f t="shared" si="47"/>
        <v>3966.08291657464</v>
      </c>
      <c r="Y127" s="5">
        <f t="shared" si="47"/>
        <v>4085.065404071879</v>
      </c>
      <c r="Z127" s="5">
        <f t="shared" si="47"/>
        <v>680.13540987794</v>
      </c>
    </row>
    <row r="128" spans="1:26" ht="11.25">
      <c r="A128" s="13" t="s">
        <v>104</v>
      </c>
      <c r="F128" s="5">
        <f>F126-F127</f>
        <v>4434.156459305101</v>
      </c>
      <c r="G128" s="5">
        <f aca="true" t="shared" si="48" ref="G128:Z128">G126-G127</f>
        <v>5750.217757237141</v>
      </c>
      <c r="H128" s="5">
        <f t="shared" si="48"/>
        <v>5906.541983151101</v>
      </c>
      <c r="I128" s="5">
        <f t="shared" si="48"/>
        <v>6083.738242645634</v>
      </c>
      <c r="J128" s="5">
        <f t="shared" si="48"/>
        <v>6266.250389925003</v>
      </c>
      <c r="K128" s="5">
        <f t="shared" si="48"/>
        <v>6471.920745188845</v>
      </c>
      <c r="L128" s="5">
        <f t="shared" si="48"/>
        <v>6647.865038671438</v>
      </c>
      <c r="M128" s="5">
        <f t="shared" si="48"/>
        <v>6847.3009898315795</v>
      </c>
      <c r="N128" s="5">
        <f t="shared" si="48"/>
        <v>7052.720019526529</v>
      </c>
      <c r="O128" s="5">
        <f t="shared" si="48"/>
        <v>7284.203816331808</v>
      </c>
      <c r="P128" s="5">
        <f t="shared" si="48"/>
        <v>7482.230668715694</v>
      </c>
      <c r="Q128" s="5">
        <f t="shared" si="48"/>
        <v>7706.697588777166</v>
      </c>
      <c r="R128" s="5">
        <f t="shared" si="48"/>
        <v>7937.898516440479</v>
      </c>
      <c r="S128" s="5">
        <f t="shared" si="48"/>
        <v>8198.435569117075</v>
      </c>
      <c r="T128" s="5">
        <f t="shared" si="48"/>
        <v>8421.316536091706</v>
      </c>
      <c r="U128" s="5">
        <f t="shared" si="48"/>
        <v>8673.956032174458</v>
      </c>
      <c r="V128" s="5">
        <f t="shared" si="48"/>
        <v>8934.174713139693</v>
      </c>
      <c r="W128" s="5">
        <f t="shared" si="48"/>
        <v>9227.411461258635</v>
      </c>
      <c r="X128" s="5">
        <f t="shared" si="48"/>
        <v>9478.2659531699</v>
      </c>
      <c r="Y128" s="5">
        <f t="shared" si="48"/>
        <v>9762.613931764998</v>
      </c>
      <c r="Z128" s="5">
        <f t="shared" si="48"/>
        <v>1625.4083524201617</v>
      </c>
    </row>
    <row r="129" spans="1:26" ht="11.25">
      <c r="A129" s="9" t="s">
        <v>18</v>
      </c>
      <c r="F129" s="5">
        <f>F93</f>
        <v>2834.1717738095235</v>
      </c>
      <c r="G129" s="5">
        <f aca="true" t="shared" si="49" ref="G129:Z129">G93</f>
        <v>3295.2557366523806</v>
      </c>
      <c r="H129" s="5">
        <f t="shared" si="49"/>
        <v>3348.315437695238</v>
      </c>
      <c r="I129" s="5">
        <f t="shared" si="49"/>
        <v>3348.315437695238</v>
      </c>
      <c r="J129" s="5">
        <f t="shared" si="49"/>
        <v>3348.315437695238</v>
      </c>
      <c r="K129" s="5">
        <f t="shared" si="49"/>
        <v>3370.277471006396</v>
      </c>
      <c r="L129" s="5">
        <f t="shared" si="49"/>
        <v>3353.410804339729</v>
      </c>
      <c r="M129" s="5">
        <f t="shared" si="49"/>
        <v>1687.6359471968726</v>
      </c>
      <c r="N129" s="5">
        <f t="shared" si="49"/>
        <v>1317.3575980540154</v>
      </c>
      <c r="O129" s="5">
        <f t="shared" si="49"/>
        <v>1425.4622691026475</v>
      </c>
      <c r="P129" s="5">
        <f t="shared" si="49"/>
        <v>1449.2249505500838</v>
      </c>
      <c r="Q129" s="5">
        <f t="shared" si="49"/>
        <v>1449.2249505500838</v>
      </c>
      <c r="R129" s="5">
        <f t="shared" si="49"/>
        <v>1592.5673657409484</v>
      </c>
      <c r="S129" s="5">
        <f t="shared" si="49"/>
        <v>1620.3882124659622</v>
      </c>
      <c r="T129" s="5">
        <f t="shared" si="49"/>
        <v>1620.3882124659622</v>
      </c>
      <c r="U129" s="5">
        <f t="shared" si="49"/>
        <v>1620.3882124659622</v>
      </c>
      <c r="V129" s="5">
        <f t="shared" si="49"/>
        <v>1435.4611589270366</v>
      </c>
      <c r="W129" s="5">
        <f t="shared" si="49"/>
        <v>2049.188277504022</v>
      </c>
      <c r="X129" s="5">
        <f t="shared" si="49"/>
        <v>2049.188277504022</v>
      </c>
      <c r="Y129" s="5">
        <f t="shared" si="49"/>
        <v>1917.1033749253834</v>
      </c>
      <c r="Z129" s="5">
        <f t="shared" si="49"/>
        <v>737.7522782003696</v>
      </c>
    </row>
    <row r="130" spans="1:26" ht="11.25">
      <c r="A130" s="13" t="s">
        <v>38</v>
      </c>
      <c r="F130" s="5">
        <f>F128-F129</f>
        <v>1599.9846854955772</v>
      </c>
      <c r="G130" s="5">
        <f aca="true" t="shared" si="50" ref="G130:Z130">G128-G129</f>
        <v>2454.9620205847605</v>
      </c>
      <c r="H130" s="5">
        <f t="shared" si="50"/>
        <v>2558.226545455863</v>
      </c>
      <c r="I130" s="5">
        <f t="shared" si="50"/>
        <v>2735.4228049503963</v>
      </c>
      <c r="J130" s="5">
        <f t="shared" si="50"/>
        <v>2917.9349522297653</v>
      </c>
      <c r="K130" s="5">
        <f t="shared" si="50"/>
        <v>3101.643274182449</v>
      </c>
      <c r="L130" s="5">
        <f t="shared" si="50"/>
        <v>3294.454234331709</v>
      </c>
      <c r="M130" s="5">
        <f t="shared" si="50"/>
        <v>5159.665042634707</v>
      </c>
      <c r="N130" s="5">
        <f t="shared" si="50"/>
        <v>5735.362421472513</v>
      </c>
      <c r="O130" s="5">
        <f t="shared" si="50"/>
        <v>5858.741547229161</v>
      </c>
      <c r="P130" s="5">
        <f t="shared" si="50"/>
        <v>6033.00571816561</v>
      </c>
      <c r="Q130" s="5">
        <f t="shared" si="50"/>
        <v>6257.472638227082</v>
      </c>
      <c r="R130" s="5">
        <f t="shared" si="50"/>
        <v>6345.331150699531</v>
      </c>
      <c r="S130" s="5">
        <f t="shared" si="50"/>
        <v>6578.047356651113</v>
      </c>
      <c r="T130" s="5">
        <f t="shared" si="50"/>
        <v>6800.928323625744</v>
      </c>
      <c r="U130" s="5">
        <f t="shared" si="50"/>
        <v>7053.567819708495</v>
      </c>
      <c r="V130" s="5">
        <f>V128-V129</f>
        <v>7498.713554212656</v>
      </c>
      <c r="W130" s="5">
        <f t="shared" si="50"/>
        <v>7178.223183754612</v>
      </c>
      <c r="X130" s="5">
        <f t="shared" si="50"/>
        <v>7429.077675665877</v>
      </c>
      <c r="Y130" s="5">
        <f t="shared" si="50"/>
        <v>7845.510556839614</v>
      </c>
      <c r="Z130" s="5">
        <f t="shared" si="50"/>
        <v>887.6560742197921</v>
      </c>
    </row>
    <row r="131" spans="1:26" ht="11.25">
      <c r="A131" s="9" t="s">
        <v>39</v>
      </c>
      <c r="F131" s="5">
        <f>F101</f>
        <v>1912.5000000000002</v>
      </c>
      <c r="G131" s="5">
        <f aca="true" t="shared" si="51" ref="G131:Z131">G101</f>
        <v>2125</v>
      </c>
      <c r="H131" s="5">
        <f t="shared" si="51"/>
        <v>1738.636363636364</v>
      </c>
      <c r="I131" s="5">
        <f t="shared" si="51"/>
        <v>1352.2727272727277</v>
      </c>
      <c r="J131" s="5">
        <f t="shared" si="51"/>
        <v>965.9090909090913</v>
      </c>
      <c r="K131" s="5">
        <f t="shared" si="51"/>
        <v>579.545454545455</v>
      </c>
      <c r="L131" s="5">
        <f t="shared" si="51"/>
        <v>193.1818181818186</v>
      </c>
      <c r="M131" s="5">
        <f t="shared" si="51"/>
        <v>4.25188773078844E-13</v>
      </c>
      <c r="N131" s="5">
        <f t="shared" si="51"/>
        <v>4.25188773078844E-13</v>
      </c>
      <c r="O131" s="5">
        <f t="shared" si="51"/>
        <v>4.25188773078844E-13</v>
      </c>
      <c r="P131" s="5">
        <f t="shared" si="51"/>
        <v>4.25188773078844E-13</v>
      </c>
      <c r="Q131" s="5">
        <f t="shared" si="51"/>
        <v>4.25188773078844E-13</v>
      </c>
      <c r="R131" s="5">
        <f t="shared" si="51"/>
        <v>4.25188773078844E-13</v>
      </c>
      <c r="S131" s="5">
        <f t="shared" si="51"/>
        <v>4.25188773078844E-13</v>
      </c>
      <c r="T131" s="5">
        <f t="shared" si="51"/>
        <v>4.25188773078844E-13</v>
      </c>
      <c r="U131" s="5">
        <f t="shared" si="51"/>
        <v>4.25188773078844E-13</v>
      </c>
      <c r="V131" s="5">
        <f t="shared" si="51"/>
        <v>4.25188773078844E-13</v>
      </c>
      <c r="W131" s="5">
        <f t="shared" si="51"/>
        <v>4.25188773078844E-13</v>
      </c>
      <c r="X131" s="5">
        <f t="shared" si="51"/>
        <v>4.25188773078844E-13</v>
      </c>
      <c r="Y131" s="5">
        <f t="shared" si="51"/>
        <v>4.25188773078844E-13</v>
      </c>
      <c r="Z131" s="5">
        <f t="shared" si="51"/>
        <v>4.25188773078844E-13</v>
      </c>
    </row>
    <row r="132" spans="1:26" ht="11.25">
      <c r="A132" s="13" t="s">
        <v>40</v>
      </c>
      <c r="F132" s="5">
        <f>F130-F131</f>
        <v>-312.51531450442303</v>
      </c>
      <c r="G132" s="5">
        <f aca="true" t="shared" si="52" ref="G132:Z132">G130-G131</f>
        <v>329.96202058476047</v>
      </c>
      <c r="H132" s="5">
        <f t="shared" si="52"/>
        <v>819.5901818194989</v>
      </c>
      <c r="I132" s="5">
        <f t="shared" si="52"/>
        <v>1383.1500776776686</v>
      </c>
      <c r="J132" s="5">
        <f t="shared" si="52"/>
        <v>1952.0258613206738</v>
      </c>
      <c r="K132" s="5">
        <f t="shared" si="52"/>
        <v>2522.0978196369942</v>
      </c>
      <c r="L132" s="5">
        <f t="shared" si="52"/>
        <v>3101.2724161498904</v>
      </c>
      <c r="M132" s="5">
        <f t="shared" si="52"/>
        <v>5159.665042634707</v>
      </c>
      <c r="N132" s="5">
        <f t="shared" si="52"/>
        <v>5735.362421472513</v>
      </c>
      <c r="O132" s="5">
        <f t="shared" si="52"/>
        <v>5858.741547229161</v>
      </c>
      <c r="P132" s="5">
        <f t="shared" si="52"/>
        <v>6033.00571816561</v>
      </c>
      <c r="Q132" s="5">
        <f t="shared" si="52"/>
        <v>6257.472638227082</v>
      </c>
      <c r="R132" s="5">
        <f t="shared" si="52"/>
        <v>6345.331150699531</v>
      </c>
      <c r="S132" s="5">
        <f t="shared" si="52"/>
        <v>6578.047356651113</v>
      </c>
      <c r="T132" s="5">
        <f t="shared" si="52"/>
        <v>6800.928323625744</v>
      </c>
      <c r="U132" s="5">
        <f t="shared" si="52"/>
        <v>7053.567819708495</v>
      </c>
      <c r="V132" s="5">
        <f t="shared" si="52"/>
        <v>7498.713554212656</v>
      </c>
      <c r="W132" s="5">
        <f t="shared" si="52"/>
        <v>7178.223183754612</v>
      </c>
      <c r="X132" s="5">
        <f t="shared" si="52"/>
        <v>7429.077675665877</v>
      </c>
      <c r="Y132" s="5">
        <f t="shared" si="52"/>
        <v>7845.510556839614</v>
      </c>
      <c r="Z132" s="5">
        <f t="shared" si="52"/>
        <v>887.6560742197917</v>
      </c>
    </row>
    <row r="133" spans="1:26" ht="11.25">
      <c r="A133" s="9" t="s">
        <v>101</v>
      </c>
      <c r="F133" s="5">
        <f>IF(F132&lt;0,0,F132*$B$27)</f>
        <v>0</v>
      </c>
      <c r="G133" s="5">
        <f>IF(G132&lt;0,0,G132*$B$27)</f>
        <v>0</v>
      </c>
      <c r="H133" s="5">
        <f>IF(H132&lt;0,0,H132*$B$27)</f>
        <v>0</v>
      </c>
      <c r="I133" s="5">
        <f>IF(I132&lt;0,0,I132*$B$27)</f>
        <v>0</v>
      </c>
      <c r="J133" s="5">
        <f>IF(J132&lt;0,0,J132*$B$27)</f>
        <v>0</v>
      </c>
      <c r="K133" s="5">
        <f>K132*$B$28</f>
        <v>126.10489098184972</v>
      </c>
      <c r="L133" s="5">
        <f>L132*$B$28</f>
        <v>155.06362080749454</v>
      </c>
      <c r="M133" s="5">
        <f>M132*$B$28</f>
        <v>257.98325213173536</v>
      </c>
      <c r="N133" s="5">
        <f>N132*$B$26</f>
        <v>573.5362421472513</v>
      </c>
      <c r="O133" s="5">
        <f aca="true" t="shared" si="53" ref="O133:Z133">O132*$B$26</f>
        <v>585.8741547229162</v>
      </c>
      <c r="P133" s="5">
        <f t="shared" si="53"/>
        <v>603.300571816561</v>
      </c>
      <c r="Q133" s="5">
        <f t="shared" si="53"/>
        <v>625.7472638227082</v>
      </c>
      <c r="R133" s="5">
        <f t="shared" si="53"/>
        <v>634.533115069953</v>
      </c>
      <c r="S133" s="5">
        <f t="shared" si="53"/>
        <v>657.8047356651114</v>
      </c>
      <c r="T133" s="5">
        <f t="shared" si="53"/>
        <v>680.0928323625744</v>
      </c>
      <c r="U133" s="5">
        <f t="shared" si="53"/>
        <v>705.3567819708496</v>
      </c>
      <c r="V133" s="5">
        <f t="shared" si="53"/>
        <v>749.8713554212657</v>
      </c>
      <c r="W133" s="5">
        <f t="shared" si="53"/>
        <v>717.8223183754612</v>
      </c>
      <c r="X133" s="5">
        <f t="shared" si="53"/>
        <v>742.9077675665877</v>
      </c>
      <c r="Y133" s="5">
        <f t="shared" si="53"/>
        <v>784.5510556839614</v>
      </c>
      <c r="Z133" s="5">
        <f t="shared" si="53"/>
        <v>88.76560742197917</v>
      </c>
    </row>
    <row r="134" spans="1:26" ht="11.25">
      <c r="A134" s="13" t="s">
        <v>41</v>
      </c>
      <c r="F134" s="5">
        <f aca="true" t="shared" si="54" ref="F134:K134">F132-F133</f>
        <v>-312.51531450442303</v>
      </c>
      <c r="G134" s="5">
        <f t="shared" si="54"/>
        <v>329.96202058476047</v>
      </c>
      <c r="H134" s="5">
        <f t="shared" si="54"/>
        <v>819.5901818194989</v>
      </c>
      <c r="I134" s="5">
        <f t="shared" si="54"/>
        <v>1383.1500776776686</v>
      </c>
      <c r="J134" s="5">
        <f t="shared" si="54"/>
        <v>1952.0258613206738</v>
      </c>
      <c r="K134" s="5">
        <f t="shared" si="54"/>
        <v>2395.9929286551446</v>
      </c>
      <c r="L134" s="5">
        <f>L132-L133</f>
        <v>2946.208795342396</v>
      </c>
      <c r="M134" s="5">
        <f aca="true" t="shared" si="55" ref="M134:Z134">M132-M133</f>
        <v>4901.681790502971</v>
      </c>
      <c r="N134" s="5">
        <f t="shared" si="55"/>
        <v>5161.826179325262</v>
      </c>
      <c r="O134" s="5">
        <f t="shared" si="55"/>
        <v>5272.867392506245</v>
      </c>
      <c r="P134" s="5">
        <f t="shared" si="55"/>
        <v>5429.705146349049</v>
      </c>
      <c r="Q134" s="5">
        <f t="shared" si="55"/>
        <v>5631.725374404374</v>
      </c>
      <c r="R134" s="5">
        <f t="shared" si="55"/>
        <v>5710.7980356295775</v>
      </c>
      <c r="S134" s="5">
        <f t="shared" si="55"/>
        <v>5920.242620986001</v>
      </c>
      <c r="T134" s="5">
        <f t="shared" si="55"/>
        <v>6120.835491263169</v>
      </c>
      <c r="U134" s="5">
        <f t="shared" si="55"/>
        <v>6348.211037737646</v>
      </c>
      <c r="V134" s="5">
        <f t="shared" si="55"/>
        <v>6748.842198791391</v>
      </c>
      <c r="W134" s="5">
        <f t="shared" si="55"/>
        <v>6460.400865379152</v>
      </c>
      <c r="X134" s="5">
        <f t="shared" si="55"/>
        <v>6686.169908099289</v>
      </c>
      <c r="Y134" s="5">
        <f t="shared" si="55"/>
        <v>7060.959501155652</v>
      </c>
      <c r="Z134" s="5">
        <f t="shared" si="55"/>
        <v>798.8904667978125</v>
      </c>
    </row>
    <row r="136" spans="1:2" ht="11.25">
      <c r="A136" s="4" t="s">
        <v>89</v>
      </c>
      <c r="B136" s="35"/>
    </row>
    <row r="137" spans="1:2" ht="11.25">
      <c r="A137" s="4" t="s">
        <v>44</v>
      </c>
      <c r="B137" s="33"/>
    </row>
    <row r="138" spans="1:26" ht="11.25">
      <c r="A138" s="5" t="s">
        <v>84</v>
      </c>
      <c r="B138" s="33"/>
      <c r="C138" s="5">
        <f>C124</f>
        <v>0</v>
      </c>
      <c r="D138" s="5">
        <f aca="true" t="shared" si="56" ref="D138:Z138">D124</f>
        <v>0</v>
      </c>
      <c r="E138" s="5">
        <f t="shared" si="56"/>
        <v>0</v>
      </c>
      <c r="F138" s="5">
        <f t="shared" si="56"/>
        <v>6353.114778</v>
      </c>
      <c r="G138" s="5">
        <f t="shared" si="56"/>
        <v>8238.724489200002</v>
      </c>
      <c r="H138" s="5">
        <f t="shared" si="56"/>
        <v>8462.700742390001</v>
      </c>
      <c r="I138" s="5">
        <f t="shared" si="56"/>
        <v>8716.581764661702</v>
      </c>
      <c r="J138" s="5">
        <f t="shared" si="56"/>
        <v>8978.079217601553</v>
      </c>
      <c r="K138" s="5">
        <f t="shared" si="56"/>
        <v>9272.756995757352</v>
      </c>
      <c r="L138" s="5">
        <f t="shared" si="56"/>
        <v>9524.84424195349</v>
      </c>
      <c r="M138" s="5">
        <f t="shared" si="56"/>
        <v>9810.589569212092</v>
      </c>
      <c r="N138" s="5">
        <f t="shared" si="56"/>
        <v>10104.907256288456</v>
      </c>
      <c r="O138" s="5">
        <f t="shared" si="56"/>
        <v>10436.569691714032</v>
      </c>
      <c r="P138" s="5">
        <f t="shared" si="56"/>
        <v>10720.296108196424</v>
      </c>
      <c r="Q138" s="5">
        <f t="shared" si="56"/>
        <v>11041.904991442318</v>
      </c>
      <c r="R138" s="5">
        <f t="shared" si="56"/>
        <v>11373.162141185587</v>
      </c>
      <c r="S138" s="5">
        <f t="shared" si="56"/>
        <v>11746.451134203133</v>
      </c>
      <c r="T138" s="5">
        <f t="shared" si="56"/>
        <v>12065.78771558379</v>
      </c>
      <c r="U138" s="5">
        <f t="shared" si="56"/>
        <v>12427.761347051304</v>
      </c>
      <c r="V138" s="5">
        <f t="shared" si="56"/>
        <v>12800.594187462844</v>
      </c>
      <c r="W138" s="5">
        <f t="shared" si="56"/>
        <v>13220.73423778012</v>
      </c>
      <c r="X138" s="5">
        <f t="shared" si="56"/>
        <v>13580.150373479333</v>
      </c>
      <c r="Y138" s="5">
        <f t="shared" si="56"/>
        <v>13987.554884683715</v>
      </c>
      <c r="Z138" s="5">
        <f t="shared" si="56"/>
        <v>2328.8320831293954</v>
      </c>
    </row>
    <row r="139" spans="1:2" ht="11.25">
      <c r="A139" s="4" t="s">
        <v>45</v>
      </c>
      <c r="B139" s="33"/>
    </row>
    <row r="140" spans="1:26" ht="11.25">
      <c r="A140" s="5" t="s">
        <v>90</v>
      </c>
      <c r="B140" s="33"/>
      <c r="C140" s="5">
        <f>C127</f>
        <v>0</v>
      </c>
      <c r="D140" s="5">
        <f aca="true" t="shared" si="57" ref="D140:Z140">D127</f>
        <v>0</v>
      </c>
      <c r="E140" s="5">
        <f t="shared" si="57"/>
        <v>0</v>
      </c>
      <c r="F140" s="5">
        <f t="shared" si="57"/>
        <v>1855.4271709149002</v>
      </c>
      <c r="G140" s="5">
        <f t="shared" si="57"/>
        <v>2406.1194870708605</v>
      </c>
      <c r="H140" s="5">
        <f t="shared" si="57"/>
        <v>2471.531751815</v>
      </c>
      <c r="I140" s="5">
        <f t="shared" si="57"/>
        <v>2545.67770436945</v>
      </c>
      <c r="J140" s="5">
        <f t="shared" si="57"/>
        <v>2622.048035500534</v>
      </c>
      <c r="K140" s="5">
        <f t="shared" si="57"/>
        <v>2708.1086806109342</v>
      </c>
      <c r="L140" s="5">
        <f t="shared" si="57"/>
        <v>2781.7307608625165</v>
      </c>
      <c r="M140" s="5">
        <f t="shared" si="57"/>
        <v>2865.1826836883915</v>
      </c>
      <c r="N140" s="5">
        <f t="shared" si="57"/>
        <v>2951.1381641990433</v>
      </c>
      <c r="O140" s="5">
        <f t="shared" si="57"/>
        <v>3048.0001784650835</v>
      </c>
      <c r="P140" s="5">
        <f t="shared" si="57"/>
        <v>3130.8624783987657</v>
      </c>
      <c r="Q140" s="5">
        <f t="shared" si="57"/>
        <v>3224.7883527507292</v>
      </c>
      <c r="R140" s="5">
        <f t="shared" si="57"/>
        <v>3321.532003333251</v>
      </c>
      <c r="S140" s="5">
        <f t="shared" si="57"/>
        <v>3430.551053744025</v>
      </c>
      <c r="T140" s="5">
        <f t="shared" si="57"/>
        <v>3523.813302336246</v>
      </c>
      <c r="U140" s="5">
        <f t="shared" si="57"/>
        <v>3629.527701406333</v>
      </c>
      <c r="V140" s="5">
        <f t="shared" si="57"/>
        <v>3738.4135324485233</v>
      </c>
      <c r="W140" s="5">
        <f t="shared" si="57"/>
        <v>3861.115434143684</v>
      </c>
      <c r="X140" s="5">
        <f t="shared" si="57"/>
        <v>3966.08291657464</v>
      </c>
      <c r="Y140" s="5">
        <f t="shared" si="57"/>
        <v>4085.065404071879</v>
      </c>
      <c r="Z140" s="5">
        <f t="shared" si="57"/>
        <v>680.13540987794</v>
      </c>
    </row>
    <row r="141" spans="1:26" ht="11.25">
      <c r="A141" s="5" t="s">
        <v>7</v>
      </c>
      <c r="B141" s="33"/>
      <c r="C141" s="5">
        <f>C125</f>
        <v>0</v>
      </c>
      <c r="D141" s="5">
        <f aca="true" t="shared" si="58" ref="D141:Z141">D125</f>
        <v>0</v>
      </c>
      <c r="E141" s="5">
        <f t="shared" si="58"/>
        <v>0</v>
      </c>
      <c r="F141" s="5">
        <f t="shared" si="58"/>
        <v>63.531147780000005</v>
      </c>
      <c r="G141" s="5">
        <f t="shared" si="58"/>
        <v>82.38724489200001</v>
      </c>
      <c r="H141" s="5">
        <f t="shared" si="58"/>
        <v>84.62700742390001</v>
      </c>
      <c r="I141" s="5">
        <f t="shared" si="58"/>
        <v>87.16581764661701</v>
      </c>
      <c r="J141" s="5">
        <f t="shared" si="58"/>
        <v>89.78079217601554</v>
      </c>
      <c r="K141" s="5">
        <f t="shared" si="58"/>
        <v>92.72756995757352</v>
      </c>
      <c r="L141" s="5">
        <f t="shared" si="58"/>
        <v>95.2484424195349</v>
      </c>
      <c r="M141" s="5">
        <f t="shared" si="58"/>
        <v>98.10589569212092</v>
      </c>
      <c r="N141" s="5">
        <f t="shared" si="58"/>
        <v>101.04907256288456</v>
      </c>
      <c r="O141" s="5">
        <f t="shared" si="58"/>
        <v>104.36569691714033</v>
      </c>
      <c r="P141" s="5">
        <f t="shared" si="58"/>
        <v>107.20296108196425</v>
      </c>
      <c r="Q141" s="5">
        <f t="shared" si="58"/>
        <v>110.41904991442318</v>
      </c>
      <c r="R141" s="5">
        <f t="shared" si="58"/>
        <v>113.73162141185587</v>
      </c>
      <c r="S141" s="5">
        <f t="shared" si="58"/>
        <v>117.46451134203133</v>
      </c>
      <c r="T141" s="5">
        <f t="shared" si="58"/>
        <v>120.65787715583791</v>
      </c>
      <c r="U141" s="5">
        <f t="shared" si="58"/>
        <v>124.27761347051305</v>
      </c>
      <c r="V141" s="5">
        <f t="shared" si="58"/>
        <v>128.00594187462843</v>
      </c>
      <c r="W141" s="5">
        <f t="shared" si="58"/>
        <v>132.2073423778012</v>
      </c>
      <c r="X141" s="5">
        <f t="shared" si="58"/>
        <v>135.80150373479333</v>
      </c>
      <c r="Y141" s="5">
        <f t="shared" si="58"/>
        <v>139.87554884683715</v>
      </c>
      <c r="Z141" s="5">
        <f t="shared" si="58"/>
        <v>23.288320831293955</v>
      </c>
    </row>
    <row r="142" spans="1:26" ht="11.25">
      <c r="A142" s="5" t="s">
        <v>62</v>
      </c>
      <c r="B142" s="33"/>
      <c r="C142" s="5">
        <f>C133</f>
        <v>0</v>
      </c>
      <c r="D142" s="5">
        <f aca="true" t="shared" si="59" ref="D142:Z142">D133</f>
        <v>0</v>
      </c>
      <c r="E142" s="5">
        <f t="shared" si="59"/>
        <v>0</v>
      </c>
      <c r="F142" s="5">
        <f t="shared" si="59"/>
        <v>0</v>
      </c>
      <c r="G142" s="5">
        <f t="shared" si="59"/>
        <v>0</v>
      </c>
      <c r="H142" s="5">
        <f t="shared" si="59"/>
        <v>0</v>
      </c>
      <c r="I142" s="5">
        <f t="shared" si="59"/>
        <v>0</v>
      </c>
      <c r="J142" s="5">
        <f t="shared" si="59"/>
        <v>0</v>
      </c>
      <c r="K142" s="5">
        <f t="shared" si="59"/>
        <v>126.10489098184972</v>
      </c>
      <c r="L142" s="5">
        <f t="shared" si="59"/>
        <v>155.06362080749454</v>
      </c>
      <c r="M142" s="5">
        <f t="shared" si="59"/>
        <v>257.98325213173536</v>
      </c>
      <c r="N142" s="5">
        <f t="shared" si="59"/>
        <v>573.5362421472513</v>
      </c>
      <c r="O142" s="5">
        <f t="shared" si="59"/>
        <v>585.8741547229162</v>
      </c>
      <c r="P142" s="5">
        <f t="shared" si="59"/>
        <v>603.300571816561</v>
      </c>
      <c r="Q142" s="5">
        <f t="shared" si="59"/>
        <v>625.7472638227082</v>
      </c>
      <c r="R142" s="5">
        <f t="shared" si="59"/>
        <v>634.533115069953</v>
      </c>
      <c r="S142" s="5">
        <f t="shared" si="59"/>
        <v>657.8047356651114</v>
      </c>
      <c r="T142" s="5">
        <f t="shared" si="59"/>
        <v>680.0928323625744</v>
      </c>
      <c r="U142" s="5">
        <f t="shared" si="59"/>
        <v>705.3567819708496</v>
      </c>
      <c r="V142" s="5">
        <f t="shared" si="59"/>
        <v>749.8713554212657</v>
      </c>
      <c r="W142" s="5">
        <f t="shared" si="59"/>
        <v>717.8223183754612</v>
      </c>
      <c r="X142" s="5">
        <f t="shared" si="59"/>
        <v>742.9077675665877</v>
      </c>
      <c r="Y142" s="5">
        <f t="shared" si="59"/>
        <v>784.5510556839614</v>
      </c>
      <c r="Z142" s="5">
        <f t="shared" si="59"/>
        <v>88.76560742197917</v>
      </c>
    </row>
    <row r="143" spans="1:26" ht="11.25">
      <c r="A143" s="5" t="s">
        <v>91</v>
      </c>
      <c r="B143" s="33"/>
      <c r="C143" s="5">
        <f>C77</f>
        <v>1160</v>
      </c>
      <c r="D143" s="5">
        <f aca="true" t="shared" si="60" ref="D143:Z143">D77</f>
        <v>8184.38</v>
      </c>
      <c r="E143" s="5">
        <f t="shared" si="60"/>
        <v>25047.849000000002</v>
      </c>
      <c r="F143" s="5">
        <f t="shared" si="60"/>
        <v>4408.060718</v>
      </c>
      <c r="G143" s="5">
        <f t="shared" si="60"/>
        <v>371.4179073</v>
      </c>
      <c r="H143" s="5">
        <f t="shared" si="60"/>
        <v>0</v>
      </c>
      <c r="I143" s="5">
        <f t="shared" si="60"/>
        <v>0</v>
      </c>
      <c r="J143" s="5">
        <f t="shared" si="60"/>
        <v>153.73423317810878</v>
      </c>
      <c r="K143" s="5">
        <f t="shared" si="60"/>
        <v>0</v>
      </c>
      <c r="L143" s="5">
        <f t="shared" si="60"/>
        <v>0</v>
      </c>
      <c r="M143" s="5">
        <f t="shared" si="60"/>
        <v>0</v>
      </c>
      <c r="N143" s="5">
        <f t="shared" si="60"/>
        <v>1128.1506046404234</v>
      </c>
      <c r="O143" s="5">
        <f t="shared" si="60"/>
        <v>142.57608868461793</v>
      </c>
      <c r="P143" s="5">
        <f t="shared" si="60"/>
        <v>0</v>
      </c>
      <c r="Q143" s="5">
        <f t="shared" si="60"/>
        <v>1157.1311395141606</v>
      </c>
      <c r="R143" s="5">
        <f t="shared" si="60"/>
        <v>194.74592707509566</v>
      </c>
      <c r="S143" s="5">
        <f t="shared" si="60"/>
        <v>0</v>
      </c>
      <c r="T143" s="5">
        <f t="shared" si="60"/>
        <v>0</v>
      </c>
      <c r="U143" s="5">
        <f t="shared" si="60"/>
        <v>0</v>
      </c>
      <c r="V143" s="5">
        <f t="shared" si="60"/>
        <v>4296.0898300389</v>
      </c>
      <c r="W143" s="5">
        <f t="shared" si="60"/>
        <v>0</v>
      </c>
      <c r="X143" s="5">
        <f t="shared" si="60"/>
        <v>232.5368214636872</v>
      </c>
      <c r="Y143" s="5">
        <f t="shared" si="60"/>
        <v>0</v>
      </c>
      <c r="Z143" s="5">
        <f t="shared" si="60"/>
        <v>0</v>
      </c>
    </row>
    <row r="145" spans="1:26" ht="11.25">
      <c r="A145" s="4" t="s">
        <v>102</v>
      </c>
      <c r="B145" s="5"/>
      <c r="C145" s="5">
        <f>C138-SUM(C140:C143)</f>
        <v>-1160</v>
      </c>
      <c r="D145" s="5">
        <f aca="true" t="shared" si="61" ref="D145:Z145">D138-SUM(D140:D143)</f>
        <v>-8184.38</v>
      </c>
      <c r="E145" s="5">
        <f t="shared" si="61"/>
        <v>-25047.849000000002</v>
      </c>
      <c r="F145" s="5">
        <f t="shared" si="61"/>
        <v>26.09574130510009</v>
      </c>
      <c r="G145" s="5">
        <f t="shared" si="61"/>
        <v>5378.799849937141</v>
      </c>
      <c r="H145" s="5">
        <f t="shared" si="61"/>
        <v>5906.541983151101</v>
      </c>
      <c r="I145" s="5">
        <f t="shared" si="61"/>
        <v>6083.738242645634</v>
      </c>
      <c r="J145" s="5">
        <f t="shared" si="61"/>
        <v>6112.516156746895</v>
      </c>
      <c r="K145" s="5">
        <f t="shared" si="61"/>
        <v>6345.815854206995</v>
      </c>
      <c r="L145" s="5">
        <f t="shared" si="61"/>
        <v>6492.801417863943</v>
      </c>
      <c r="M145" s="5">
        <f t="shared" si="61"/>
        <v>6589.317737699845</v>
      </c>
      <c r="N145" s="5">
        <f t="shared" si="61"/>
        <v>5351.033172738853</v>
      </c>
      <c r="O145" s="5">
        <f t="shared" si="61"/>
        <v>6555.7535729242745</v>
      </c>
      <c r="P145" s="5">
        <f t="shared" si="61"/>
        <v>6878.930096899134</v>
      </c>
      <c r="Q145" s="5">
        <f t="shared" si="61"/>
        <v>5923.819185440296</v>
      </c>
      <c r="R145" s="5">
        <f t="shared" si="61"/>
        <v>7108.619474295431</v>
      </c>
      <c r="S145" s="5">
        <f t="shared" si="61"/>
        <v>7540.630833451965</v>
      </c>
      <c r="T145" s="5">
        <f t="shared" si="61"/>
        <v>7741.2237037291325</v>
      </c>
      <c r="U145" s="5">
        <f t="shared" si="61"/>
        <v>7968.599250203608</v>
      </c>
      <c r="V145" s="5">
        <f t="shared" si="61"/>
        <v>3888.213527679527</v>
      </c>
      <c r="W145" s="5">
        <f t="shared" si="61"/>
        <v>8509.589142883173</v>
      </c>
      <c r="X145" s="5">
        <f t="shared" si="61"/>
        <v>8502.821364139625</v>
      </c>
      <c r="Y145" s="5">
        <f t="shared" si="61"/>
        <v>8978.062876081038</v>
      </c>
      <c r="Z145" s="5">
        <f t="shared" si="61"/>
        <v>1536.6427449981823</v>
      </c>
    </row>
    <row r="146" spans="1:2" ht="11.25">
      <c r="A146" s="95" t="s">
        <v>169</v>
      </c>
      <c r="B146" s="34">
        <f>NPV(B65,D145:Z145)+C145</f>
        <v>9338.84026475465</v>
      </c>
    </row>
    <row r="147" spans="1:2" ht="11.25">
      <c r="A147" s="95" t="s">
        <v>167</v>
      </c>
      <c r="B147" s="96">
        <f>IRR(C145:Z145)</f>
        <v>0.14134615843759962</v>
      </c>
    </row>
    <row r="148" spans="1:26" ht="11.25">
      <c r="A148" s="4" t="s">
        <v>92</v>
      </c>
      <c r="B148" s="34"/>
      <c r="C148" s="5">
        <f>C100-C101-C102</f>
        <v>0</v>
      </c>
      <c r="D148" s="5">
        <f aca="true" t="shared" si="62" ref="D148:Z148">D100-D101-D102</f>
        <v>0</v>
      </c>
      <c r="E148" s="5">
        <f t="shared" si="62"/>
        <v>22500</v>
      </c>
      <c r="F148" s="5">
        <f t="shared" si="62"/>
        <v>587.4999999999998</v>
      </c>
      <c r="G148" s="5">
        <f t="shared" si="62"/>
        <v>-6670.454545454545</v>
      </c>
      <c r="H148" s="5">
        <f t="shared" si="62"/>
        <v>-6284.090909090909</v>
      </c>
      <c r="I148" s="5">
        <f t="shared" si="62"/>
        <v>-5897.727272727273</v>
      </c>
      <c r="J148" s="5">
        <f t="shared" si="62"/>
        <v>-5511.363636363636</v>
      </c>
      <c r="K148" s="5">
        <f t="shared" si="62"/>
        <v>-5125</v>
      </c>
      <c r="L148" s="5">
        <f t="shared" si="62"/>
        <v>-2465.909090909091</v>
      </c>
      <c r="M148" s="5">
        <f t="shared" si="62"/>
        <v>-4.25188773078844E-13</v>
      </c>
      <c r="N148" s="5">
        <f t="shared" si="62"/>
        <v>-4.25188773078844E-13</v>
      </c>
      <c r="O148" s="5">
        <f t="shared" si="62"/>
        <v>-4.25188773078844E-13</v>
      </c>
      <c r="P148" s="5">
        <f t="shared" si="62"/>
        <v>-4.25188773078844E-13</v>
      </c>
      <c r="Q148" s="5">
        <f t="shared" si="62"/>
        <v>-4.25188773078844E-13</v>
      </c>
      <c r="R148" s="5">
        <f t="shared" si="62"/>
        <v>-4.25188773078844E-13</v>
      </c>
      <c r="S148" s="5">
        <f t="shared" si="62"/>
        <v>-4.25188773078844E-13</v>
      </c>
      <c r="T148" s="5">
        <f t="shared" si="62"/>
        <v>-4.25188773078844E-13</v>
      </c>
      <c r="U148" s="5">
        <f t="shared" si="62"/>
        <v>-4.25188773078844E-13</v>
      </c>
      <c r="V148" s="5">
        <f t="shared" si="62"/>
        <v>-4.25188773078844E-13</v>
      </c>
      <c r="W148" s="5">
        <f t="shared" si="62"/>
        <v>-4.25188773078844E-13</v>
      </c>
      <c r="X148" s="5">
        <f t="shared" si="62"/>
        <v>-4.25188773078844E-13</v>
      </c>
      <c r="Y148" s="5">
        <f t="shared" si="62"/>
        <v>-4.25188773078844E-13</v>
      </c>
      <c r="Z148" s="5">
        <f t="shared" si="62"/>
        <v>-4.25188773078844E-13</v>
      </c>
    </row>
    <row r="149" spans="1:2" ht="11.25">
      <c r="A149" s="95"/>
      <c r="B149" s="25"/>
    </row>
    <row r="150" spans="1:26" ht="11.25">
      <c r="A150" s="4" t="s">
        <v>103</v>
      </c>
      <c r="B150" s="5"/>
      <c r="C150" s="5">
        <f>C145+C148</f>
        <v>-1160</v>
      </c>
      <c r="D150" s="5">
        <f aca="true" t="shared" si="63" ref="D150:Z150">D145+D148</f>
        <v>-8184.38</v>
      </c>
      <c r="E150" s="5">
        <f t="shared" si="63"/>
        <v>-2547.849000000002</v>
      </c>
      <c r="F150" s="5">
        <f t="shared" si="63"/>
        <v>613.5957413050999</v>
      </c>
      <c r="G150" s="5">
        <f t="shared" si="63"/>
        <v>-1291.6546955174044</v>
      </c>
      <c r="H150" s="5">
        <f t="shared" si="63"/>
        <v>-377.5489259398082</v>
      </c>
      <c r="I150" s="5">
        <f t="shared" si="63"/>
        <v>186.0109699183613</v>
      </c>
      <c r="J150" s="5">
        <f t="shared" si="63"/>
        <v>601.1525203832589</v>
      </c>
      <c r="K150" s="5">
        <f t="shared" si="63"/>
        <v>1220.815854206995</v>
      </c>
      <c r="L150" s="5">
        <f t="shared" si="63"/>
        <v>4026.8923269548523</v>
      </c>
      <c r="M150" s="5">
        <f t="shared" si="63"/>
        <v>6589.317737699845</v>
      </c>
      <c r="N150" s="5">
        <f t="shared" si="63"/>
        <v>5351.033172738853</v>
      </c>
      <c r="O150" s="5">
        <f t="shared" si="63"/>
        <v>6555.7535729242745</v>
      </c>
      <c r="P150" s="5">
        <f t="shared" si="63"/>
        <v>6878.930096899134</v>
      </c>
      <c r="Q150" s="5">
        <f t="shared" si="63"/>
        <v>5923.819185440296</v>
      </c>
      <c r="R150" s="5">
        <f t="shared" si="63"/>
        <v>7108.619474295431</v>
      </c>
      <c r="S150" s="5">
        <f t="shared" si="63"/>
        <v>7540.630833451965</v>
      </c>
      <c r="T150" s="5">
        <f t="shared" si="63"/>
        <v>7741.2237037291325</v>
      </c>
      <c r="U150" s="5">
        <f t="shared" si="63"/>
        <v>7968.599250203608</v>
      </c>
      <c r="V150" s="5">
        <f t="shared" si="63"/>
        <v>3888.2135276795266</v>
      </c>
      <c r="W150" s="5">
        <f t="shared" si="63"/>
        <v>8509.589142883173</v>
      </c>
      <c r="X150" s="5">
        <f t="shared" si="63"/>
        <v>8502.821364139625</v>
      </c>
      <c r="Y150" s="5">
        <f t="shared" si="63"/>
        <v>8978.062876081038</v>
      </c>
      <c r="Z150" s="5">
        <f t="shared" si="63"/>
        <v>1536.6427449981818</v>
      </c>
    </row>
    <row r="151" spans="1:2" ht="11.25">
      <c r="A151" s="95" t="s">
        <v>170</v>
      </c>
      <c r="B151" s="34">
        <f>NPV(B64,D150:Z150)+C150</f>
        <v>1847.6555579639935</v>
      </c>
    </row>
    <row r="152" spans="1:2" ht="11.25">
      <c r="A152" s="95" t="s">
        <v>171</v>
      </c>
      <c r="B152" s="96">
        <f>IRR(C150:Z150)</f>
        <v>0.1650512302536943</v>
      </c>
    </row>
    <row r="154" spans="1:17" ht="11.25">
      <c r="A154" s="4" t="s">
        <v>168</v>
      </c>
      <c r="B154" s="103">
        <f>AVERAGE(G154:L154)</f>
        <v>1.2930216098409915</v>
      </c>
      <c r="G154" s="84">
        <f aca="true" t="shared" si="64" ref="G154:O154">-G145/G148</f>
        <v>0.8063618173670671</v>
      </c>
      <c r="H154" s="84">
        <f t="shared" si="64"/>
        <v>0.9399198815864319</v>
      </c>
      <c r="I154" s="84">
        <f t="shared" si="64"/>
        <v>1.0315394322790286</v>
      </c>
      <c r="J154" s="84">
        <f t="shared" si="64"/>
        <v>1.109075096481911</v>
      </c>
      <c r="K154" s="84">
        <f t="shared" si="64"/>
        <v>1.2382079715525844</v>
      </c>
      <c r="L154" s="84">
        <f t="shared" si="64"/>
        <v>2.633025459778926</v>
      </c>
      <c r="M154" s="84">
        <f t="shared" si="64"/>
        <v>15497393522377808</v>
      </c>
      <c r="N154" s="84">
        <f t="shared" si="64"/>
        <v>12585076350890844</v>
      </c>
      <c r="O154" s="84">
        <f t="shared" si="64"/>
        <v>15418454079709726</v>
      </c>
      <c r="P154" s="84"/>
      <c r="Q154" s="84"/>
    </row>
    <row r="156" spans="1:5" s="100" customFormat="1" ht="11.25">
      <c r="A156" s="97" t="s">
        <v>143</v>
      </c>
      <c r="B156" s="98"/>
      <c r="C156" s="99"/>
      <c r="D156" s="99"/>
      <c r="E156" s="99"/>
    </row>
    <row r="157" spans="1:26" s="100" customFormat="1" ht="11.25">
      <c r="A157" s="100" t="s">
        <v>144</v>
      </c>
      <c r="B157" s="98"/>
      <c r="C157" s="99"/>
      <c r="D157" s="99"/>
      <c r="E157" s="99"/>
      <c r="F157" s="101">
        <f>F133/F132</f>
        <v>0</v>
      </c>
      <c r="G157" s="101">
        <f aca="true" t="shared" si="65" ref="G157:Z157">G133/G132</f>
        <v>0</v>
      </c>
      <c r="H157" s="101">
        <f t="shared" si="65"/>
        <v>0</v>
      </c>
      <c r="I157" s="101">
        <f t="shared" si="65"/>
        <v>0</v>
      </c>
      <c r="J157" s="101">
        <f t="shared" si="65"/>
        <v>0</v>
      </c>
      <c r="K157" s="101">
        <f t="shared" si="65"/>
        <v>0.05</v>
      </c>
      <c r="L157" s="101">
        <f t="shared" si="65"/>
        <v>0.05000000000000001</v>
      </c>
      <c r="M157" s="101">
        <f t="shared" si="65"/>
        <v>0.05</v>
      </c>
      <c r="N157" s="101">
        <f t="shared" si="65"/>
        <v>0.09999999999999999</v>
      </c>
      <c r="O157" s="101">
        <f t="shared" si="65"/>
        <v>0.1</v>
      </c>
      <c r="P157" s="101">
        <f t="shared" si="65"/>
        <v>0.1</v>
      </c>
      <c r="Q157" s="101">
        <f t="shared" si="65"/>
        <v>0.1</v>
      </c>
      <c r="R157" s="101">
        <f t="shared" si="65"/>
        <v>0.1</v>
      </c>
      <c r="S157" s="101">
        <f t="shared" si="65"/>
        <v>0.10000000000000002</v>
      </c>
      <c r="T157" s="101">
        <f t="shared" si="65"/>
        <v>0.1</v>
      </c>
      <c r="U157" s="101">
        <f t="shared" si="65"/>
        <v>0.10000000000000002</v>
      </c>
      <c r="V157" s="101">
        <f t="shared" si="65"/>
        <v>0.1</v>
      </c>
      <c r="W157" s="101">
        <f t="shared" si="65"/>
        <v>0.1</v>
      </c>
      <c r="X157" s="101">
        <f t="shared" si="65"/>
        <v>0.1</v>
      </c>
      <c r="Y157" s="101">
        <f t="shared" si="65"/>
        <v>0.1</v>
      </c>
      <c r="Z157" s="101">
        <f t="shared" si="65"/>
        <v>0.1</v>
      </c>
    </row>
    <row r="158" spans="1:26" s="100" customFormat="1" ht="11.25">
      <c r="A158" s="100" t="s">
        <v>146</v>
      </c>
      <c r="B158" s="98"/>
      <c r="F158" s="100">
        <f>F96-F159</f>
        <v>11366.117944190482</v>
      </c>
      <c r="G158" s="100">
        <f aca="true" t="shared" si="66" ref="G158:Z158">G96-G159</f>
        <v>12987.734660292641</v>
      </c>
      <c r="H158" s="100">
        <f t="shared" si="66"/>
        <v>14184.873768051948</v>
      </c>
      <c r="I158" s="100">
        <f t="shared" si="66"/>
        <v>15382.012875811255</v>
      </c>
      <c r="J158" s="100">
        <f t="shared" si="66"/>
        <v>16732.88621674867</v>
      </c>
      <c r="K158" s="100">
        <f t="shared" si="66"/>
        <v>17908.06329119682</v>
      </c>
      <c r="L158" s="100">
        <f t="shared" si="66"/>
        <v>16827.379759584364</v>
      </c>
      <c r="M158" s="100">
        <f t="shared" si="66"/>
        <v>15139.74381238749</v>
      </c>
      <c r="N158" s="100">
        <f t="shared" si="66"/>
        <v>14950.536818973898</v>
      </c>
      <c r="O158" s="100">
        <f t="shared" si="66"/>
        <v>13667.65063855587</v>
      </c>
      <c r="P158" s="100">
        <f t="shared" si="66"/>
        <v>12218.425688005786</v>
      </c>
      <c r="Q158" s="100">
        <f t="shared" si="66"/>
        <v>11926.331876969862</v>
      </c>
      <c r="R158" s="100">
        <f t="shared" si="66"/>
        <v>10528.510438304009</v>
      </c>
      <c r="S158" s="100">
        <f t="shared" si="66"/>
        <v>8908.122225838046</v>
      </c>
      <c r="T158" s="100">
        <f t="shared" si="66"/>
        <v>7287.7340133720845</v>
      </c>
      <c r="U158" s="100">
        <f t="shared" si="66"/>
        <v>5667.345800906121</v>
      </c>
      <c r="V158" s="100">
        <f t="shared" si="66"/>
        <v>8527.974472017984</v>
      </c>
      <c r="W158" s="100">
        <f t="shared" si="66"/>
        <v>6478.786194513963</v>
      </c>
      <c r="X158" s="100">
        <f t="shared" si="66"/>
        <v>4662.134738473627</v>
      </c>
      <c r="Y158" s="100">
        <f t="shared" si="66"/>
        <v>2745.0313635482444</v>
      </c>
      <c r="Z158" s="100">
        <f t="shared" si="66"/>
        <v>2007.2790853478748</v>
      </c>
    </row>
    <row r="159" spans="1:26" s="100" customFormat="1" ht="11.25">
      <c r="A159" s="100" t="s">
        <v>147</v>
      </c>
      <c r="B159" s="98"/>
      <c r="F159" s="100">
        <f>F103</f>
        <v>25000</v>
      </c>
      <c r="G159" s="100">
        <f aca="true" t="shared" si="67" ref="G159:Z159">G103</f>
        <v>20454.545454545456</v>
      </c>
      <c r="H159" s="100">
        <f t="shared" si="67"/>
        <v>15909.090909090912</v>
      </c>
      <c r="I159" s="100">
        <f t="shared" si="67"/>
        <v>11363.636363636368</v>
      </c>
      <c r="J159" s="100">
        <f t="shared" si="67"/>
        <v>6818.181818181823</v>
      </c>
      <c r="K159" s="100">
        <f t="shared" si="67"/>
        <v>2272.7272727272775</v>
      </c>
      <c r="L159" s="100">
        <f t="shared" si="67"/>
        <v>5.002220859751105E-12</v>
      </c>
      <c r="M159" s="100">
        <f t="shared" si="67"/>
        <v>5.002220859751105E-12</v>
      </c>
      <c r="N159" s="100">
        <f t="shared" si="67"/>
        <v>5.002220859751105E-12</v>
      </c>
      <c r="O159" s="100">
        <f t="shared" si="67"/>
        <v>5.002220859751105E-12</v>
      </c>
      <c r="P159" s="100">
        <f t="shared" si="67"/>
        <v>5.002220859751105E-12</v>
      </c>
      <c r="Q159" s="100">
        <f t="shared" si="67"/>
        <v>5.002220859751105E-12</v>
      </c>
      <c r="R159" s="100">
        <f t="shared" si="67"/>
        <v>5.002220859751105E-12</v>
      </c>
      <c r="S159" s="100">
        <f t="shared" si="67"/>
        <v>5.002220859751105E-12</v>
      </c>
      <c r="T159" s="100">
        <f t="shared" si="67"/>
        <v>5.002220859751105E-12</v>
      </c>
      <c r="U159" s="100">
        <f t="shared" si="67"/>
        <v>5.002220859751105E-12</v>
      </c>
      <c r="V159" s="100">
        <f t="shared" si="67"/>
        <v>5.002220859751105E-12</v>
      </c>
      <c r="W159" s="100">
        <f t="shared" si="67"/>
        <v>5.002220859751105E-12</v>
      </c>
      <c r="X159" s="100">
        <f t="shared" si="67"/>
        <v>5.002220859751105E-12</v>
      </c>
      <c r="Y159" s="100">
        <f t="shared" si="67"/>
        <v>5.002220859751105E-12</v>
      </c>
      <c r="Z159" s="100">
        <f t="shared" si="67"/>
        <v>5.002220859751105E-12</v>
      </c>
    </row>
    <row r="160" spans="1:26" s="100" customFormat="1" ht="11.25">
      <c r="A160" s="100" t="s">
        <v>145</v>
      </c>
      <c r="B160" s="98"/>
      <c r="F160" s="102">
        <f>F159/F158</f>
        <v>2.199519670898554</v>
      </c>
      <c r="G160" s="102">
        <f aca="true" t="shared" si="68" ref="G160:Z160">G159/G158</f>
        <v>1.5749124839361766</v>
      </c>
      <c r="H160" s="102">
        <f t="shared" si="68"/>
        <v>1.1215532241761892</v>
      </c>
      <c r="I160" s="102">
        <f t="shared" si="68"/>
        <v>0.7387613347734273</v>
      </c>
      <c r="J160" s="102">
        <f t="shared" si="68"/>
        <v>0.4074719525288596</v>
      </c>
      <c r="K160" s="102">
        <f t="shared" si="68"/>
        <v>0.12691083540253603</v>
      </c>
      <c r="L160" s="102">
        <f t="shared" si="68"/>
        <v>2.9726677184556867E-16</v>
      </c>
      <c r="M160" s="102">
        <f t="shared" si="68"/>
        <v>3.3040326981347187E-16</v>
      </c>
      <c r="N160" s="102">
        <f t="shared" si="68"/>
        <v>3.345846988853758E-16</v>
      </c>
      <c r="O160" s="102">
        <f t="shared" si="68"/>
        <v>3.659898099560761E-16</v>
      </c>
      <c r="P160" s="102">
        <f t="shared" si="68"/>
        <v>4.093997858219602E-16</v>
      </c>
      <c r="Q160" s="102">
        <f t="shared" si="68"/>
        <v>4.194266025256733E-16</v>
      </c>
      <c r="R160" s="102">
        <f t="shared" si="68"/>
        <v>4.75111924812499E-16</v>
      </c>
      <c r="S160" s="102">
        <f t="shared" si="68"/>
        <v>5.615348255148703E-16</v>
      </c>
      <c r="T160" s="102">
        <f t="shared" si="68"/>
        <v>6.863890546187131E-16</v>
      </c>
      <c r="U160" s="102">
        <f t="shared" si="68"/>
        <v>8.826390757647658E-16</v>
      </c>
      <c r="V160" s="102">
        <f t="shared" si="68"/>
        <v>5.865661155722742E-16</v>
      </c>
      <c r="W160" s="102">
        <f t="shared" si="68"/>
        <v>7.720922885195427E-16</v>
      </c>
      <c r="X160" s="102">
        <f t="shared" si="68"/>
        <v>1.072946437706093E-15</v>
      </c>
      <c r="Y160" s="102">
        <f t="shared" si="68"/>
        <v>1.8222818603009344E-15</v>
      </c>
      <c r="Z160" s="102">
        <f t="shared" si="68"/>
        <v>2.4920405419778424E-15</v>
      </c>
    </row>
    <row r="163" ht="11.25">
      <c r="F163" s="11"/>
    </row>
    <row r="166" spans="2:5" ht="11.25">
      <c r="B166" s="25"/>
      <c r="C166" s="36"/>
      <c r="D166" s="36"/>
      <c r="E166" s="36"/>
    </row>
    <row r="168" spans="2:5" ht="11.25">
      <c r="B168" s="25"/>
      <c r="C168" s="36"/>
      <c r="D168" s="36"/>
      <c r="E168" s="36"/>
    </row>
    <row r="170" spans="1:8" ht="11.25">
      <c r="A170" s="4"/>
      <c r="C170" s="10"/>
      <c r="D170" s="10"/>
      <c r="E170" s="10"/>
      <c r="F170" s="10"/>
      <c r="G170" s="10"/>
      <c r="H170" s="10"/>
    </row>
    <row r="179" spans="2:8" ht="11.25">
      <c r="B179" s="25"/>
      <c r="C179" s="36"/>
      <c r="D179" s="36"/>
      <c r="E179" s="36"/>
      <c r="F179" s="36"/>
      <c r="G179" s="36"/>
      <c r="H179" s="36"/>
    </row>
    <row r="181" spans="2:8" ht="11.25">
      <c r="B181" s="25"/>
      <c r="C181" s="36"/>
      <c r="D181" s="36"/>
      <c r="E181" s="36"/>
      <c r="F181" s="36"/>
      <c r="G181" s="36"/>
      <c r="H181" s="36"/>
    </row>
    <row r="183" spans="1:6" ht="11.25">
      <c r="A183" s="4"/>
      <c r="C183" s="10"/>
      <c r="D183" s="10"/>
      <c r="E183" s="10"/>
      <c r="F183" s="10"/>
    </row>
    <row r="184" ht="11.25">
      <c r="B184" s="10"/>
    </row>
    <row r="185" ht="11.25">
      <c r="B185" s="21"/>
    </row>
    <row r="186" ht="11.25">
      <c r="B186" s="10"/>
    </row>
    <row r="187" ht="11.25">
      <c r="B187" s="10"/>
    </row>
    <row r="188" ht="11.25">
      <c r="B188" s="10"/>
    </row>
    <row r="189" ht="11.25">
      <c r="B189" s="10"/>
    </row>
    <row r="190" ht="11.25">
      <c r="B190" s="10"/>
    </row>
    <row r="192" ht="11.25">
      <c r="A192" s="4"/>
    </row>
    <row r="193" spans="6:26" ht="11.2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6:26" ht="11.2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6:26" ht="11.2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6:26" ht="11.2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6:26" ht="11.2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208" spans="2:5" ht="11.25">
      <c r="B208" s="25"/>
      <c r="C208" s="36"/>
      <c r="D208" s="36"/>
      <c r="E208" s="36"/>
    </row>
    <row r="210" spans="2:5" ht="11.25">
      <c r="B210" s="25"/>
      <c r="C210" s="36"/>
      <c r="D210" s="36"/>
      <c r="E210" s="36"/>
    </row>
  </sheetData>
  <sheetProtection/>
  <printOptions headings="1" horizontalCentered="1"/>
  <pageMargins left="0" right="0" top="0.75" bottom="0.75" header="0.5" footer="0.5"/>
  <pageSetup fitToHeight="14" fitToWidth="1" horizontalDpi="600" verticalDpi="600" orientation="landscape" paperSize="9" scale="51" r:id="rId2"/>
  <headerFooter alignWithMargins="0">
    <oddHeader>&amp;LFulbright Economics Teaching Program&amp;CProject Appraisal &amp;RCase study</oddHeader>
    <oddFooter>&amp;RPage &amp;P/&amp;N</oddFooter>
  </headerFooter>
  <ignoredErrors>
    <ignoredError sqref="A131:E131 V133 W133:Z133 V127:V129 J127:J132 K133:U133 F127:F132 G127:G132 H127:H132 I127:I132 K127:U132 W127:Z132 V131:V132 F133:J1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0.8515625" style="46" bestFit="1" customWidth="1"/>
    <col min="2" max="2" width="9.140625" style="46" customWidth="1"/>
    <col min="3" max="3" width="3.57421875" style="46" customWidth="1"/>
    <col min="4" max="4" width="38.00390625" style="46" bestFit="1" customWidth="1"/>
    <col min="5" max="5" width="9.140625" style="46" customWidth="1"/>
    <col min="6" max="6" width="4.140625" style="46" customWidth="1"/>
    <col min="7" max="7" width="24.57421875" style="46" customWidth="1"/>
    <col min="8" max="8" width="6.7109375" style="46" customWidth="1"/>
    <col min="9" max="9" width="4.140625" style="46" customWidth="1"/>
    <col min="10" max="10" width="9.140625" style="46" customWidth="1"/>
    <col min="11" max="11" width="9.7109375" style="46" customWidth="1"/>
    <col min="12" max="12" width="3.00390625" style="46" customWidth="1"/>
    <col min="13" max="13" width="7.421875" style="46" customWidth="1"/>
    <col min="14" max="14" width="6.421875" style="46" customWidth="1"/>
    <col min="15" max="16384" width="9.140625" style="46" customWidth="1"/>
  </cols>
  <sheetData>
    <row r="1" spans="1:14" ht="11.25">
      <c r="A1" s="45" t="s">
        <v>0</v>
      </c>
      <c r="B1" s="45">
        <v>1998</v>
      </c>
      <c r="J1" s="47" t="s">
        <v>105</v>
      </c>
      <c r="K1" s="48" t="s">
        <v>106</v>
      </c>
      <c r="M1" s="49" t="s">
        <v>107</v>
      </c>
      <c r="N1" s="50" t="s">
        <v>108</v>
      </c>
    </row>
    <row r="2" spans="10:14" ht="11.25">
      <c r="J2" s="51">
        <v>35797</v>
      </c>
      <c r="K2" s="52">
        <v>5.94</v>
      </c>
      <c r="M2" s="53" t="s">
        <v>109</v>
      </c>
      <c r="N2" s="54">
        <v>80</v>
      </c>
    </row>
    <row r="3" spans="1:14" ht="11.25">
      <c r="A3" s="55" t="s">
        <v>110</v>
      </c>
      <c r="B3" s="56"/>
      <c r="D3" s="57" t="s">
        <v>111</v>
      </c>
      <c r="E3" s="56"/>
      <c r="G3" s="57" t="s">
        <v>140</v>
      </c>
      <c r="H3" s="56"/>
      <c r="J3" s="51">
        <v>35800</v>
      </c>
      <c r="K3" s="52">
        <v>5.82</v>
      </c>
      <c r="M3" s="53" t="s">
        <v>112</v>
      </c>
      <c r="N3" s="54">
        <v>90</v>
      </c>
    </row>
    <row r="4" spans="1:14" ht="11.25">
      <c r="A4" s="58"/>
      <c r="B4" s="59"/>
      <c r="D4" s="86" t="s">
        <v>150</v>
      </c>
      <c r="E4" s="87">
        <v>1</v>
      </c>
      <c r="G4" s="58" t="s">
        <v>141</v>
      </c>
      <c r="H4" s="59" t="s">
        <v>113</v>
      </c>
      <c r="J4" s="51">
        <v>35801</v>
      </c>
      <c r="K4" s="52">
        <v>5.8</v>
      </c>
      <c r="M4" s="53" t="s">
        <v>114</v>
      </c>
      <c r="N4" s="54">
        <v>95</v>
      </c>
    </row>
    <row r="5" spans="1:14" ht="11.25">
      <c r="A5" s="58" t="s">
        <v>115</v>
      </c>
      <c r="B5" s="61">
        <f>AVERAGE(K2:K21)/100</f>
        <v>0.05876499999999999</v>
      </c>
      <c r="D5" s="86" t="s">
        <v>149</v>
      </c>
      <c r="E5" s="88">
        <f>'Mo hinh co so'!B26</f>
        <v>0.1</v>
      </c>
      <c r="G5" s="58" t="s">
        <v>142</v>
      </c>
      <c r="H5" s="60">
        <f>VLOOKUP(H4,$M$2:$N$19,2)/10000</f>
        <v>0.045</v>
      </c>
      <c r="J5" s="51">
        <v>35802</v>
      </c>
      <c r="K5" s="52">
        <v>5.88</v>
      </c>
      <c r="M5" s="53" t="s">
        <v>116</v>
      </c>
      <c r="N5" s="54">
        <v>60</v>
      </c>
    </row>
    <row r="6" spans="1:14" ht="11.25">
      <c r="A6" s="58" t="s">
        <v>117</v>
      </c>
      <c r="B6" s="63">
        <v>0.05630317390882755</v>
      </c>
      <c r="D6" s="86" t="s">
        <v>152</v>
      </c>
      <c r="E6" s="89">
        <f>AVERAGE('Mo hinh co so'!F157:Z157)</f>
        <v>0.06904761904761905</v>
      </c>
      <c r="G6" s="58"/>
      <c r="H6" s="64"/>
      <c r="J6" s="51">
        <v>35803</v>
      </c>
      <c r="K6" s="52">
        <v>5.82</v>
      </c>
      <c r="M6" s="53" t="s">
        <v>118</v>
      </c>
      <c r="N6" s="54">
        <v>65</v>
      </c>
    </row>
    <row r="7" spans="1:14" ht="11.25">
      <c r="A7" s="58"/>
      <c r="B7" s="59"/>
      <c r="D7" s="86" t="s">
        <v>151</v>
      </c>
      <c r="E7" s="87">
        <v>1</v>
      </c>
      <c r="G7" s="65"/>
      <c r="H7" s="67"/>
      <c r="J7" s="51">
        <v>35804</v>
      </c>
      <c r="K7" s="52">
        <v>5.77</v>
      </c>
      <c r="M7" s="53" t="s">
        <v>119</v>
      </c>
      <c r="N7" s="54">
        <v>70</v>
      </c>
    </row>
    <row r="8" spans="1:14" ht="11.25">
      <c r="A8" s="58" t="s">
        <v>120</v>
      </c>
      <c r="B8" s="68">
        <v>0.6146618380043687</v>
      </c>
      <c r="D8" s="86" t="s">
        <v>153</v>
      </c>
      <c r="E8" s="90">
        <f>IF(E7=2,AVERAGE('Mo hinh co so'!F160:Z160),'Mo hinh co so'!F159/'Mo hinh co so'!B55)</f>
        <v>2.2522522522522523</v>
      </c>
      <c r="J8" s="51">
        <v>35807</v>
      </c>
      <c r="K8" s="52">
        <v>5.76</v>
      </c>
      <c r="M8" s="53" t="s">
        <v>121</v>
      </c>
      <c r="N8" s="54">
        <v>0</v>
      </c>
    </row>
    <row r="9" spans="1:14" ht="11.25">
      <c r="A9" s="69" t="s">
        <v>122</v>
      </c>
      <c r="B9" s="70">
        <v>0.7054850280669493</v>
      </c>
      <c r="D9" s="58" t="s">
        <v>154</v>
      </c>
      <c r="E9" s="60">
        <f>1/(E8+1)</f>
        <v>0.3074792243767313</v>
      </c>
      <c r="J9" s="51">
        <v>35808</v>
      </c>
      <c r="K9" s="52">
        <v>5.76</v>
      </c>
      <c r="M9" s="53" t="s">
        <v>113</v>
      </c>
      <c r="N9" s="54">
        <v>450</v>
      </c>
    </row>
    <row r="10" spans="1:14" ht="11.25">
      <c r="A10" s="69" t="s">
        <v>123</v>
      </c>
      <c r="B10" s="71">
        <v>0.36560000000000004</v>
      </c>
      <c r="D10" s="65" t="s">
        <v>155</v>
      </c>
      <c r="E10" s="66">
        <f>1/(1/E8+1)</f>
        <v>0.6925207756232687</v>
      </c>
      <c r="J10" s="51">
        <v>35809</v>
      </c>
      <c r="K10" s="52">
        <v>5.79</v>
      </c>
      <c r="M10" s="53" t="s">
        <v>124</v>
      </c>
      <c r="N10" s="54">
        <v>550</v>
      </c>
    </row>
    <row r="11" spans="1:14" ht="11.25">
      <c r="A11" s="58" t="s">
        <v>125</v>
      </c>
      <c r="B11" s="62">
        <f>B8/(1+(1-B10)*B9)</f>
        <v>0.42461933503512506</v>
      </c>
      <c r="J11" s="51">
        <v>35810</v>
      </c>
      <c r="K11" s="52">
        <v>5.81</v>
      </c>
      <c r="M11" s="53" t="s">
        <v>126</v>
      </c>
      <c r="N11" s="54">
        <v>650</v>
      </c>
    </row>
    <row r="12" spans="1:14" ht="11.25">
      <c r="A12" s="58"/>
      <c r="B12" s="59"/>
      <c r="D12" s="72"/>
      <c r="J12" s="51">
        <v>35811</v>
      </c>
      <c r="K12" s="52">
        <v>5.87</v>
      </c>
      <c r="M12" s="53" t="s">
        <v>127</v>
      </c>
      <c r="N12" s="54">
        <v>250</v>
      </c>
    </row>
    <row r="13" spans="1:14" ht="11.25">
      <c r="A13" s="65" t="s">
        <v>128</v>
      </c>
      <c r="B13" s="73">
        <f>B11*(1+IF(E4=2,(1-E6)*E8,(1-E5)*E8))</f>
        <v>1.2853342033495678</v>
      </c>
      <c r="J13" s="51">
        <v>35815</v>
      </c>
      <c r="K13" s="52">
        <v>5.89</v>
      </c>
      <c r="M13" s="53" t="s">
        <v>129</v>
      </c>
      <c r="N13" s="54">
        <v>300</v>
      </c>
    </row>
    <row r="14" spans="5:14" ht="11.25">
      <c r="E14" s="45" t="s">
        <v>130</v>
      </c>
      <c r="G14" s="45" t="s">
        <v>131</v>
      </c>
      <c r="J14" s="51">
        <v>35816</v>
      </c>
      <c r="K14" s="52">
        <v>5.87</v>
      </c>
      <c r="M14" s="53" t="s">
        <v>132</v>
      </c>
      <c r="N14" s="54">
        <v>400</v>
      </c>
    </row>
    <row r="15" spans="4:14" ht="11.25">
      <c r="D15" s="74" t="s">
        <v>133</v>
      </c>
      <c r="E15" s="75">
        <f>'Mo hinh co so'!B46</f>
        <v>0.085</v>
      </c>
      <c r="G15" s="76">
        <f>(1+E15)/(1+'Mo hinh co so'!$B$6)-1</f>
        <v>0.05339805825242716</v>
      </c>
      <c r="J15" s="51">
        <v>35817</v>
      </c>
      <c r="K15" s="52">
        <v>5.91</v>
      </c>
      <c r="M15" s="53" t="s">
        <v>134</v>
      </c>
      <c r="N15" s="54">
        <v>120</v>
      </c>
    </row>
    <row r="16" spans="4:14" ht="11.25">
      <c r="D16" s="74" t="s">
        <v>135</v>
      </c>
      <c r="E16" s="75">
        <f>B5+B6*B13+H5</f>
        <v>0.17613339518215504</v>
      </c>
      <c r="G16" s="76">
        <f>(1+E16)/(1+'Mo hinh co so'!$B$6)-1</f>
        <v>0.14187708270112132</v>
      </c>
      <c r="J16" s="51">
        <v>35818</v>
      </c>
      <c r="K16" s="52">
        <v>6.04</v>
      </c>
      <c r="M16" s="53" t="s">
        <v>136</v>
      </c>
      <c r="N16" s="54">
        <v>130</v>
      </c>
    </row>
    <row r="17" spans="2:14" ht="11.25">
      <c r="B17" s="77"/>
      <c r="D17" s="74" t="s">
        <v>148</v>
      </c>
      <c r="E17" s="76">
        <f>E16*E9+E15*E10</f>
        <v>0.11302162566542717</v>
      </c>
      <c r="G17" s="76">
        <f>(1+E17)/(1+'Mo hinh co so'!$B$6)-1</f>
        <v>0.08060352006352156</v>
      </c>
      <c r="J17" s="51">
        <v>35821</v>
      </c>
      <c r="K17" s="52">
        <v>5.96</v>
      </c>
      <c r="M17" s="53" t="s">
        <v>137</v>
      </c>
      <c r="N17" s="54">
        <v>145</v>
      </c>
    </row>
    <row r="18" spans="10:14" ht="11.25">
      <c r="J18" s="51">
        <v>35822</v>
      </c>
      <c r="K18" s="52">
        <v>6.02</v>
      </c>
      <c r="M18" s="78" t="s">
        <v>138</v>
      </c>
      <c r="N18" s="79">
        <v>900</v>
      </c>
    </row>
    <row r="19" spans="2:14" ht="11.25">
      <c r="B19" s="72"/>
      <c r="J19" s="51">
        <v>35823</v>
      </c>
      <c r="K19" s="52">
        <v>6.02</v>
      </c>
      <c r="M19" s="80" t="s">
        <v>139</v>
      </c>
      <c r="N19" s="81">
        <v>750</v>
      </c>
    </row>
    <row r="20" spans="10:11" ht="11.25">
      <c r="J20" s="51">
        <v>35824</v>
      </c>
      <c r="K20" s="52">
        <v>5.92</v>
      </c>
    </row>
    <row r="21" spans="10:11" ht="11.25">
      <c r="J21" s="82">
        <v>35825</v>
      </c>
      <c r="K21" s="83">
        <v>5.88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 </cp:lastModifiedBy>
  <cp:lastPrinted>2009-09-16T06:20:38Z</cp:lastPrinted>
  <dcterms:created xsi:type="dcterms:W3CDTF">2007-01-03T09:02:04Z</dcterms:created>
  <dcterms:modified xsi:type="dcterms:W3CDTF">2012-07-12T06:02:22Z</dcterms:modified>
  <cp:category/>
  <cp:version/>
  <cp:contentType/>
  <cp:contentStatus/>
</cp:coreProperties>
</file>