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00" windowWidth="14580" windowHeight="8340" activeTab="0"/>
  </bookViews>
  <sheets>
    <sheet name="Analysis" sheetId="1" r:id="rId1"/>
    <sheet name="Analysis (Tax Formula)"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<sst xmlns="http://schemas.openxmlformats.org/spreadsheetml/2006/main" count="584" uniqueCount="157">
  <si>
    <t>Installment Share (Expressed as a %  based on 10% annuity)</t>
  </si>
  <si>
    <t>VEC</t>
  </si>
  <si>
    <t>DỰ ÁN ĐƯỜNG CAO TỐC TP.HCM - LONG THÀNH - DẦU GIÂY</t>
  </si>
  <si>
    <t>Xây dựng</t>
  </si>
  <si>
    <t>Đất</t>
  </si>
  <si>
    <t>Đền bù giải tỏa</t>
  </si>
  <si>
    <t>Rò phá bom mìn</t>
  </si>
  <si>
    <t>Dịch vụ tư vấn</t>
  </si>
  <si>
    <t>Quản lý</t>
  </si>
  <si>
    <t>Chi phí cam kết tài trợ</t>
  </si>
  <si>
    <t>Tài trợ</t>
  </si>
  <si>
    <t>VEC (vốn chủ sở hữu)</t>
  </si>
  <si>
    <t>ADB (vốn vay)</t>
  </si>
  <si>
    <t>JBIC (vốn vay)</t>
  </si>
  <si>
    <t>Giải ngân</t>
  </si>
  <si>
    <t>BẢNG THÔNG SỐ</t>
  </si>
  <si>
    <t>Thông số vĩ mô</t>
  </si>
  <si>
    <t>Lạm phát USD</t>
  </si>
  <si>
    <t>Lạm phát VND</t>
  </si>
  <si>
    <t>Tỷ giá VND/USD</t>
  </si>
  <si>
    <t>Chỉ số giá VND</t>
  </si>
  <si>
    <t>Chỉ số giá USD</t>
  </si>
  <si>
    <t>Chi phí phải trả bằng USD</t>
  </si>
  <si>
    <t>Chi phí phải trả bằng VND</t>
  </si>
  <si>
    <t>Ngân lưu chi phí đầu tư, giá thực</t>
  </si>
  <si>
    <t>Cộng</t>
  </si>
  <si>
    <t>Ngân lưu theo giá danh nghĩa quy đổi ra USD</t>
  </si>
  <si>
    <t>Ngân lưu theo giá danh nghĩa quy đổi ra VND</t>
  </si>
  <si>
    <t>VEC (vốn chủ sở hữu) tài trợ rà phá bom mìn</t>
  </si>
  <si>
    <t>Khoản vay ADB</t>
  </si>
  <si>
    <t>Chệnh lệch lãi suất so với LIBOR</t>
  </si>
  <si>
    <t>LIBOR</t>
  </si>
  <si>
    <t>Lãi suất danh nghĩa</t>
  </si>
  <si>
    <t>Dự nợ đầu kỳ</t>
  </si>
  <si>
    <t>Lãi vay phải trả</t>
  </si>
  <si>
    <t>Lãi vay trong thời gian xây dựng</t>
  </si>
  <si>
    <t>Trả nợ gốc</t>
  </si>
  <si>
    <t>Dư nợ cuối kỳ</t>
  </si>
  <si>
    <t>Kỳ hạn</t>
  </si>
  <si>
    <t>Ân hạn (kể từ khi bắt đầu giải ngân)</t>
  </si>
  <si>
    <t>Số lần trả lãi và nợ gốc trong năm</t>
  </si>
  <si>
    <t>Tổng số lần trả nợ gốc</t>
  </si>
  <si>
    <t>Ngày đầu tiên trả nợ gốc</t>
  </si>
  <si>
    <t>Ngày đáo hạn</t>
  </si>
  <si>
    <t>Năm bắt đầu giải ngân</t>
  </si>
  <si>
    <t>Khoản vay JBIC</t>
  </si>
  <si>
    <t>PHÂN TÍCH</t>
  </si>
  <si>
    <t>Chi phí đầu tư theo giá thực</t>
  </si>
  <si>
    <t>Chi phí đầu tư theo giá danh nghĩa</t>
  </si>
  <si>
    <t>Ngân lưu chi phí đầu tư quy đổi, triệu USD</t>
  </si>
  <si>
    <t>Ngân lưu chi phí đầu tư quy đổi, tỷ VND</t>
  </si>
  <si>
    <t>Lãi suất thả nổi</t>
  </si>
  <si>
    <t>Chi phí đầu tư kế toán theo giá danh nghĩa quy đổi ra USD</t>
  </si>
  <si>
    <t>Chi phí đầu tư kế toán theo giá danh nghĩa quy đổi ra VND</t>
  </si>
  <si>
    <t>Khấu hao</t>
  </si>
  <si>
    <t>Lịch khấu hao</t>
  </si>
  <si>
    <t>Đầu tư TSCĐ</t>
  </si>
  <si>
    <t>Thời gian khấu hao TSCĐ</t>
  </si>
  <si>
    <t>Khấu hao đường thẳng</t>
  </si>
  <si>
    <t>Dự báo lượng xe</t>
  </si>
  <si>
    <t>Chiều dài đoạn TPHCM-Long Thành</t>
  </si>
  <si>
    <t>Chiều dài đường cao tốc</t>
  </si>
  <si>
    <t>Chiều dài đoạn Long Thành-Dầu Giây</t>
  </si>
  <si>
    <t>Xe con</t>
  </si>
  <si>
    <t>Hệ số quy đổi ra xe con (PCU)</t>
  </si>
  <si>
    <t>TPHCM-Long Thành</t>
  </si>
  <si>
    <t>Long Thành-Dầu Giây</t>
  </si>
  <si>
    <t>2013-20</t>
  </si>
  <si>
    <t>2021-25</t>
  </si>
  <si>
    <t>Số lượng PCU đoạn TPHCM-Long Thành</t>
  </si>
  <si>
    <t>Số lượng PCU đoạn Long Thành-Dầy Giây</t>
  </si>
  <si>
    <t>2031-</t>
  </si>
  <si>
    <t>2026-30</t>
  </si>
  <si>
    <t>Phí đường danh nghĩa (VND/PCU/km)</t>
  </si>
  <si>
    <t>Phí đường bao gồm VAT, giá 2007 (VND/PCU/km)</t>
  </si>
  <si>
    <t>VAT phí đường</t>
  </si>
  <si>
    <t>Doanh thu từ phí đường TP.HCM-Long Thành</t>
  </si>
  <si>
    <t>Doanh thu từ phí đường Long Thành-Dầu Giây</t>
  </si>
  <si>
    <t>Doanh thu từ phí đường (bao gồm VAT)</t>
  </si>
  <si>
    <t>- VAT</t>
  </si>
  <si>
    <t>Tổng doanh thu từ phí đường, không kể VAT</t>
  </si>
  <si>
    <t>Chi phí</t>
  </si>
  <si>
    <t>Chi phí duy tu 8 năm 1 lần bắt đầu từ 2020</t>
  </si>
  <si>
    <t>Quy đổi ra VND</t>
  </si>
  <si>
    <t>Ngân lưu nợ</t>
  </si>
  <si>
    <t>IRR</t>
  </si>
  <si>
    <t>Báo cáo kết quả hoạt động kinh doanh</t>
  </si>
  <si>
    <t>Doanh thu không kể VAT</t>
  </si>
  <si>
    <t>EBITDA</t>
  </si>
  <si>
    <t>EBIT</t>
  </si>
  <si>
    <t>EBT</t>
  </si>
  <si>
    <t>Thuế thu nhập DN</t>
  </si>
  <si>
    <t>NI</t>
  </si>
  <si>
    <t>Thuế TNDN</t>
  </si>
  <si>
    <t>Ngân lưu</t>
  </si>
  <si>
    <t>Chi phí đầu tư</t>
  </si>
  <si>
    <t>Ngân lưu ròng dự án</t>
  </si>
  <si>
    <t>Ngân lưu nợ vay</t>
  </si>
  <si>
    <t>DSCR</t>
  </si>
  <si>
    <t>Tổng doanh thu từ phí đường, kẻ cả VAT</t>
  </si>
  <si>
    <t>- Chi phí duy tu 8 năm 1 lần bắt đầu từ 2020</t>
  </si>
  <si>
    <t>- Khấu hao</t>
  </si>
  <si>
    <t>- Chi phí lãi vay</t>
  </si>
  <si>
    <t>Chi phí vốn ngân sách</t>
  </si>
  <si>
    <t>Chi phí vốn ngân sách, danh nghĩa</t>
  </si>
  <si>
    <t>Chi phí vốn VEC</t>
  </si>
  <si>
    <t>NPV dự án</t>
  </si>
  <si>
    <t>NPV VEC</t>
  </si>
  <si>
    <t>Ngân lưu ròng VEC</t>
  </si>
  <si>
    <t>Ngân lưu ngân sách</t>
  </si>
  <si>
    <t>NPV ngân sách</t>
  </si>
  <si>
    <t>Ngân lưu danh nghĩa</t>
  </si>
  <si>
    <t>Ngân lưu thực</t>
  </si>
  <si>
    <t>Chi phí vốn nợ vay</t>
  </si>
  <si>
    <t>Chi phí vốn bình quân trọng số, WACC</t>
  </si>
  <si>
    <t>Chi phí vốn danh nghĩa</t>
  </si>
  <si>
    <t>Dự án</t>
  </si>
  <si>
    <t>Suất sinh lợi nội tại danh nghĩa</t>
  </si>
  <si>
    <t>Suất sinh lợi nội tại thực</t>
  </si>
  <si>
    <t>Giá trị hiện tại ròng</t>
  </si>
  <si>
    <t>DSCR tối thiểu kể từ 2020</t>
  </si>
  <si>
    <t>Min DSCR</t>
  </si>
  <si>
    <t>Tài sản cố định (không kể đất) đầu kỳ</t>
  </si>
  <si>
    <t>Tài sản cố định cuối kỳ (không kể đất)</t>
  </si>
  <si>
    <t>Chi phí vận hành, bảo trì và duy tu</t>
  </si>
  <si>
    <t>Chi phí bảo trì hàng năm</t>
  </si>
  <si>
    <t>- Chi phí bảo trì hàng năm</t>
  </si>
  <si>
    <t>Chi phí bảo trì hàng năm, giá 2007 (tỷ VND/năm)</t>
  </si>
  <si>
    <t>Chi phí duy tu 8 năm 1 lần bắt đầu từ 2020, giá 2007, tỷ VND/năm</t>
  </si>
  <si>
    <t>Chi phí thu lệ phí đường, VND/xe</t>
  </si>
  <si>
    <t>- Chi phí vận hành thu phí đường</t>
  </si>
  <si>
    <t>Chi phí vận hành thu phí đường</t>
  </si>
  <si>
    <t>Thu nhập chịu thuế</t>
  </si>
  <si>
    <t>Nợ gốc (không kể lãi trong t/g XD)</t>
  </si>
  <si>
    <t>Xe khách dưới 25 chỗ</t>
  </si>
  <si>
    <t>Xe khách trên 25 chỗ</t>
  </si>
  <si>
    <t>Xe tải 2 trục</t>
  </si>
  <si>
    <t>Xe tải 3 trục</t>
  </si>
  <si>
    <t>Xe kéo moóc</t>
  </si>
  <si>
    <t>Số năm chuyển lỗ</t>
  </si>
  <si>
    <t>Số năm miễn thuế</t>
  </si>
  <si>
    <t>Số năm giảm thuế 50%</t>
  </si>
  <si>
    <t>Thuế suất miễn thuế</t>
  </si>
  <si>
    <t>Thuế suất giảm thuế</t>
  </si>
  <si>
    <t>Số ngày trong năm</t>
  </si>
  <si>
    <t>NPV dự án &gt; 0; IRR dự án &gt; WACC</t>
  </si>
  <si>
    <t>Trên quan điểm tổng đầu tư, dự án khả thi về mặt tài chính</t>
  </si>
  <si>
    <t>NPV VEC &gt; 0; IRR VEC &gt; Re</t>
  </si>
  <si>
    <t>Trên quan điểm chủ đầu tư, dự án cũng khả thi về mặt tài chính</t>
  </si>
  <si>
    <t>Tính đặc thù trong cơ chế huy động vốn cho dự án là VEC chỉ phải bỏ ra một số tiền rất ít. Vốn ODA tài trợ trên 99% chi phí đầu tư của dự án.</t>
  </si>
  <si>
    <t>Dự án đòi hỏi nhu cầu đầu tư rất lớn (gần 20 triệu USD/km)</t>
  </si>
  <si>
    <t>ADB yêu cầu DSCR từ 1,2 trở lên bắt đầu tư 2020.</t>
  </si>
  <si>
    <t>Ta thấy có 3 năm (2020, 2018 và 2032), DSCR nhỏ hơn 1,2.</t>
  </si>
  <si>
    <t>DSCR năm 2018 và 2032 có thể coi là xấp xỉ 1,2</t>
  </si>
  <si>
    <t>Việc DSCR năm 2020 chỉ bằng 1,1 (do là năm đầu tiên chịu chi phí duy tu) có thể gây quan ngại cho ADB.</t>
  </si>
  <si>
    <t>Mặc dù vậy, mối quan ngại này có thể được giải quyết bằng cách quy định hạn chế việc chia cổ tức từ ngân lưu ròng chủ sở hữu và lập một tài khỏan dự trữ nợ vay.</t>
  </si>
  <si>
    <t>Vì là đường giao thông chiến lược đi qua vùng kinh tế trọng điểm, kết nối với các cơ sở hạ tầng giao thông khác (sân bay, cảng biển), nên lượng xe sử dụng đường cao tốc sẽ lớn và tăng dần theo thời gian mặc dù mức phí thu là cao. Đó là cơ sở tạo ra nguồn thu tài chính cho dự án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</si>
</sst>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0000000"/>
    <numFmt numFmtId="168" formatCode="0.0000000"/>
    <numFmt numFmtId="169" formatCode="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
    <numFmt numFmtId="177" formatCode="#,##0.000"/>
    <numFmt numFmtId="178" formatCode="0.000%"/>
    <numFmt numFmtId="179" formatCode="#,##0.0000"/>
  </numFmts>
  <fonts count="39">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xf>
    <xf numFmtId="0" fontId="1" fillId="0" borderId="0" xfId="0" applyFont="1" applyAlignment="1">
      <alignment/>
    </xf>
    <xf numFmtId="170" fontId="1" fillId="0" borderId="0" xfId="0" applyNumberFormat="1" applyFont="1" applyAlignment="1">
      <alignment/>
    </xf>
    <xf numFmtId="175" fontId="1" fillId="0" borderId="0" xfId="59" applyNumberFormat="1" applyFont="1" applyAlignment="1">
      <alignment/>
    </xf>
    <xf numFmtId="10" fontId="1" fillId="0" borderId="0" xfId="0" applyNumberFormat="1" applyFont="1" applyAlignment="1">
      <alignment/>
    </xf>
    <xf numFmtId="10" fontId="1" fillId="0" borderId="0" xfId="59" applyNumberFormat="1" applyFont="1" applyAlignment="1">
      <alignment/>
    </xf>
    <xf numFmtId="3" fontId="1" fillId="0" borderId="0" xfId="0" applyNumberFormat="1" applyFont="1" applyAlignment="1">
      <alignment/>
    </xf>
    <xf numFmtId="2" fontId="1" fillId="0" borderId="0" xfId="0" applyNumberFormat="1" applyFont="1" applyAlignment="1">
      <alignment/>
    </xf>
    <xf numFmtId="166" fontId="1" fillId="0" borderId="0" xfId="0" applyNumberFormat="1" applyFont="1" applyAlignment="1">
      <alignment/>
    </xf>
    <xf numFmtId="177" fontId="1" fillId="0" borderId="0" xfId="0" applyNumberFormat="1" applyFont="1" applyAlignment="1">
      <alignment/>
    </xf>
    <xf numFmtId="0" fontId="1" fillId="0" borderId="0" xfId="0" applyFont="1" applyAlignment="1">
      <alignment horizontal="left" indent="1"/>
    </xf>
    <xf numFmtId="4" fontId="1" fillId="0" borderId="0" xfId="0" applyNumberFormat="1" applyFont="1" applyAlignment="1">
      <alignment/>
    </xf>
    <xf numFmtId="0" fontId="2" fillId="0" borderId="0" xfId="0" applyFont="1" applyAlignment="1">
      <alignment horizontal="left"/>
    </xf>
    <xf numFmtId="0" fontId="2" fillId="0" borderId="0" xfId="0" applyFont="1" applyAlignment="1">
      <alignment horizontal="left" indent="1"/>
    </xf>
    <xf numFmtId="0" fontId="1" fillId="0" borderId="0" xfId="0" applyFont="1" applyAlignment="1">
      <alignment horizontal="left"/>
    </xf>
    <xf numFmtId="4" fontId="1"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xf>
    <xf numFmtId="170" fontId="1" fillId="0" borderId="0" xfId="0" applyNumberFormat="1" applyFont="1" applyFill="1" applyAlignment="1">
      <alignment/>
    </xf>
    <xf numFmtId="3" fontId="1" fillId="0" borderId="0" xfId="0" applyNumberFormat="1" applyFont="1" applyFill="1" applyAlignment="1">
      <alignment/>
    </xf>
    <xf numFmtId="15" fontId="1" fillId="0" borderId="0" xfId="0" applyNumberFormat="1" applyFont="1" applyFill="1" applyAlignment="1">
      <alignment/>
    </xf>
    <xf numFmtId="9" fontId="1" fillId="0" borderId="0" xfId="0" applyNumberFormat="1" applyFont="1" applyFill="1" applyAlignment="1">
      <alignment/>
    </xf>
    <xf numFmtId="10" fontId="1" fillId="0" borderId="0" xfId="0" applyNumberFormat="1" applyFont="1" applyFill="1" applyAlignment="1">
      <alignment/>
    </xf>
    <xf numFmtId="176" fontId="1" fillId="0" borderId="0" xfId="0" applyNumberFormat="1" applyFont="1" applyFill="1" applyAlignment="1">
      <alignment/>
    </xf>
    <xf numFmtId="166" fontId="1" fillId="0" borderId="0" xfId="0" applyNumberFormat="1" applyFont="1" applyFill="1" applyAlignment="1">
      <alignment/>
    </xf>
    <xf numFmtId="2" fontId="1" fillId="0" borderId="0" xfId="0" applyNumberFormat="1" applyFont="1" applyFill="1" applyAlignment="1">
      <alignment/>
    </xf>
    <xf numFmtId="0" fontId="1" fillId="33" borderId="0" xfId="0" applyFont="1" applyFill="1" applyAlignment="1">
      <alignment/>
    </xf>
    <xf numFmtId="9" fontId="1" fillId="0" borderId="0" xfId="59" applyFont="1" applyFill="1" applyAlignment="1">
      <alignment/>
    </xf>
    <xf numFmtId="0" fontId="1" fillId="0" borderId="0" xfId="0" applyFont="1" applyAlignment="1" quotePrefix="1">
      <alignment/>
    </xf>
    <xf numFmtId="0" fontId="1" fillId="0" borderId="0" xfId="0" applyFont="1" applyFill="1" applyAlignment="1">
      <alignment horizontal="center"/>
    </xf>
    <xf numFmtId="0" fontId="1" fillId="0" borderId="0" xfId="0" applyFont="1" applyAlignment="1" quotePrefix="1">
      <alignment horizontal="left" indent="1"/>
    </xf>
    <xf numFmtId="175" fontId="1" fillId="0" borderId="0" xfId="59" applyNumberFormat="1" applyFont="1" applyFill="1" applyAlignment="1">
      <alignment/>
    </xf>
    <xf numFmtId="175" fontId="1" fillId="0" borderId="0" xfId="0" applyNumberFormat="1" applyFont="1" applyFill="1" applyAlignment="1">
      <alignment/>
    </xf>
    <xf numFmtId="0" fontId="2" fillId="33" borderId="0" xfId="0" applyFont="1" applyFill="1" applyAlignment="1">
      <alignment horizontal="left"/>
    </xf>
    <xf numFmtId="4" fontId="1" fillId="33" borderId="0" xfId="0" applyNumberFormat="1" applyFont="1" applyFill="1" applyAlignment="1">
      <alignment/>
    </xf>
    <xf numFmtId="177" fontId="1" fillId="0" borderId="0" xfId="0" applyNumberFormat="1" applyFont="1" applyFill="1" applyAlignment="1">
      <alignment/>
    </xf>
    <xf numFmtId="166" fontId="2" fillId="0" borderId="0" xfId="0" applyNumberFormat="1" applyFont="1" applyAlignment="1">
      <alignment/>
    </xf>
    <xf numFmtId="0" fontId="1" fillId="0" borderId="0" xfId="0" applyFont="1" applyBorder="1" applyAlignment="1">
      <alignment horizontal="left" indent="1"/>
    </xf>
    <xf numFmtId="0" fontId="1" fillId="0" borderId="0" xfId="0" applyFont="1" applyBorder="1" applyAlignment="1">
      <alignment horizontal="left"/>
    </xf>
    <xf numFmtId="0" fontId="2" fillId="0" borderId="0" xfId="0" applyFont="1" applyBorder="1" applyAlignment="1">
      <alignment horizontal="left"/>
    </xf>
    <xf numFmtId="4" fontId="1" fillId="0" borderId="0" xfId="0" applyNumberFormat="1" applyFont="1" applyAlignment="1">
      <alignment horizontal="right"/>
    </xf>
    <xf numFmtId="9" fontId="1" fillId="0" borderId="0" xfId="0" applyNumberFormat="1" applyFont="1" applyAlignment="1">
      <alignment/>
    </xf>
    <xf numFmtId="169" fontId="1"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dd-ins\FETP.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ThueTN"/>
      <definedName name="tnc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480"/>
  <sheetViews>
    <sheetView tabSelected="1" zoomScalePageLayoutView="0" workbookViewId="0" topLeftCell="A1">
      <pane xSplit="1" ySplit="3" topLeftCell="B212" activePane="bottomRight" state="frozen"/>
      <selection pane="topLeft" activeCell="A1" sqref="A1"/>
      <selection pane="topRight" activeCell="B1" sqref="B1"/>
      <selection pane="bottomLeft" activeCell="A4" sqref="A4"/>
      <selection pane="bottomRight" activeCell="F250" sqref="F250"/>
    </sheetView>
  </sheetViews>
  <sheetFormatPr defaultColWidth="9.140625" defaultRowHeight="12.75"/>
  <cols>
    <col min="1" max="1" width="37.7109375" style="2" customWidth="1"/>
    <col min="2" max="2" width="9.28125" style="18" bestFit="1" customWidth="1"/>
    <col min="3" max="4" width="9.28125" style="2" bestFit="1" customWidth="1"/>
    <col min="5" max="7" width="10.00390625" style="2" bestFit="1" customWidth="1"/>
    <col min="8" max="8" width="9.57421875" style="2" bestFit="1" customWidth="1"/>
    <col min="9" max="16384" width="9.140625" style="2" customWidth="1"/>
  </cols>
  <sheetData>
    <row r="1" spans="1:2" ht="11.25">
      <c r="A1" s="1" t="s">
        <v>2</v>
      </c>
      <c r="B1" s="17"/>
    </row>
    <row r="2" spans="2:37" ht="11.25">
      <c r="B2" s="18">
        <v>2007</v>
      </c>
      <c r="C2" s="2">
        <v>2008</v>
      </c>
      <c r="D2" s="2">
        <v>2009</v>
      </c>
      <c r="E2" s="2">
        <v>2010</v>
      </c>
      <c r="F2" s="2">
        <v>2011</v>
      </c>
      <c r="G2" s="2">
        <v>2012</v>
      </c>
      <c r="H2" s="2">
        <v>2013</v>
      </c>
      <c r="I2" s="2">
        <v>2014</v>
      </c>
      <c r="J2" s="2">
        <v>2015</v>
      </c>
      <c r="K2" s="2">
        <v>2016</v>
      </c>
      <c r="L2" s="2">
        <v>2017</v>
      </c>
      <c r="M2" s="2">
        <v>2018</v>
      </c>
      <c r="N2" s="2">
        <v>2019</v>
      </c>
      <c r="O2" s="2">
        <v>2020</v>
      </c>
      <c r="P2" s="2">
        <v>2021</v>
      </c>
      <c r="Q2" s="2">
        <v>2022</v>
      </c>
      <c r="R2" s="2">
        <v>2023</v>
      </c>
      <c r="S2" s="2">
        <v>2024</v>
      </c>
      <c r="T2" s="2">
        <v>2025</v>
      </c>
      <c r="U2" s="2">
        <v>2026</v>
      </c>
      <c r="V2" s="2">
        <v>2027</v>
      </c>
      <c r="W2" s="2">
        <v>2028</v>
      </c>
      <c r="X2" s="2">
        <v>2029</v>
      </c>
      <c r="Y2" s="2">
        <v>2030</v>
      </c>
      <c r="Z2" s="2">
        <v>2031</v>
      </c>
      <c r="AA2" s="2">
        <v>2032</v>
      </c>
      <c r="AB2" s="2">
        <v>2033</v>
      </c>
      <c r="AC2" s="2">
        <v>2034</v>
      </c>
      <c r="AD2" s="2">
        <v>2035</v>
      </c>
      <c r="AE2" s="2">
        <v>2036</v>
      </c>
      <c r="AF2" s="2">
        <v>2037</v>
      </c>
      <c r="AG2" s="2">
        <v>2038</v>
      </c>
      <c r="AH2" s="2">
        <v>2039</v>
      </c>
      <c r="AI2" s="2">
        <v>2040</v>
      </c>
      <c r="AJ2" s="2">
        <v>2041</v>
      </c>
      <c r="AK2" s="2">
        <v>2042</v>
      </c>
    </row>
    <row r="3" spans="1:37" ht="11.25">
      <c r="A3" s="1" t="s">
        <v>15</v>
      </c>
      <c r="B3" s="18">
        <v>0</v>
      </c>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row>
    <row r="4" spans="1:7" ht="11.25">
      <c r="A4" s="1" t="s">
        <v>16</v>
      </c>
      <c r="B4" s="17"/>
      <c r="C4" s="6"/>
      <c r="D4" s="6"/>
      <c r="E4" s="6"/>
      <c r="F4" s="6"/>
      <c r="G4" s="6"/>
    </row>
    <row r="5" spans="1:37" ht="11.25">
      <c r="A5" s="2" t="s">
        <v>18</v>
      </c>
      <c r="B5" s="23">
        <v>0.1085</v>
      </c>
      <c r="C5" s="6">
        <v>0.199</v>
      </c>
      <c r="D5" s="6">
        <v>0.068</v>
      </c>
      <c r="E5" s="6">
        <v>0.08</v>
      </c>
      <c r="F5" s="6">
        <v>0.07</v>
      </c>
      <c r="G5" s="6">
        <v>0.06</v>
      </c>
      <c r="H5" s="6">
        <v>0.05</v>
      </c>
      <c r="I5" s="6">
        <f aca="true" t="shared" si="0" ref="I5:AK5">$H$5</f>
        <v>0.05</v>
      </c>
      <c r="J5" s="6">
        <f t="shared" si="0"/>
        <v>0.05</v>
      </c>
      <c r="K5" s="6">
        <f t="shared" si="0"/>
        <v>0.05</v>
      </c>
      <c r="L5" s="6">
        <f t="shared" si="0"/>
        <v>0.05</v>
      </c>
      <c r="M5" s="6">
        <f t="shared" si="0"/>
        <v>0.05</v>
      </c>
      <c r="N5" s="6">
        <f t="shared" si="0"/>
        <v>0.05</v>
      </c>
      <c r="O5" s="6">
        <f t="shared" si="0"/>
        <v>0.05</v>
      </c>
      <c r="P5" s="6">
        <f t="shared" si="0"/>
        <v>0.05</v>
      </c>
      <c r="Q5" s="6">
        <f t="shared" si="0"/>
        <v>0.05</v>
      </c>
      <c r="R5" s="6">
        <f t="shared" si="0"/>
        <v>0.05</v>
      </c>
      <c r="S5" s="6">
        <f t="shared" si="0"/>
        <v>0.05</v>
      </c>
      <c r="T5" s="6">
        <f t="shared" si="0"/>
        <v>0.05</v>
      </c>
      <c r="U5" s="6">
        <f t="shared" si="0"/>
        <v>0.05</v>
      </c>
      <c r="V5" s="6">
        <f t="shared" si="0"/>
        <v>0.05</v>
      </c>
      <c r="W5" s="6">
        <f t="shared" si="0"/>
        <v>0.05</v>
      </c>
      <c r="X5" s="6">
        <f t="shared" si="0"/>
        <v>0.05</v>
      </c>
      <c r="Y5" s="6">
        <f t="shared" si="0"/>
        <v>0.05</v>
      </c>
      <c r="Z5" s="6">
        <f t="shared" si="0"/>
        <v>0.05</v>
      </c>
      <c r="AA5" s="6">
        <f t="shared" si="0"/>
        <v>0.05</v>
      </c>
      <c r="AB5" s="6">
        <f t="shared" si="0"/>
        <v>0.05</v>
      </c>
      <c r="AC5" s="6">
        <f t="shared" si="0"/>
        <v>0.05</v>
      </c>
      <c r="AD5" s="6">
        <f t="shared" si="0"/>
        <v>0.05</v>
      </c>
      <c r="AE5" s="6">
        <f t="shared" si="0"/>
        <v>0.05</v>
      </c>
      <c r="AF5" s="6">
        <f t="shared" si="0"/>
        <v>0.05</v>
      </c>
      <c r="AG5" s="6">
        <f t="shared" si="0"/>
        <v>0.05</v>
      </c>
      <c r="AH5" s="6">
        <f t="shared" si="0"/>
        <v>0.05</v>
      </c>
      <c r="AI5" s="6">
        <f t="shared" si="0"/>
        <v>0.05</v>
      </c>
      <c r="AJ5" s="6">
        <f t="shared" si="0"/>
        <v>0.05</v>
      </c>
      <c r="AK5" s="6">
        <f t="shared" si="0"/>
        <v>0.05</v>
      </c>
    </row>
    <row r="6" spans="1:37" ht="11.25">
      <c r="A6" s="2" t="s">
        <v>17</v>
      </c>
      <c r="C6" s="5">
        <v>0.008</v>
      </c>
      <c r="D6" s="5">
        <f aca="true" t="shared" si="1" ref="D6:AK6">$C$6</f>
        <v>0.008</v>
      </c>
      <c r="E6" s="5">
        <f t="shared" si="1"/>
        <v>0.008</v>
      </c>
      <c r="F6" s="5">
        <f t="shared" si="1"/>
        <v>0.008</v>
      </c>
      <c r="G6" s="5">
        <f t="shared" si="1"/>
        <v>0.008</v>
      </c>
      <c r="H6" s="5">
        <f t="shared" si="1"/>
        <v>0.008</v>
      </c>
      <c r="I6" s="5">
        <f t="shared" si="1"/>
        <v>0.008</v>
      </c>
      <c r="J6" s="5">
        <f t="shared" si="1"/>
        <v>0.008</v>
      </c>
      <c r="K6" s="5">
        <f t="shared" si="1"/>
        <v>0.008</v>
      </c>
      <c r="L6" s="5">
        <f t="shared" si="1"/>
        <v>0.008</v>
      </c>
      <c r="M6" s="5">
        <f t="shared" si="1"/>
        <v>0.008</v>
      </c>
      <c r="N6" s="5">
        <f t="shared" si="1"/>
        <v>0.008</v>
      </c>
      <c r="O6" s="5">
        <f t="shared" si="1"/>
        <v>0.008</v>
      </c>
      <c r="P6" s="5">
        <f t="shared" si="1"/>
        <v>0.008</v>
      </c>
      <c r="Q6" s="5">
        <f t="shared" si="1"/>
        <v>0.008</v>
      </c>
      <c r="R6" s="5">
        <f t="shared" si="1"/>
        <v>0.008</v>
      </c>
      <c r="S6" s="5">
        <f t="shared" si="1"/>
        <v>0.008</v>
      </c>
      <c r="T6" s="5">
        <f t="shared" si="1"/>
        <v>0.008</v>
      </c>
      <c r="U6" s="5">
        <f t="shared" si="1"/>
        <v>0.008</v>
      </c>
      <c r="V6" s="5">
        <f t="shared" si="1"/>
        <v>0.008</v>
      </c>
      <c r="W6" s="5">
        <f t="shared" si="1"/>
        <v>0.008</v>
      </c>
      <c r="X6" s="5">
        <f t="shared" si="1"/>
        <v>0.008</v>
      </c>
      <c r="Y6" s="5">
        <f t="shared" si="1"/>
        <v>0.008</v>
      </c>
      <c r="Z6" s="5">
        <f t="shared" si="1"/>
        <v>0.008</v>
      </c>
      <c r="AA6" s="5">
        <f t="shared" si="1"/>
        <v>0.008</v>
      </c>
      <c r="AB6" s="5">
        <f t="shared" si="1"/>
        <v>0.008</v>
      </c>
      <c r="AC6" s="5">
        <f t="shared" si="1"/>
        <v>0.008</v>
      </c>
      <c r="AD6" s="5">
        <f t="shared" si="1"/>
        <v>0.008</v>
      </c>
      <c r="AE6" s="5">
        <f t="shared" si="1"/>
        <v>0.008</v>
      </c>
      <c r="AF6" s="5">
        <f t="shared" si="1"/>
        <v>0.008</v>
      </c>
      <c r="AG6" s="5">
        <f t="shared" si="1"/>
        <v>0.008</v>
      </c>
      <c r="AH6" s="5">
        <f t="shared" si="1"/>
        <v>0.008</v>
      </c>
      <c r="AI6" s="5">
        <f t="shared" si="1"/>
        <v>0.008</v>
      </c>
      <c r="AJ6" s="5">
        <f t="shared" si="1"/>
        <v>0.008</v>
      </c>
      <c r="AK6" s="5">
        <f t="shared" si="1"/>
        <v>0.008</v>
      </c>
    </row>
    <row r="7" spans="1:25" ht="11.25">
      <c r="A7" s="2" t="s">
        <v>19</v>
      </c>
      <c r="B7" s="20">
        <v>16000</v>
      </c>
      <c r="C7" s="7">
        <v>16500</v>
      </c>
      <c r="D7" s="7">
        <v>17800</v>
      </c>
      <c r="E7" s="5"/>
      <c r="F7" s="5"/>
      <c r="G7" s="5"/>
      <c r="H7" s="5"/>
      <c r="I7" s="5"/>
      <c r="J7" s="5"/>
      <c r="K7" s="5"/>
      <c r="L7" s="5"/>
      <c r="M7" s="5"/>
      <c r="N7" s="5"/>
      <c r="O7" s="5"/>
      <c r="P7" s="5"/>
      <c r="Q7" s="5"/>
      <c r="R7" s="5"/>
      <c r="S7" s="5"/>
      <c r="T7" s="5"/>
      <c r="U7" s="5"/>
      <c r="V7" s="5"/>
      <c r="W7" s="5"/>
      <c r="X7" s="5"/>
      <c r="Y7" s="5"/>
    </row>
    <row r="8" spans="1:14" ht="11.25">
      <c r="A8" s="1" t="s">
        <v>24</v>
      </c>
      <c r="B8" s="16"/>
      <c r="C8" s="12"/>
      <c r="D8" s="12"/>
      <c r="E8" s="12"/>
      <c r="F8" s="12"/>
      <c r="G8" s="12"/>
      <c r="H8" s="12"/>
      <c r="I8" s="12"/>
      <c r="J8" s="12"/>
      <c r="K8" s="12"/>
      <c r="L8" s="12"/>
      <c r="M8" s="12"/>
      <c r="N8" s="12"/>
    </row>
    <row r="9" spans="1:14" ht="11.25">
      <c r="A9" s="2" t="s">
        <v>22</v>
      </c>
      <c r="B9" s="16"/>
      <c r="C9" s="12"/>
      <c r="D9" s="12"/>
      <c r="E9" s="12"/>
      <c r="F9" s="12"/>
      <c r="G9" s="12"/>
      <c r="H9" s="12"/>
      <c r="I9" s="12"/>
      <c r="J9" s="12"/>
      <c r="K9" s="12"/>
      <c r="L9" s="12"/>
      <c r="M9" s="12"/>
      <c r="N9" s="12"/>
    </row>
    <row r="10" spans="1:15" ht="11.25">
      <c r="A10" s="11" t="s">
        <v>3</v>
      </c>
      <c r="B10" s="16"/>
      <c r="C10" s="12">
        <v>0</v>
      </c>
      <c r="D10" s="12">
        <v>0.97</v>
      </c>
      <c r="E10" s="12">
        <v>2.92</v>
      </c>
      <c r="F10" s="12">
        <v>2.92</v>
      </c>
      <c r="G10" s="12">
        <v>2.92</v>
      </c>
      <c r="H10" s="12"/>
      <c r="I10" s="12"/>
      <c r="J10" s="12"/>
      <c r="K10" s="12"/>
      <c r="L10" s="12"/>
      <c r="M10" s="12"/>
      <c r="N10" s="12"/>
      <c r="O10" s="12"/>
    </row>
    <row r="11" spans="1:14" ht="11.25">
      <c r="A11" s="11" t="s">
        <v>4</v>
      </c>
      <c r="B11" s="16"/>
      <c r="C11" s="12">
        <v>3.02</v>
      </c>
      <c r="D11" s="12">
        <v>4.54</v>
      </c>
      <c r="E11" s="12">
        <v>0</v>
      </c>
      <c r="F11" s="12">
        <v>0</v>
      </c>
      <c r="G11" s="12">
        <v>0</v>
      </c>
      <c r="H11" s="12"/>
      <c r="I11" s="12"/>
      <c r="J11" s="12"/>
      <c r="K11" s="12"/>
      <c r="L11" s="12"/>
      <c r="M11" s="12"/>
      <c r="N11" s="12"/>
    </row>
    <row r="12" spans="1:14" ht="11.25">
      <c r="A12" s="11" t="s">
        <v>5</v>
      </c>
      <c r="B12" s="16"/>
      <c r="C12" s="12">
        <v>0.31</v>
      </c>
      <c r="D12" s="12">
        <v>0.31</v>
      </c>
      <c r="E12" s="12">
        <v>0.42</v>
      </c>
      <c r="F12" s="12">
        <v>0</v>
      </c>
      <c r="G12" s="12">
        <v>0</v>
      </c>
      <c r="H12" s="12"/>
      <c r="I12" s="12"/>
      <c r="J12" s="12"/>
      <c r="K12" s="12"/>
      <c r="L12" s="12"/>
      <c r="M12" s="12"/>
      <c r="N12" s="12"/>
    </row>
    <row r="13" spans="1:14" ht="11.25">
      <c r="A13" s="11" t="s">
        <v>6</v>
      </c>
      <c r="B13" s="16"/>
      <c r="C13" s="12">
        <v>0</v>
      </c>
      <c r="D13" s="12">
        <v>0</v>
      </c>
      <c r="E13" s="12">
        <v>0</v>
      </c>
      <c r="F13" s="12">
        <v>0</v>
      </c>
      <c r="G13" s="12">
        <v>0</v>
      </c>
      <c r="H13" s="12"/>
      <c r="I13" s="12"/>
      <c r="J13" s="12"/>
      <c r="K13" s="12"/>
      <c r="L13" s="12"/>
      <c r="M13" s="12"/>
      <c r="N13" s="12"/>
    </row>
    <row r="14" spans="1:14" ht="11.25">
      <c r="A14" s="11" t="s">
        <v>7</v>
      </c>
      <c r="B14" s="16"/>
      <c r="C14" s="12">
        <v>1.19</v>
      </c>
      <c r="D14" s="12">
        <v>1.79</v>
      </c>
      <c r="E14" s="12">
        <v>3.58</v>
      </c>
      <c r="F14" s="12">
        <v>3.58</v>
      </c>
      <c r="G14" s="12">
        <v>1.79</v>
      </c>
      <c r="H14" s="12"/>
      <c r="I14" s="12"/>
      <c r="J14" s="12"/>
      <c r="K14" s="12"/>
      <c r="L14" s="12"/>
      <c r="M14" s="12"/>
      <c r="N14" s="12"/>
    </row>
    <row r="15" spans="1:14" ht="11.25">
      <c r="A15" s="11" t="s">
        <v>8</v>
      </c>
      <c r="B15" s="16"/>
      <c r="C15" s="12">
        <v>0</v>
      </c>
      <c r="D15" s="12">
        <v>0</v>
      </c>
      <c r="E15" s="12">
        <v>0</v>
      </c>
      <c r="F15" s="12">
        <v>0</v>
      </c>
      <c r="G15" s="12">
        <v>0</v>
      </c>
      <c r="H15" s="12"/>
      <c r="I15" s="12"/>
      <c r="J15" s="12"/>
      <c r="K15" s="12"/>
      <c r="L15" s="12"/>
      <c r="M15" s="12"/>
      <c r="N15" s="12"/>
    </row>
    <row r="16" spans="1:14" ht="11.25">
      <c r="A16" s="11" t="s">
        <v>9</v>
      </c>
      <c r="B16" s="16"/>
      <c r="C16" s="12">
        <v>1.63</v>
      </c>
      <c r="D16" s="12">
        <v>0</v>
      </c>
      <c r="E16" s="12">
        <v>0</v>
      </c>
      <c r="F16" s="12">
        <v>0</v>
      </c>
      <c r="G16" s="12">
        <v>0</v>
      </c>
      <c r="H16" s="12"/>
      <c r="I16" s="12"/>
      <c r="J16" s="12"/>
      <c r="K16" s="12"/>
      <c r="L16" s="12"/>
      <c r="M16" s="12"/>
      <c r="N16" s="12"/>
    </row>
    <row r="17" spans="1:14" ht="11.25">
      <c r="A17" s="11" t="s">
        <v>25</v>
      </c>
      <c r="B17" s="16"/>
      <c r="C17" s="12">
        <f>SUM(C10:C16)</f>
        <v>6.1499999999999995</v>
      </c>
      <c r="D17" s="12">
        <f>SUM(D10:D16)</f>
        <v>7.609999999999999</v>
      </c>
      <c r="E17" s="12">
        <f>SUM(E10:E16)</f>
        <v>6.92</v>
      </c>
      <c r="F17" s="12">
        <f>SUM(F10:F16)</f>
        <v>6.5</v>
      </c>
      <c r="G17" s="12">
        <f>SUM(G10:G16)</f>
        <v>4.71</v>
      </c>
      <c r="H17" s="12"/>
      <c r="I17" s="12"/>
      <c r="J17" s="12"/>
      <c r="K17" s="12"/>
      <c r="L17" s="12"/>
      <c r="M17" s="12"/>
      <c r="N17" s="12"/>
    </row>
    <row r="18" spans="1:14" ht="11.25">
      <c r="A18" s="2" t="s">
        <v>23</v>
      </c>
      <c r="B18" s="16"/>
      <c r="C18" s="12"/>
      <c r="D18" s="12"/>
      <c r="E18" s="12"/>
      <c r="F18" s="12"/>
      <c r="G18" s="12"/>
      <c r="H18" s="12"/>
      <c r="I18" s="12"/>
      <c r="J18" s="12"/>
      <c r="K18" s="12"/>
      <c r="L18" s="12"/>
      <c r="M18" s="12"/>
      <c r="N18" s="12"/>
    </row>
    <row r="19" spans="1:14" ht="11.25">
      <c r="A19" s="11" t="s">
        <v>3</v>
      </c>
      <c r="B19" s="16"/>
      <c r="C19" s="12">
        <v>0</v>
      </c>
      <c r="D19" s="12">
        <v>753.88</v>
      </c>
      <c r="E19" s="12">
        <v>2261.64</v>
      </c>
      <c r="F19" s="12">
        <v>2261.64</v>
      </c>
      <c r="G19" s="12">
        <v>2261.64</v>
      </c>
      <c r="H19" s="12"/>
      <c r="I19" s="12"/>
      <c r="J19" s="12"/>
      <c r="K19" s="12"/>
      <c r="L19" s="12"/>
      <c r="M19" s="12"/>
      <c r="N19" s="12"/>
    </row>
    <row r="20" spans="1:14" ht="11.25">
      <c r="A20" s="11" t="s">
        <v>4</v>
      </c>
      <c r="B20" s="16"/>
      <c r="C20" s="12">
        <v>798.89</v>
      </c>
      <c r="D20" s="12">
        <v>1198.34</v>
      </c>
      <c r="E20" s="12">
        <v>0</v>
      </c>
      <c r="F20" s="12">
        <v>0</v>
      </c>
      <c r="G20" s="12">
        <v>0</v>
      </c>
      <c r="H20" s="12"/>
      <c r="I20" s="12"/>
      <c r="J20" s="12"/>
      <c r="K20" s="12"/>
      <c r="L20" s="12"/>
      <c r="M20" s="12"/>
      <c r="N20" s="12"/>
    </row>
    <row r="21" spans="1:14" ht="11.25">
      <c r="A21" s="11" t="s">
        <v>5</v>
      </c>
      <c r="B21" s="16"/>
      <c r="C21" s="12">
        <v>94.73</v>
      </c>
      <c r="D21" s="12">
        <v>94.73</v>
      </c>
      <c r="E21" s="12">
        <v>126.3</v>
      </c>
      <c r="F21" s="12">
        <v>0</v>
      </c>
      <c r="G21" s="12">
        <v>0</v>
      </c>
      <c r="H21" s="12"/>
      <c r="I21" s="12"/>
      <c r="J21" s="12"/>
      <c r="K21" s="12"/>
      <c r="L21" s="12"/>
      <c r="M21" s="12"/>
      <c r="N21" s="12"/>
    </row>
    <row r="22" spans="1:14" ht="11.25">
      <c r="A22" s="11" t="s">
        <v>6</v>
      </c>
      <c r="B22" s="16"/>
      <c r="C22" s="12">
        <v>7.43</v>
      </c>
      <c r="D22" s="12">
        <v>0</v>
      </c>
      <c r="E22" s="12">
        <v>0</v>
      </c>
      <c r="F22" s="12">
        <v>0</v>
      </c>
      <c r="G22" s="12">
        <v>0</v>
      </c>
      <c r="H22" s="12"/>
      <c r="I22" s="12"/>
      <c r="J22" s="12"/>
      <c r="K22" s="12"/>
      <c r="L22" s="12"/>
      <c r="M22" s="12"/>
      <c r="N22" s="12"/>
    </row>
    <row r="23" spans="1:14" ht="11.25">
      <c r="A23" s="11" t="s">
        <v>7</v>
      </c>
      <c r="B23" s="16"/>
      <c r="C23" s="12">
        <v>11.64</v>
      </c>
      <c r="D23" s="12">
        <v>17.47</v>
      </c>
      <c r="E23" s="12">
        <v>34.93</v>
      </c>
      <c r="F23" s="12">
        <v>34.93</v>
      </c>
      <c r="G23" s="12">
        <v>17.47</v>
      </c>
      <c r="H23" s="12"/>
      <c r="I23" s="12"/>
      <c r="J23" s="12"/>
      <c r="K23" s="12"/>
      <c r="L23" s="12"/>
      <c r="M23" s="12"/>
      <c r="N23" s="12"/>
    </row>
    <row r="24" spans="1:14" ht="11.25">
      <c r="A24" s="11" t="s">
        <v>8</v>
      </c>
      <c r="B24" s="16"/>
      <c r="C24" s="12">
        <v>32.68</v>
      </c>
      <c r="D24" s="12">
        <v>32.68</v>
      </c>
      <c r="E24" s="12">
        <v>32.68</v>
      </c>
      <c r="F24" s="12">
        <v>32.68</v>
      </c>
      <c r="G24" s="12">
        <v>32.68</v>
      </c>
      <c r="H24" s="12"/>
      <c r="I24" s="12"/>
      <c r="J24" s="12"/>
      <c r="K24" s="12"/>
      <c r="L24" s="12"/>
      <c r="M24" s="12"/>
      <c r="N24" s="12"/>
    </row>
    <row r="25" spans="1:14" ht="11.25">
      <c r="A25" s="11" t="s">
        <v>9</v>
      </c>
      <c r="B25" s="16"/>
      <c r="C25" s="12">
        <v>0</v>
      </c>
      <c r="D25" s="12">
        <v>0</v>
      </c>
      <c r="E25" s="12">
        <v>0</v>
      </c>
      <c r="F25" s="12">
        <v>0</v>
      </c>
      <c r="G25" s="12">
        <v>0</v>
      </c>
      <c r="H25" s="12"/>
      <c r="I25" s="12"/>
      <c r="J25" s="12"/>
      <c r="K25" s="12"/>
      <c r="L25" s="12"/>
      <c r="M25" s="12"/>
      <c r="N25" s="12"/>
    </row>
    <row r="26" spans="1:14" ht="11.25">
      <c r="A26" s="11" t="s">
        <v>25</v>
      </c>
      <c r="B26" s="16"/>
      <c r="C26" s="12">
        <f>SUM(C19:C25)</f>
        <v>945.3699999999999</v>
      </c>
      <c r="D26" s="12">
        <f>SUM(D19:D25)</f>
        <v>2097.0999999999995</v>
      </c>
      <c r="E26" s="12">
        <f>SUM(E19:E25)</f>
        <v>2455.5499999999997</v>
      </c>
      <c r="F26" s="12">
        <f>SUM(F19:F25)</f>
        <v>2329.2499999999995</v>
      </c>
      <c r="G26" s="12">
        <f>SUM(G19:G25)</f>
        <v>2311.7899999999995</v>
      </c>
      <c r="H26" s="12"/>
      <c r="I26" s="12"/>
      <c r="J26" s="12"/>
      <c r="K26" s="12"/>
      <c r="L26" s="12"/>
      <c r="M26" s="12"/>
      <c r="N26" s="12"/>
    </row>
    <row r="27" spans="1:7" ht="11.25">
      <c r="A27" s="1" t="s">
        <v>14</v>
      </c>
      <c r="B27" s="16"/>
      <c r="D27" s="10"/>
      <c r="E27" s="10"/>
      <c r="F27" s="10"/>
      <c r="G27" s="10"/>
    </row>
    <row r="28" spans="1:7" ht="11.25">
      <c r="A28" s="2" t="s">
        <v>28</v>
      </c>
      <c r="C28" s="12"/>
      <c r="D28" s="10"/>
      <c r="E28" s="10"/>
      <c r="F28" s="10"/>
      <c r="G28" s="10"/>
    </row>
    <row r="29" spans="1:6" ht="11.25">
      <c r="A29" s="2" t="s">
        <v>12</v>
      </c>
      <c r="B29" s="19"/>
      <c r="C29" s="3"/>
      <c r="D29" s="3"/>
      <c r="E29" s="3"/>
      <c r="F29" s="3"/>
    </row>
    <row r="30" spans="1:14" ht="11.25">
      <c r="A30" s="11" t="s">
        <v>3</v>
      </c>
      <c r="B30" s="36">
        <f aca="true" t="shared" si="2" ref="B30:B37">SUM(C30:G30)</f>
        <v>133.514</v>
      </c>
      <c r="C30" s="10">
        <v>0</v>
      </c>
      <c r="D30" s="10">
        <v>13.348</v>
      </c>
      <c r="E30" s="10">
        <v>40.055</v>
      </c>
      <c r="F30" s="10">
        <v>40.056</v>
      </c>
      <c r="G30" s="10">
        <v>40.055</v>
      </c>
      <c r="I30" s="36"/>
      <c r="J30" s="10"/>
      <c r="K30" s="10"/>
      <c r="L30" s="10"/>
      <c r="M30" s="10"/>
      <c r="N30" s="10"/>
    </row>
    <row r="31" spans="1:14" ht="11.25">
      <c r="A31" s="11" t="s">
        <v>4</v>
      </c>
      <c r="B31" s="36">
        <f t="shared" si="2"/>
        <v>151.919</v>
      </c>
      <c r="C31" s="10">
        <v>61.097</v>
      </c>
      <c r="D31" s="10">
        <v>90.822</v>
      </c>
      <c r="E31" s="10">
        <v>0</v>
      </c>
      <c r="F31" s="10">
        <v>0</v>
      </c>
      <c r="G31" s="10">
        <v>0</v>
      </c>
      <c r="I31" s="36"/>
      <c r="J31" s="10"/>
      <c r="K31" s="10"/>
      <c r="L31" s="10"/>
      <c r="M31" s="10"/>
      <c r="N31" s="10"/>
    </row>
    <row r="32" spans="1:14" ht="11.25">
      <c r="A32" s="11" t="s">
        <v>5</v>
      </c>
      <c r="B32" s="36">
        <f t="shared" si="2"/>
        <v>23.915</v>
      </c>
      <c r="C32" s="10">
        <v>7.196</v>
      </c>
      <c r="D32" s="10">
        <v>7.13</v>
      </c>
      <c r="E32" s="10">
        <v>9.589</v>
      </c>
      <c r="F32" s="10">
        <v>0</v>
      </c>
      <c r="G32" s="10">
        <v>0</v>
      </c>
      <c r="I32" s="36"/>
      <c r="J32" s="10"/>
      <c r="K32" s="10"/>
      <c r="L32" s="10"/>
      <c r="M32" s="10"/>
      <c r="N32" s="10"/>
    </row>
    <row r="33" spans="1:14" ht="11.25">
      <c r="A33" s="11" t="s">
        <v>6</v>
      </c>
      <c r="B33" s="36">
        <f t="shared" si="2"/>
        <v>0</v>
      </c>
      <c r="C33" s="10">
        <v>0</v>
      </c>
      <c r="D33" s="10">
        <v>0</v>
      </c>
      <c r="E33" s="10">
        <v>0</v>
      </c>
      <c r="F33" s="10">
        <v>0</v>
      </c>
      <c r="G33" s="10">
        <v>0</v>
      </c>
      <c r="I33" s="36"/>
      <c r="J33" s="10"/>
      <c r="K33" s="10"/>
      <c r="L33" s="10"/>
      <c r="M33" s="10"/>
      <c r="N33" s="10"/>
    </row>
    <row r="34" spans="1:14" ht="11.25">
      <c r="A34" s="11" t="s">
        <v>7</v>
      </c>
      <c r="B34" s="36">
        <f t="shared" si="2"/>
        <v>13.933</v>
      </c>
      <c r="C34" s="10">
        <v>1.378</v>
      </c>
      <c r="D34" s="10">
        <v>2.068</v>
      </c>
      <c r="E34" s="10">
        <v>4.168</v>
      </c>
      <c r="F34" s="10">
        <v>4.201</v>
      </c>
      <c r="G34" s="10">
        <v>2.118</v>
      </c>
      <c r="I34" s="36"/>
      <c r="J34" s="10"/>
      <c r="K34" s="10"/>
      <c r="L34" s="10"/>
      <c r="M34" s="10"/>
      <c r="N34" s="10"/>
    </row>
    <row r="35" spans="1:14" ht="11.25">
      <c r="A35" s="11" t="s">
        <v>8</v>
      </c>
      <c r="B35" s="36">
        <f t="shared" si="2"/>
        <v>11.892999999999999</v>
      </c>
      <c r="C35" s="10">
        <v>2.375</v>
      </c>
      <c r="D35" s="10">
        <v>2.351</v>
      </c>
      <c r="E35" s="10">
        <v>2.37</v>
      </c>
      <c r="F35" s="10">
        <v>2.389</v>
      </c>
      <c r="G35" s="10">
        <v>2.408</v>
      </c>
      <c r="I35" s="36"/>
      <c r="J35" s="10"/>
      <c r="K35" s="10"/>
      <c r="L35" s="10"/>
      <c r="M35" s="10"/>
      <c r="N35" s="10"/>
    </row>
    <row r="36" spans="1:14" ht="11.25">
      <c r="A36" s="11" t="s">
        <v>9</v>
      </c>
      <c r="B36" s="36">
        <f t="shared" si="2"/>
        <v>0.617</v>
      </c>
      <c r="C36" s="10">
        <v>0.617</v>
      </c>
      <c r="D36" s="10">
        <v>0</v>
      </c>
      <c r="E36" s="10">
        <v>0</v>
      </c>
      <c r="F36" s="10">
        <v>0</v>
      </c>
      <c r="G36" s="10">
        <v>0</v>
      </c>
      <c r="I36" s="36"/>
      <c r="J36" s="10"/>
      <c r="K36" s="10"/>
      <c r="L36" s="10"/>
      <c r="M36" s="10"/>
      <c r="N36" s="10"/>
    </row>
    <row r="37" spans="1:14" ht="11.25">
      <c r="A37" s="11" t="s">
        <v>25</v>
      </c>
      <c r="B37" s="36">
        <f t="shared" si="2"/>
        <v>335.791</v>
      </c>
      <c r="C37" s="10">
        <f>SUM(C30:C36)</f>
        <v>72.66300000000001</v>
      </c>
      <c r="D37" s="10">
        <f>SUM(D30:D36)</f>
        <v>115.719</v>
      </c>
      <c r="E37" s="10">
        <f>SUM(E30:E36)</f>
        <v>56.181999999999995</v>
      </c>
      <c r="F37" s="10">
        <f>SUM(F30:F36)</f>
        <v>46.646</v>
      </c>
      <c r="G37" s="10">
        <f>SUM(G30:G36)</f>
        <v>44.581</v>
      </c>
      <c r="I37" s="36"/>
      <c r="J37" s="10"/>
      <c r="K37" s="10"/>
      <c r="L37" s="10"/>
      <c r="M37" s="10"/>
      <c r="N37" s="10"/>
    </row>
    <row r="38" spans="1:14" ht="11.25">
      <c r="A38" s="2" t="s">
        <v>13</v>
      </c>
      <c r="B38" s="36"/>
      <c r="C38" s="10"/>
      <c r="D38" s="10"/>
      <c r="E38" s="10"/>
      <c r="F38" s="10"/>
      <c r="G38" s="10"/>
      <c r="I38" s="10"/>
      <c r="J38" s="10"/>
      <c r="K38" s="10"/>
      <c r="L38" s="10"/>
      <c r="M38" s="10"/>
      <c r="N38" s="10"/>
    </row>
    <row r="39" spans="1:14" ht="11.25">
      <c r="A39" s="11" t="s">
        <v>3</v>
      </c>
      <c r="B39" s="36">
        <f aca="true" t="shared" si="3" ref="B39:B46">SUM(C39:G39)</f>
        <v>426.709</v>
      </c>
      <c r="C39" s="10">
        <v>0</v>
      </c>
      <c r="D39" s="10">
        <v>41.872</v>
      </c>
      <c r="E39" s="10">
        <v>126.94</v>
      </c>
      <c r="F39" s="10">
        <v>128.275</v>
      </c>
      <c r="G39" s="10">
        <v>129.622</v>
      </c>
      <c r="I39" s="10"/>
      <c r="J39" s="10"/>
      <c r="K39" s="10"/>
      <c r="L39" s="10"/>
      <c r="M39" s="10"/>
      <c r="N39" s="10"/>
    </row>
    <row r="40" spans="1:14" ht="11.25">
      <c r="A40" s="11" t="s">
        <v>4</v>
      </c>
      <c r="B40" s="36">
        <f t="shared" si="3"/>
        <v>0</v>
      </c>
      <c r="C40" s="10">
        <v>0</v>
      </c>
      <c r="D40" s="10">
        <v>0</v>
      </c>
      <c r="E40" s="10">
        <v>0</v>
      </c>
      <c r="F40" s="10">
        <v>0</v>
      </c>
      <c r="G40" s="10">
        <v>0</v>
      </c>
      <c r="I40" s="10"/>
      <c r="J40" s="10"/>
      <c r="K40" s="10"/>
      <c r="L40" s="10"/>
      <c r="M40" s="10"/>
      <c r="N40" s="10"/>
    </row>
    <row r="41" spans="1:14" ht="11.25">
      <c r="A41" s="11" t="s">
        <v>5</v>
      </c>
      <c r="B41" s="36">
        <f t="shared" si="3"/>
        <v>0</v>
      </c>
      <c r="C41" s="10">
        <v>0</v>
      </c>
      <c r="D41" s="10">
        <v>0</v>
      </c>
      <c r="E41" s="10">
        <v>0</v>
      </c>
      <c r="F41" s="10">
        <v>0</v>
      </c>
      <c r="G41" s="10">
        <v>0</v>
      </c>
      <c r="I41" s="10"/>
      <c r="J41" s="10"/>
      <c r="K41" s="10"/>
      <c r="L41" s="10"/>
      <c r="M41" s="10"/>
      <c r="N41" s="10"/>
    </row>
    <row r="42" spans="1:14" ht="11.25">
      <c r="A42" s="11" t="s">
        <v>6</v>
      </c>
      <c r="B42" s="36">
        <f t="shared" si="3"/>
        <v>0</v>
      </c>
      <c r="C42" s="10">
        <v>0</v>
      </c>
      <c r="D42" s="10">
        <v>0</v>
      </c>
      <c r="E42" s="10">
        <v>0</v>
      </c>
      <c r="F42" s="10">
        <v>0</v>
      </c>
      <c r="G42" s="10">
        <v>0</v>
      </c>
      <c r="I42" s="10"/>
      <c r="J42" s="10"/>
      <c r="K42" s="10"/>
      <c r="L42" s="10"/>
      <c r="M42" s="10"/>
      <c r="N42" s="10"/>
    </row>
    <row r="43" spans="1:14" ht="11.25">
      <c r="A43" s="11" t="s">
        <v>7</v>
      </c>
      <c r="B43" s="36">
        <f t="shared" si="3"/>
        <v>6.787</v>
      </c>
      <c r="C43" s="10">
        <v>0.667</v>
      </c>
      <c r="D43" s="10">
        <v>1.008</v>
      </c>
      <c r="E43" s="10">
        <v>2.032</v>
      </c>
      <c r="F43" s="10">
        <v>2.048</v>
      </c>
      <c r="G43" s="10">
        <v>1.032</v>
      </c>
      <c r="I43" s="10"/>
      <c r="J43" s="10"/>
      <c r="K43" s="10"/>
      <c r="L43" s="10"/>
      <c r="M43" s="10"/>
      <c r="N43" s="10"/>
    </row>
    <row r="44" spans="1:14" ht="11.25">
      <c r="A44" s="11" t="s">
        <v>8</v>
      </c>
      <c r="B44" s="36">
        <f t="shared" si="3"/>
        <v>0</v>
      </c>
      <c r="C44" s="10">
        <v>0</v>
      </c>
      <c r="D44" s="10">
        <v>0</v>
      </c>
      <c r="E44" s="10">
        <v>0</v>
      </c>
      <c r="F44" s="10">
        <v>0</v>
      </c>
      <c r="G44" s="10">
        <v>0</v>
      </c>
      <c r="I44" s="10"/>
      <c r="J44" s="10"/>
      <c r="K44" s="10"/>
      <c r="L44" s="10"/>
      <c r="M44" s="10"/>
      <c r="N44" s="10"/>
    </row>
    <row r="45" spans="1:14" ht="11.25">
      <c r="A45" s="11" t="s">
        <v>9</v>
      </c>
      <c r="B45" s="36">
        <f t="shared" si="3"/>
        <v>1.026</v>
      </c>
      <c r="C45" s="10">
        <v>1.026</v>
      </c>
      <c r="D45" s="10">
        <v>0</v>
      </c>
      <c r="E45" s="10">
        <v>0</v>
      </c>
      <c r="F45" s="10">
        <v>0</v>
      </c>
      <c r="G45" s="10">
        <v>0</v>
      </c>
      <c r="I45" s="10"/>
      <c r="J45" s="10"/>
      <c r="K45" s="10"/>
      <c r="L45" s="10"/>
      <c r="M45" s="10"/>
      <c r="N45" s="10"/>
    </row>
    <row r="46" spans="1:14" ht="11.25">
      <c r="A46" s="11" t="s">
        <v>25</v>
      </c>
      <c r="B46" s="36">
        <f t="shared" si="3"/>
        <v>434.52200000000005</v>
      </c>
      <c r="C46" s="10">
        <f>SUM(C39:C45)</f>
        <v>1.693</v>
      </c>
      <c r="D46" s="10">
        <f>SUM(D39:D45)</f>
        <v>42.88</v>
      </c>
      <c r="E46" s="10">
        <f>SUM(E39:E45)</f>
        <v>128.972</v>
      </c>
      <c r="F46" s="10">
        <f>SUM(F39:F45)</f>
        <v>130.323</v>
      </c>
      <c r="G46" s="10">
        <f>SUM(G39:G45)</f>
        <v>130.65400000000002</v>
      </c>
      <c r="I46" s="10"/>
      <c r="J46" s="10"/>
      <c r="K46" s="10"/>
      <c r="L46" s="10"/>
      <c r="M46" s="10"/>
      <c r="N46" s="10"/>
    </row>
    <row r="47" spans="1:7" ht="11.25">
      <c r="A47" s="11"/>
      <c r="B47" s="36"/>
      <c r="C47" s="10"/>
      <c r="D47" s="36"/>
      <c r="E47" s="10"/>
      <c r="F47" s="10"/>
      <c r="G47" s="10"/>
    </row>
    <row r="48" spans="1:14" ht="11.25">
      <c r="A48" s="13" t="s">
        <v>29</v>
      </c>
      <c r="C48" s="12"/>
      <c r="D48" s="12"/>
      <c r="E48" s="12"/>
      <c r="F48" s="12"/>
      <c r="G48" s="12"/>
      <c r="J48" s="10"/>
      <c r="K48" s="10"/>
      <c r="L48" s="10"/>
      <c r="M48" s="10"/>
      <c r="N48" s="10"/>
    </row>
    <row r="49" spans="1:14" ht="11.25">
      <c r="A49" s="2" t="s">
        <v>133</v>
      </c>
      <c r="B49" s="36">
        <f>B37</f>
        <v>335.791</v>
      </c>
      <c r="E49" s="12"/>
      <c r="F49" s="12"/>
      <c r="G49" s="12"/>
      <c r="J49" s="10"/>
      <c r="K49" s="10"/>
      <c r="L49" s="10"/>
      <c r="M49" s="10"/>
      <c r="N49" s="10"/>
    </row>
    <row r="50" spans="1:14" ht="11.25">
      <c r="A50" s="2" t="s">
        <v>38</v>
      </c>
      <c r="B50" s="20">
        <v>25</v>
      </c>
      <c r="E50" s="12"/>
      <c r="F50" s="12"/>
      <c r="G50" s="12"/>
      <c r="J50" s="10"/>
      <c r="K50" s="10"/>
      <c r="L50" s="10"/>
      <c r="M50" s="10"/>
      <c r="N50" s="10"/>
    </row>
    <row r="51" spans="1:14" ht="11.25">
      <c r="A51" s="2" t="s">
        <v>39</v>
      </c>
      <c r="B51" s="18">
        <v>5</v>
      </c>
      <c r="E51" s="12"/>
      <c r="F51" s="12"/>
      <c r="G51" s="12"/>
      <c r="J51" s="10"/>
      <c r="K51" s="10"/>
      <c r="L51" s="10"/>
      <c r="M51" s="10"/>
      <c r="N51" s="10"/>
    </row>
    <row r="52" spans="1:14" ht="11.25">
      <c r="A52" s="2" t="s">
        <v>40</v>
      </c>
      <c r="B52" s="20">
        <v>1</v>
      </c>
      <c r="E52" s="12"/>
      <c r="F52" s="12"/>
      <c r="G52" s="12"/>
      <c r="J52" s="10"/>
      <c r="K52" s="10"/>
      <c r="L52" s="10"/>
      <c r="M52" s="10"/>
      <c r="N52" s="10"/>
    </row>
    <row r="53" spans="1:14" ht="11.25">
      <c r="A53" s="2" t="s">
        <v>41</v>
      </c>
      <c r="B53" s="20">
        <f>COUPNUM(B54,B55,B52,1)+1</f>
        <v>20</v>
      </c>
      <c r="E53" s="12"/>
      <c r="F53" s="12"/>
      <c r="G53" s="12"/>
      <c r="J53" s="10"/>
      <c r="K53" s="10"/>
      <c r="L53" s="10"/>
      <c r="M53" s="10"/>
      <c r="N53" s="10"/>
    </row>
    <row r="54" spans="1:14" ht="11.25">
      <c r="A54" s="2" t="s">
        <v>42</v>
      </c>
      <c r="B54" s="21">
        <v>41639</v>
      </c>
      <c r="E54" s="12"/>
      <c r="F54" s="12"/>
      <c r="G54" s="12"/>
      <c r="J54" s="10"/>
      <c r="K54" s="10"/>
      <c r="L54" s="10"/>
      <c r="M54" s="10"/>
      <c r="N54" s="10"/>
    </row>
    <row r="55" spans="1:10" ht="11.25">
      <c r="A55" s="2" t="s">
        <v>43</v>
      </c>
      <c r="B55" s="21">
        <v>48579</v>
      </c>
      <c r="J55" s="10"/>
    </row>
    <row r="56" spans="1:2" ht="11.25">
      <c r="A56" s="2" t="s">
        <v>44</v>
      </c>
      <c r="B56" s="18">
        <v>2008</v>
      </c>
    </row>
    <row r="57" spans="1:2" ht="11.25">
      <c r="A57" s="2" t="s">
        <v>0</v>
      </c>
      <c r="B57" s="22">
        <v>0.1</v>
      </c>
    </row>
    <row r="58" spans="1:27" ht="11.25">
      <c r="A58" s="2" t="s">
        <v>31</v>
      </c>
      <c r="B58" s="23">
        <v>0.0416</v>
      </c>
      <c r="C58" s="5"/>
      <c r="D58" s="5"/>
      <c r="E58" s="5"/>
      <c r="F58" s="5"/>
      <c r="G58" s="5"/>
      <c r="H58" s="5"/>
      <c r="I58" s="5"/>
      <c r="J58" s="5"/>
      <c r="K58" s="5"/>
      <c r="L58" s="5"/>
      <c r="M58" s="5"/>
      <c r="N58" s="5"/>
      <c r="O58" s="5"/>
      <c r="P58" s="5"/>
      <c r="Q58" s="5"/>
      <c r="R58" s="5"/>
      <c r="S58" s="5"/>
      <c r="T58" s="5"/>
      <c r="U58" s="5"/>
      <c r="V58" s="5"/>
      <c r="W58" s="5"/>
      <c r="X58" s="5"/>
      <c r="Y58" s="5"/>
      <c r="Z58" s="5"/>
      <c r="AA58" s="5"/>
    </row>
    <row r="59" spans="1:2" ht="11.25">
      <c r="A59" s="2" t="s">
        <v>30</v>
      </c>
      <c r="B59" s="23">
        <v>0.002</v>
      </c>
    </row>
    <row r="60" spans="1:2" ht="11.25">
      <c r="A60" s="13" t="s">
        <v>45</v>
      </c>
      <c r="B60" s="16"/>
    </row>
    <row r="61" spans="1:2" ht="11.25">
      <c r="A61" s="2" t="s">
        <v>133</v>
      </c>
      <c r="B61" s="36">
        <f>B46</f>
        <v>434.52200000000005</v>
      </c>
    </row>
    <row r="62" spans="1:2" ht="11.25">
      <c r="A62" s="2" t="s">
        <v>38</v>
      </c>
      <c r="B62" s="20">
        <v>30</v>
      </c>
    </row>
    <row r="63" spans="1:2" ht="11.25">
      <c r="A63" s="2" t="s">
        <v>39</v>
      </c>
      <c r="B63" s="18">
        <v>10</v>
      </c>
    </row>
    <row r="64" spans="1:2" ht="11.25">
      <c r="A64" s="2" t="s">
        <v>40</v>
      </c>
      <c r="B64" s="20">
        <v>1</v>
      </c>
    </row>
    <row r="65" spans="1:2" ht="11.25">
      <c r="A65" s="2" t="s">
        <v>41</v>
      </c>
      <c r="B65" s="20">
        <f>COUPNUM(B66,B67,B64,1)+1</f>
        <v>20</v>
      </c>
    </row>
    <row r="66" spans="1:2" ht="11.25">
      <c r="A66" s="2" t="s">
        <v>42</v>
      </c>
      <c r="B66" s="21">
        <v>43465</v>
      </c>
    </row>
    <row r="67" spans="1:2" ht="11.25">
      <c r="A67" s="2" t="s">
        <v>43</v>
      </c>
      <c r="B67" s="21">
        <v>50405</v>
      </c>
    </row>
    <row r="68" spans="1:2" ht="11.25">
      <c r="A68" s="2" t="s">
        <v>44</v>
      </c>
      <c r="B68" s="18">
        <v>2008</v>
      </c>
    </row>
    <row r="69" spans="1:2" ht="11.25">
      <c r="A69" s="2" t="s">
        <v>0</v>
      </c>
      <c r="B69" s="22">
        <v>0.1</v>
      </c>
    </row>
    <row r="70" spans="1:2" ht="11.25">
      <c r="A70" s="2" t="s">
        <v>32</v>
      </c>
      <c r="B70" s="23">
        <v>0.014</v>
      </c>
    </row>
    <row r="71" spans="1:14" ht="11.25">
      <c r="A71" s="13" t="s">
        <v>58</v>
      </c>
      <c r="B71" s="16"/>
      <c r="C71" s="12"/>
      <c r="D71" s="12"/>
      <c r="E71" s="12"/>
      <c r="F71" s="12"/>
      <c r="G71" s="12"/>
      <c r="H71" s="12"/>
      <c r="I71" s="12"/>
      <c r="J71" s="12"/>
      <c r="K71" s="12"/>
      <c r="L71" s="12"/>
      <c r="M71" s="12"/>
      <c r="N71" s="12"/>
    </row>
    <row r="72" spans="1:14" ht="11.25">
      <c r="A72" s="15" t="s">
        <v>57</v>
      </c>
      <c r="B72" s="20">
        <v>30</v>
      </c>
      <c r="C72" s="12"/>
      <c r="D72" s="12"/>
      <c r="E72" s="12"/>
      <c r="F72" s="12"/>
      <c r="G72" s="12"/>
      <c r="H72" s="12"/>
      <c r="I72" s="12"/>
      <c r="J72" s="12"/>
      <c r="K72" s="12"/>
      <c r="L72" s="12"/>
      <c r="M72" s="12"/>
      <c r="N72" s="12"/>
    </row>
    <row r="73" spans="1:14" ht="11.25">
      <c r="A73" s="13" t="s">
        <v>61</v>
      </c>
      <c r="B73" s="24">
        <f>B74+B75</f>
        <v>55</v>
      </c>
      <c r="C73" s="12"/>
      <c r="D73" s="12"/>
      <c r="E73" s="12"/>
      <c r="F73" s="12"/>
      <c r="G73" s="12"/>
      <c r="H73" s="12"/>
      <c r="I73" s="12"/>
      <c r="J73" s="12"/>
      <c r="K73" s="12"/>
      <c r="L73" s="12"/>
      <c r="M73" s="12"/>
      <c r="N73" s="12"/>
    </row>
    <row r="74" spans="1:14" ht="11.25">
      <c r="A74" s="15" t="s">
        <v>60</v>
      </c>
      <c r="B74" s="24">
        <v>23.9</v>
      </c>
      <c r="C74" s="12"/>
      <c r="D74" s="12"/>
      <c r="E74" s="12"/>
      <c r="F74" s="12"/>
      <c r="G74" s="12"/>
      <c r="H74" s="12"/>
      <c r="I74" s="12"/>
      <c r="J74" s="12"/>
      <c r="K74" s="12"/>
      <c r="L74" s="12"/>
      <c r="M74" s="12"/>
      <c r="N74" s="12"/>
    </row>
    <row r="75" spans="1:14" ht="11.25">
      <c r="A75" s="15" t="s">
        <v>62</v>
      </c>
      <c r="B75" s="24">
        <f>55-23.9</f>
        <v>31.1</v>
      </c>
      <c r="C75" s="12"/>
      <c r="D75" s="12"/>
      <c r="E75" s="12"/>
      <c r="F75" s="12"/>
      <c r="G75" s="12"/>
      <c r="H75" s="12"/>
      <c r="I75" s="12"/>
      <c r="J75" s="12"/>
      <c r="K75" s="12"/>
      <c r="L75" s="12"/>
      <c r="M75" s="12"/>
      <c r="N75" s="12"/>
    </row>
    <row r="76" spans="1:14" ht="11.25">
      <c r="A76" s="13" t="s">
        <v>59</v>
      </c>
      <c r="B76" s="16"/>
      <c r="C76" s="12"/>
      <c r="D76" s="12"/>
      <c r="E76" s="12"/>
      <c r="F76" s="12"/>
      <c r="G76" s="12"/>
      <c r="H76" s="12"/>
      <c r="I76" s="12"/>
      <c r="J76" s="12"/>
      <c r="K76" s="12"/>
      <c r="L76" s="12"/>
      <c r="M76" s="12"/>
      <c r="N76" s="12"/>
    </row>
    <row r="77" spans="1:14" ht="11.25">
      <c r="A77" s="15" t="s">
        <v>65</v>
      </c>
      <c r="B77" s="16"/>
      <c r="C77" s="12"/>
      <c r="D77" s="41" t="s">
        <v>67</v>
      </c>
      <c r="E77" s="41" t="s">
        <v>68</v>
      </c>
      <c r="F77" s="41" t="s">
        <v>72</v>
      </c>
      <c r="G77" s="41" t="s">
        <v>71</v>
      </c>
      <c r="H77" s="18"/>
      <c r="I77" s="18"/>
      <c r="J77" s="18"/>
      <c r="K77" s="18"/>
      <c r="L77" s="12"/>
      <c r="M77" s="12"/>
      <c r="N77" s="12"/>
    </row>
    <row r="78" spans="1:14" ht="11.25">
      <c r="A78" s="38" t="s">
        <v>63</v>
      </c>
      <c r="B78" s="16"/>
      <c r="C78" s="6"/>
      <c r="D78" s="6">
        <v>0.085</v>
      </c>
      <c r="E78" s="6">
        <v>0.064</v>
      </c>
      <c r="F78" s="6">
        <v>0</v>
      </c>
      <c r="G78" s="6">
        <v>0</v>
      </c>
      <c r="H78" s="7">
        <v>3913</v>
      </c>
      <c r="I78" s="7"/>
      <c r="J78" s="7"/>
      <c r="K78" s="7"/>
      <c r="L78" s="12"/>
      <c r="M78" s="12"/>
      <c r="N78" s="12"/>
    </row>
    <row r="79" spans="1:14" ht="11.25">
      <c r="A79" s="38" t="s">
        <v>134</v>
      </c>
      <c r="B79" s="16"/>
      <c r="C79" s="6"/>
      <c r="D79" s="6">
        <f>$D$78</f>
        <v>0.085</v>
      </c>
      <c r="E79" s="6">
        <f>$E$78</f>
        <v>0.064</v>
      </c>
      <c r="F79" s="6">
        <f>$F$78</f>
        <v>0</v>
      </c>
      <c r="G79" s="6">
        <f>$G$78</f>
        <v>0</v>
      </c>
      <c r="H79" s="7">
        <v>4534</v>
      </c>
      <c r="I79" s="7"/>
      <c r="J79" s="7"/>
      <c r="K79" s="7"/>
      <c r="L79" s="12"/>
      <c r="M79" s="12"/>
      <c r="N79" s="12"/>
    </row>
    <row r="80" spans="1:14" ht="11.25">
      <c r="A80" s="38" t="s">
        <v>135</v>
      </c>
      <c r="B80" s="16"/>
      <c r="C80" s="6"/>
      <c r="D80" s="6">
        <f>$D$78</f>
        <v>0.085</v>
      </c>
      <c r="E80" s="6">
        <f>$E$78</f>
        <v>0.064</v>
      </c>
      <c r="F80" s="6">
        <f>$F$78</f>
        <v>0</v>
      </c>
      <c r="G80" s="6">
        <f>$G$78</f>
        <v>0</v>
      </c>
      <c r="H80" s="7">
        <v>1828</v>
      </c>
      <c r="I80" s="7"/>
      <c r="J80" s="7"/>
      <c r="K80" s="7"/>
      <c r="L80" s="12"/>
      <c r="M80" s="12"/>
      <c r="N80" s="12"/>
    </row>
    <row r="81" spans="1:14" ht="11.25">
      <c r="A81" s="38" t="s">
        <v>136</v>
      </c>
      <c r="B81" s="16"/>
      <c r="C81" s="6"/>
      <c r="D81" s="6">
        <f>$D$78</f>
        <v>0.085</v>
      </c>
      <c r="E81" s="6">
        <f>$E$78</f>
        <v>0.064</v>
      </c>
      <c r="F81" s="6">
        <f>$F$78</f>
        <v>0</v>
      </c>
      <c r="G81" s="6">
        <f>$G$78</f>
        <v>0</v>
      </c>
      <c r="H81" s="7">
        <v>2795</v>
      </c>
      <c r="I81" s="7"/>
      <c r="J81" s="7"/>
      <c r="K81" s="7"/>
      <c r="L81" s="12"/>
      <c r="M81" s="12"/>
      <c r="N81" s="12"/>
    </row>
    <row r="82" spans="1:14" ht="11.25">
      <c r="A82" s="38" t="s">
        <v>137</v>
      </c>
      <c r="B82" s="16"/>
      <c r="C82" s="6"/>
      <c r="D82" s="6">
        <f>$D$78</f>
        <v>0.085</v>
      </c>
      <c r="E82" s="6">
        <f>$E$78</f>
        <v>0.064</v>
      </c>
      <c r="F82" s="6">
        <f>$F$78</f>
        <v>0</v>
      </c>
      <c r="G82" s="6">
        <f>$G$78</f>
        <v>0</v>
      </c>
      <c r="H82" s="7">
        <v>2301</v>
      </c>
      <c r="I82" s="7"/>
      <c r="J82" s="7"/>
      <c r="K82" s="7"/>
      <c r="L82" s="12"/>
      <c r="M82" s="12"/>
      <c r="N82" s="12"/>
    </row>
    <row r="83" spans="1:14" ht="11.25">
      <c r="A83" s="38" t="s">
        <v>138</v>
      </c>
      <c r="B83" s="16"/>
      <c r="C83" s="6"/>
      <c r="D83" s="6">
        <f>$D$78</f>
        <v>0.085</v>
      </c>
      <c r="E83" s="6">
        <f>$E$78</f>
        <v>0.064</v>
      </c>
      <c r="F83" s="6">
        <f>$F$78</f>
        <v>0</v>
      </c>
      <c r="G83" s="6">
        <f>$G$78</f>
        <v>0</v>
      </c>
      <c r="H83" s="7">
        <v>1830</v>
      </c>
      <c r="I83" s="7"/>
      <c r="J83" s="7"/>
      <c r="K83" s="7"/>
      <c r="L83" s="12"/>
      <c r="M83" s="12"/>
      <c r="N83" s="12"/>
    </row>
    <row r="84" spans="1:14" ht="11.25">
      <c r="A84" s="15" t="s">
        <v>66</v>
      </c>
      <c r="B84" s="16"/>
      <c r="C84" s="12"/>
      <c r="D84" s="6"/>
      <c r="E84" s="6"/>
      <c r="F84" s="6"/>
      <c r="G84" s="6"/>
      <c r="H84" s="12"/>
      <c r="I84" s="12"/>
      <c r="J84" s="12"/>
      <c r="K84" s="12"/>
      <c r="L84" s="12"/>
      <c r="M84" s="12"/>
      <c r="N84" s="12"/>
    </row>
    <row r="85" spans="1:14" ht="11.25">
      <c r="A85" s="38" t="s">
        <v>63</v>
      </c>
      <c r="B85" s="16"/>
      <c r="C85" s="6"/>
      <c r="D85" s="6">
        <v>0.081</v>
      </c>
      <c r="E85" s="6">
        <v>0.066</v>
      </c>
      <c r="F85" s="6">
        <v>0.056</v>
      </c>
      <c r="G85" s="6">
        <v>0</v>
      </c>
      <c r="H85" s="7">
        <v>1874</v>
      </c>
      <c r="I85" s="7"/>
      <c r="J85" s="7"/>
      <c r="K85" s="7"/>
      <c r="L85" s="12"/>
      <c r="M85" s="12"/>
      <c r="N85" s="12"/>
    </row>
    <row r="86" spans="1:14" ht="11.25">
      <c r="A86" s="38" t="s">
        <v>134</v>
      </c>
      <c r="B86" s="16"/>
      <c r="C86" s="6"/>
      <c r="D86" s="6">
        <f>$D$85</f>
        <v>0.081</v>
      </c>
      <c r="E86" s="6">
        <f>$E$85</f>
        <v>0.066</v>
      </c>
      <c r="F86" s="6">
        <f>$F$85</f>
        <v>0.056</v>
      </c>
      <c r="G86" s="6">
        <f>$G$85</f>
        <v>0</v>
      </c>
      <c r="H86" s="7">
        <v>2770</v>
      </c>
      <c r="I86" s="7"/>
      <c r="J86" s="7"/>
      <c r="K86" s="7"/>
      <c r="L86" s="12"/>
      <c r="M86" s="12"/>
      <c r="N86" s="12"/>
    </row>
    <row r="87" spans="1:14" ht="11.25">
      <c r="A87" s="38" t="s">
        <v>135</v>
      </c>
      <c r="B87" s="16"/>
      <c r="C87" s="6"/>
      <c r="D87" s="6">
        <f>$D$85</f>
        <v>0.081</v>
      </c>
      <c r="E87" s="6">
        <f>$E$85</f>
        <v>0.066</v>
      </c>
      <c r="F87" s="6">
        <f>$F$85</f>
        <v>0.056</v>
      </c>
      <c r="G87" s="6">
        <f>$G$85</f>
        <v>0</v>
      </c>
      <c r="H87" s="7">
        <v>1273</v>
      </c>
      <c r="I87" s="7"/>
      <c r="J87" s="7"/>
      <c r="K87" s="7"/>
      <c r="L87" s="12"/>
      <c r="M87" s="12"/>
      <c r="N87" s="12"/>
    </row>
    <row r="88" spans="1:14" ht="11.25">
      <c r="A88" s="38" t="s">
        <v>136</v>
      </c>
      <c r="B88" s="16"/>
      <c r="C88" s="6"/>
      <c r="D88" s="6">
        <f>$D$85</f>
        <v>0.081</v>
      </c>
      <c r="E88" s="6">
        <f>$E$85</f>
        <v>0.066</v>
      </c>
      <c r="F88" s="6">
        <f>$F$85</f>
        <v>0.056</v>
      </c>
      <c r="G88" s="6">
        <f>$G$85</f>
        <v>0</v>
      </c>
      <c r="H88" s="7">
        <v>2075</v>
      </c>
      <c r="I88" s="7"/>
      <c r="J88" s="7"/>
      <c r="K88" s="7"/>
      <c r="L88" s="12"/>
      <c r="M88" s="12"/>
      <c r="N88" s="12"/>
    </row>
    <row r="89" spans="1:14" ht="11.25">
      <c r="A89" s="38" t="s">
        <v>137</v>
      </c>
      <c r="B89" s="16"/>
      <c r="C89" s="6"/>
      <c r="D89" s="6">
        <f>$D$85</f>
        <v>0.081</v>
      </c>
      <c r="E89" s="6">
        <f>$E$85</f>
        <v>0.066</v>
      </c>
      <c r="F89" s="6">
        <f>$F$85</f>
        <v>0.056</v>
      </c>
      <c r="G89" s="6">
        <f>$G$85</f>
        <v>0</v>
      </c>
      <c r="H89" s="7">
        <v>2149</v>
      </c>
      <c r="I89" s="7"/>
      <c r="J89" s="7"/>
      <c r="K89" s="7"/>
      <c r="L89" s="12"/>
      <c r="M89" s="12"/>
      <c r="N89" s="12"/>
    </row>
    <row r="90" spans="1:14" ht="11.25">
      <c r="A90" s="38" t="s">
        <v>138</v>
      </c>
      <c r="B90" s="16"/>
      <c r="C90" s="6"/>
      <c r="D90" s="6">
        <f>$D$85</f>
        <v>0.081</v>
      </c>
      <c r="E90" s="6">
        <f>$E$85</f>
        <v>0.066</v>
      </c>
      <c r="F90" s="6">
        <f>$F$85</f>
        <v>0.056</v>
      </c>
      <c r="G90" s="6">
        <f>$G$85</f>
        <v>0</v>
      </c>
      <c r="H90" s="7">
        <v>1337</v>
      </c>
      <c r="I90" s="7"/>
      <c r="J90" s="7"/>
      <c r="K90" s="7"/>
      <c r="L90" s="12"/>
      <c r="M90" s="12"/>
      <c r="N90" s="12"/>
    </row>
    <row r="91" spans="1:14" ht="11.25">
      <c r="A91" s="39" t="s">
        <v>64</v>
      </c>
      <c r="B91" s="16"/>
      <c r="C91" s="12"/>
      <c r="D91" s="12"/>
      <c r="E91" s="12"/>
      <c r="F91" s="12"/>
      <c r="G91" s="12"/>
      <c r="H91" s="12"/>
      <c r="I91" s="12"/>
      <c r="J91" s="12"/>
      <c r="K91" s="12"/>
      <c r="L91" s="12"/>
      <c r="M91" s="12"/>
      <c r="N91" s="12"/>
    </row>
    <row r="92" spans="1:14" ht="11.25">
      <c r="A92" s="38" t="s">
        <v>63</v>
      </c>
      <c r="B92" s="16">
        <v>1</v>
      </c>
      <c r="C92" s="12"/>
      <c r="D92" s="12"/>
      <c r="E92" s="12"/>
      <c r="F92" s="12"/>
      <c r="G92" s="12"/>
      <c r="H92" s="12"/>
      <c r="I92" s="12"/>
      <c r="J92" s="12"/>
      <c r="K92" s="12"/>
      <c r="L92" s="12"/>
      <c r="M92" s="12"/>
      <c r="N92" s="12"/>
    </row>
    <row r="93" spans="1:14" ht="11.25">
      <c r="A93" s="38" t="s">
        <v>134</v>
      </c>
      <c r="B93" s="16">
        <v>2</v>
      </c>
      <c r="C93" s="12"/>
      <c r="D93" s="12"/>
      <c r="E93" s="12"/>
      <c r="F93" s="12"/>
      <c r="G93" s="12"/>
      <c r="H93" s="12"/>
      <c r="I93" s="12"/>
      <c r="J93" s="12"/>
      <c r="K93" s="12"/>
      <c r="L93" s="12"/>
      <c r="M93" s="12"/>
      <c r="N93" s="12"/>
    </row>
    <row r="94" spans="1:14" ht="11.25">
      <c r="A94" s="38" t="s">
        <v>135</v>
      </c>
      <c r="B94" s="16">
        <v>3</v>
      </c>
      <c r="C94" s="12"/>
      <c r="D94" s="12"/>
      <c r="E94" s="12"/>
      <c r="F94" s="12"/>
      <c r="G94" s="12"/>
      <c r="H94" s="12"/>
      <c r="I94" s="12"/>
      <c r="J94" s="12"/>
      <c r="K94" s="12"/>
      <c r="L94" s="12"/>
      <c r="M94" s="12"/>
      <c r="N94" s="12"/>
    </row>
    <row r="95" spans="1:14" ht="11.25">
      <c r="A95" s="38" t="s">
        <v>136</v>
      </c>
      <c r="B95" s="16">
        <v>2</v>
      </c>
      <c r="C95" s="12"/>
      <c r="D95" s="12"/>
      <c r="E95" s="12"/>
      <c r="F95" s="12"/>
      <c r="G95" s="12"/>
      <c r="H95" s="12"/>
      <c r="I95" s="12"/>
      <c r="J95" s="12"/>
      <c r="K95" s="12"/>
      <c r="L95" s="12"/>
      <c r="M95" s="12"/>
      <c r="N95" s="12"/>
    </row>
    <row r="96" spans="1:14" ht="11.25">
      <c r="A96" s="38" t="s">
        <v>137</v>
      </c>
      <c r="B96" s="16">
        <v>2.5</v>
      </c>
      <c r="C96" s="12"/>
      <c r="D96" s="12"/>
      <c r="E96" s="12"/>
      <c r="F96" s="12"/>
      <c r="G96" s="12"/>
      <c r="H96" s="12"/>
      <c r="I96" s="12"/>
      <c r="J96" s="12"/>
      <c r="K96" s="12"/>
      <c r="L96" s="12"/>
      <c r="M96" s="12"/>
      <c r="N96" s="12"/>
    </row>
    <row r="97" spans="1:14" ht="11.25">
      <c r="A97" s="38" t="s">
        <v>138</v>
      </c>
      <c r="B97" s="16">
        <v>3</v>
      </c>
      <c r="C97" s="12"/>
      <c r="D97" s="12"/>
      <c r="E97" s="12"/>
      <c r="F97" s="12"/>
      <c r="G97" s="12"/>
      <c r="H97" s="12"/>
      <c r="I97" s="12"/>
      <c r="J97" s="12"/>
      <c r="K97" s="12"/>
      <c r="L97" s="12"/>
      <c r="M97" s="12"/>
      <c r="N97" s="12"/>
    </row>
    <row r="98" spans="1:14" ht="11.25">
      <c r="A98" s="39" t="s">
        <v>74</v>
      </c>
      <c r="B98" s="20">
        <v>900</v>
      </c>
      <c r="C98" s="12"/>
      <c r="D98" s="12"/>
      <c r="E98" s="12"/>
      <c r="F98" s="12"/>
      <c r="G98" s="12"/>
      <c r="H98" s="12"/>
      <c r="I98" s="12"/>
      <c r="J98" s="12"/>
      <c r="K98" s="12"/>
      <c r="L98" s="12"/>
      <c r="M98" s="12"/>
      <c r="N98" s="12"/>
    </row>
    <row r="99" spans="1:14" ht="11.25">
      <c r="A99" s="39" t="s">
        <v>75</v>
      </c>
      <c r="B99" s="28">
        <v>0.1</v>
      </c>
      <c r="C99" s="12"/>
      <c r="D99" s="12"/>
      <c r="E99" s="12"/>
      <c r="F99" s="12"/>
      <c r="G99" s="12"/>
      <c r="H99" s="12"/>
      <c r="I99" s="12"/>
      <c r="J99" s="12"/>
      <c r="K99" s="12"/>
      <c r="L99" s="12"/>
      <c r="M99" s="12"/>
      <c r="N99" s="12"/>
    </row>
    <row r="100" spans="1:14" ht="11.25">
      <c r="A100" s="40" t="s">
        <v>81</v>
      </c>
      <c r="B100" s="16"/>
      <c r="C100" s="12"/>
      <c r="D100" s="12"/>
      <c r="E100" s="12"/>
      <c r="F100" s="12"/>
      <c r="G100" s="12"/>
      <c r="H100" s="12"/>
      <c r="I100" s="12"/>
      <c r="J100" s="12"/>
      <c r="K100" s="12"/>
      <c r="L100" s="12"/>
      <c r="M100" s="12"/>
      <c r="N100" s="12"/>
    </row>
    <row r="101" spans="1:14" ht="11.25">
      <c r="A101" s="38" t="s">
        <v>129</v>
      </c>
      <c r="B101" s="16">
        <v>1000</v>
      </c>
      <c r="C101" s="12"/>
      <c r="D101" s="12"/>
      <c r="E101" s="12"/>
      <c r="F101" s="12"/>
      <c r="G101" s="12"/>
      <c r="H101" s="12"/>
      <c r="I101" s="12"/>
      <c r="J101" s="12"/>
      <c r="K101" s="12"/>
      <c r="L101" s="12"/>
      <c r="M101" s="12"/>
      <c r="N101" s="12"/>
    </row>
    <row r="102" spans="1:14" ht="11.25">
      <c r="A102" s="11" t="s">
        <v>127</v>
      </c>
      <c r="B102" s="16">
        <f>3000*B73*$B$7/10^9</f>
        <v>2.64</v>
      </c>
      <c r="C102" s="12"/>
      <c r="D102" s="12"/>
      <c r="E102" s="12"/>
      <c r="F102" s="12"/>
      <c r="G102" s="12"/>
      <c r="H102" s="12"/>
      <c r="I102" s="12"/>
      <c r="J102" s="12"/>
      <c r="K102" s="12"/>
      <c r="L102" s="12"/>
      <c r="M102" s="12"/>
      <c r="N102" s="12"/>
    </row>
    <row r="103" spans="1:14" ht="11.25">
      <c r="A103" s="11" t="s">
        <v>128</v>
      </c>
      <c r="B103" s="16">
        <f>0.25*B73*$B$7/1000</f>
        <v>220</v>
      </c>
      <c r="C103" s="12"/>
      <c r="D103" s="12"/>
      <c r="E103" s="12"/>
      <c r="F103" s="12"/>
      <c r="G103" s="12"/>
      <c r="H103" s="12"/>
      <c r="I103" s="12"/>
      <c r="J103" s="12"/>
      <c r="K103" s="12"/>
      <c r="L103" s="12"/>
      <c r="M103" s="12"/>
      <c r="N103" s="12"/>
    </row>
    <row r="104" spans="1:14" ht="11.25">
      <c r="A104" s="15" t="s">
        <v>93</v>
      </c>
      <c r="B104" s="28">
        <v>0.25</v>
      </c>
      <c r="C104" s="12"/>
      <c r="D104" s="12"/>
      <c r="E104" s="12"/>
      <c r="F104" s="12"/>
      <c r="G104" s="12"/>
      <c r="H104" s="12"/>
      <c r="I104" s="12"/>
      <c r="J104" s="12"/>
      <c r="K104" s="12"/>
      <c r="L104" s="12"/>
      <c r="M104" s="12"/>
      <c r="N104" s="12"/>
    </row>
    <row r="105" spans="1:14" ht="11.25">
      <c r="A105" s="2" t="s">
        <v>140</v>
      </c>
      <c r="B105" s="2">
        <v>2</v>
      </c>
      <c r="C105" s="12"/>
      <c r="D105" s="12"/>
      <c r="E105" s="12"/>
      <c r="F105" s="12"/>
      <c r="G105" s="12"/>
      <c r="H105" s="12"/>
      <c r="I105" s="12"/>
      <c r="J105" s="12"/>
      <c r="K105" s="12"/>
      <c r="L105" s="12"/>
      <c r="M105" s="12"/>
      <c r="N105" s="12"/>
    </row>
    <row r="106" spans="1:14" ht="11.25">
      <c r="A106" s="2" t="s">
        <v>142</v>
      </c>
      <c r="B106" s="42">
        <v>0</v>
      </c>
      <c r="C106" s="12"/>
      <c r="D106" s="12"/>
      <c r="E106" s="12"/>
      <c r="F106" s="12"/>
      <c r="G106" s="12"/>
      <c r="H106" s="12"/>
      <c r="I106" s="12"/>
      <c r="J106" s="12"/>
      <c r="K106" s="12"/>
      <c r="L106" s="12"/>
      <c r="M106" s="12"/>
      <c r="N106" s="12"/>
    </row>
    <row r="107" spans="1:14" ht="11.25">
      <c r="A107" s="15" t="s">
        <v>141</v>
      </c>
      <c r="B107" s="20">
        <v>3</v>
      </c>
      <c r="C107" s="12"/>
      <c r="D107" s="12"/>
      <c r="E107" s="12"/>
      <c r="F107" s="12"/>
      <c r="G107" s="12"/>
      <c r="H107" s="12"/>
      <c r="I107" s="12"/>
      <c r="J107" s="12"/>
      <c r="K107" s="12"/>
      <c r="L107" s="12"/>
      <c r="M107" s="12"/>
      <c r="N107" s="12"/>
    </row>
    <row r="108" spans="1:14" ht="11.25">
      <c r="A108" s="15" t="s">
        <v>143</v>
      </c>
      <c r="B108" s="32">
        <f>B104*0.5</f>
        <v>0.125</v>
      </c>
      <c r="C108" s="12"/>
      <c r="D108" s="12"/>
      <c r="E108" s="12"/>
      <c r="F108" s="12"/>
      <c r="G108" s="12"/>
      <c r="H108" s="12"/>
      <c r="I108" s="12"/>
      <c r="J108" s="12"/>
      <c r="K108" s="12"/>
      <c r="L108" s="12"/>
      <c r="M108" s="12"/>
      <c r="N108" s="12"/>
    </row>
    <row r="109" spans="1:14" ht="11.25">
      <c r="A109" s="15" t="s">
        <v>139</v>
      </c>
      <c r="B109" s="20">
        <v>5</v>
      </c>
      <c r="C109" s="12"/>
      <c r="D109" s="12"/>
      <c r="E109" s="12"/>
      <c r="F109" s="12"/>
      <c r="G109" s="12"/>
      <c r="H109" s="12"/>
      <c r="I109" s="12"/>
      <c r="J109" s="12"/>
      <c r="K109" s="12"/>
      <c r="L109" s="12"/>
      <c r="M109" s="12"/>
      <c r="N109" s="12"/>
    </row>
    <row r="110" spans="1:14" ht="11.25">
      <c r="A110" s="15" t="s">
        <v>104</v>
      </c>
      <c r="B110" s="32">
        <v>0.1</v>
      </c>
      <c r="C110" s="12"/>
      <c r="D110" s="12"/>
      <c r="E110" s="12"/>
      <c r="F110" s="12"/>
      <c r="G110" s="12"/>
      <c r="H110" s="12"/>
      <c r="I110" s="12"/>
      <c r="J110" s="12"/>
      <c r="K110" s="12"/>
      <c r="L110" s="12"/>
      <c r="M110" s="12"/>
      <c r="N110" s="12"/>
    </row>
    <row r="111" spans="1:14" ht="11.25">
      <c r="A111" s="15" t="s">
        <v>105</v>
      </c>
      <c r="B111" s="32">
        <v>0.12</v>
      </c>
      <c r="C111" s="12"/>
      <c r="D111" s="12"/>
      <c r="E111" s="12"/>
      <c r="F111" s="12"/>
      <c r="G111" s="12"/>
      <c r="H111" s="12"/>
      <c r="I111" s="12"/>
      <c r="J111" s="12"/>
      <c r="K111" s="12"/>
      <c r="L111" s="12"/>
      <c r="M111" s="12"/>
      <c r="N111" s="12"/>
    </row>
    <row r="112" spans="1:14" ht="11.25">
      <c r="A112" s="15" t="s">
        <v>120</v>
      </c>
      <c r="B112" s="16">
        <v>1.2</v>
      </c>
      <c r="C112" s="12"/>
      <c r="D112" s="12"/>
      <c r="E112" s="12"/>
      <c r="F112" s="12"/>
      <c r="G112" s="12"/>
      <c r="H112" s="12"/>
      <c r="I112" s="12"/>
      <c r="J112" s="12"/>
      <c r="K112" s="12"/>
      <c r="L112" s="12"/>
      <c r="M112" s="12"/>
      <c r="N112" s="12"/>
    </row>
    <row r="113" spans="1:14" ht="11.25">
      <c r="A113" s="11"/>
      <c r="B113" s="16"/>
      <c r="C113" s="12"/>
      <c r="D113" s="12"/>
      <c r="E113" s="12"/>
      <c r="F113" s="12"/>
      <c r="G113" s="12"/>
      <c r="H113" s="12"/>
      <c r="I113" s="12"/>
      <c r="J113" s="12"/>
      <c r="K113" s="12"/>
      <c r="L113" s="12"/>
      <c r="M113" s="12"/>
      <c r="N113" s="12"/>
    </row>
    <row r="114" spans="1:14" s="27" customFormat="1" ht="11.25">
      <c r="A114" s="34" t="s">
        <v>46</v>
      </c>
      <c r="B114" s="35"/>
      <c r="C114" s="35"/>
      <c r="D114" s="35"/>
      <c r="E114" s="35"/>
      <c r="F114" s="35"/>
      <c r="G114" s="35"/>
      <c r="H114" s="35"/>
      <c r="I114" s="35"/>
      <c r="J114" s="35"/>
      <c r="K114" s="35"/>
      <c r="L114" s="35"/>
      <c r="M114" s="35"/>
      <c r="N114" s="35"/>
    </row>
    <row r="115" spans="1:14" ht="11.25">
      <c r="A115" s="13" t="s">
        <v>16</v>
      </c>
      <c r="B115" s="16"/>
      <c r="C115" s="12"/>
      <c r="D115" s="12"/>
      <c r="E115" s="12"/>
      <c r="F115" s="12"/>
      <c r="G115" s="12"/>
      <c r="H115" s="12"/>
      <c r="I115" s="12"/>
      <c r="J115" s="12"/>
      <c r="K115" s="12"/>
      <c r="L115" s="12"/>
      <c r="M115" s="12"/>
      <c r="N115" s="12"/>
    </row>
    <row r="116" spans="1:37" ht="11.25">
      <c r="A116" s="11" t="s">
        <v>20</v>
      </c>
      <c r="B116" s="25">
        <v>1</v>
      </c>
      <c r="C116" s="9">
        <f aca="true" t="shared" si="4" ref="C116:AK116">B116*(1+C5)</f>
        <v>1.199</v>
      </c>
      <c r="D116" s="9">
        <f t="shared" si="4"/>
        <v>1.2805320000000002</v>
      </c>
      <c r="E116" s="9">
        <f t="shared" si="4"/>
        <v>1.3829745600000003</v>
      </c>
      <c r="F116" s="9">
        <f t="shared" si="4"/>
        <v>1.4797827792000005</v>
      </c>
      <c r="G116" s="9">
        <f t="shared" si="4"/>
        <v>1.5685697459520005</v>
      </c>
      <c r="H116" s="9">
        <f t="shared" si="4"/>
        <v>1.6469982332496005</v>
      </c>
      <c r="I116" s="9">
        <f t="shared" si="4"/>
        <v>1.7293481449120807</v>
      </c>
      <c r="J116" s="9">
        <f t="shared" si="4"/>
        <v>1.8158155521576849</v>
      </c>
      <c r="K116" s="9">
        <f t="shared" si="4"/>
        <v>1.906606329765569</v>
      </c>
      <c r="L116" s="9">
        <f t="shared" si="4"/>
        <v>2.0019366462538475</v>
      </c>
      <c r="M116" s="9">
        <f t="shared" si="4"/>
        <v>2.1020334785665398</v>
      </c>
      <c r="N116" s="9">
        <f t="shared" si="4"/>
        <v>2.207135152494867</v>
      </c>
      <c r="O116" s="9">
        <f t="shared" si="4"/>
        <v>2.3174919101196103</v>
      </c>
      <c r="P116" s="9">
        <f t="shared" si="4"/>
        <v>2.433366505625591</v>
      </c>
      <c r="Q116" s="9">
        <f t="shared" si="4"/>
        <v>2.555034830906871</v>
      </c>
      <c r="R116" s="9">
        <f t="shared" si="4"/>
        <v>2.6827865724522146</v>
      </c>
      <c r="S116" s="9">
        <f t="shared" si="4"/>
        <v>2.8169259010748253</v>
      </c>
      <c r="T116" s="9">
        <f t="shared" si="4"/>
        <v>2.9577721961285666</v>
      </c>
      <c r="U116" s="9">
        <f t="shared" si="4"/>
        <v>3.105660805934995</v>
      </c>
      <c r="V116" s="9">
        <f t="shared" si="4"/>
        <v>3.260943846231745</v>
      </c>
      <c r="W116" s="9">
        <f t="shared" si="4"/>
        <v>3.423991038543332</v>
      </c>
      <c r="X116" s="9">
        <f t="shared" si="4"/>
        <v>3.595190590470499</v>
      </c>
      <c r="Y116" s="9">
        <f t="shared" si="4"/>
        <v>3.774950119994024</v>
      </c>
      <c r="Z116" s="9">
        <f t="shared" si="4"/>
        <v>3.9636976259937255</v>
      </c>
      <c r="AA116" s="9">
        <f t="shared" si="4"/>
        <v>4.161882507293412</v>
      </c>
      <c r="AB116" s="9">
        <f t="shared" si="4"/>
        <v>4.369976632658083</v>
      </c>
      <c r="AC116" s="9">
        <f t="shared" si="4"/>
        <v>4.588475464290987</v>
      </c>
      <c r="AD116" s="9">
        <f t="shared" si="4"/>
        <v>4.817899237505537</v>
      </c>
      <c r="AE116" s="9">
        <f t="shared" si="4"/>
        <v>5.058794199380814</v>
      </c>
      <c r="AF116" s="9">
        <f t="shared" si="4"/>
        <v>5.311733909349855</v>
      </c>
      <c r="AG116" s="9">
        <f t="shared" si="4"/>
        <v>5.5773206048173485</v>
      </c>
      <c r="AH116" s="9">
        <f t="shared" si="4"/>
        <v>5.856186635058216</v>
      </c>
      <c r="AI116" s="9">
        <f t="shared" si="4"/>
        <v>6.148995966811127</v>
      </c>
      <c r="AJ116" s="9">
        <f t="shared" si="4"/>
        <v>6.456445765151684</v>
      </c>
      <c r="AK116" s="9">
        <f t="shared" si="4"/>
        <v>6.779268053409268</v>
      </c>
    </row>
    <row r="117" spans="1:37" ht="11.25">
      <c r="A117" s="11" t="s">
        <v>21</v>
      </c>
      <c r="B117" s="25">
        <v>1</v>
      </c>
      <c r="C117" s="9">
        <f aca="true" t="shared" si="5" ref="C117:AK117">B117*(1+C6)</f>
        <v>1.008</v>
      </c>
      <c r="D117" s="9">
        <f t="shared" si="5"/>
        <v>1.016064</v>
      </c>
      <c r="E117" s="9">
        <f t="shared" si="5"/>
        <v>1.0241925120000002</v>
      </c>
      <c r="F117" s="9">
        <f t="shared" si="5"/>
        <v>1.0323860520960002</v>
      </c>
      <c r="G117" s="9">
        <f t="shared" si="5"/>
        <v>1.0406451405127681</v>
      </c>
      <c r="H117" s="9">
        <f t="shared" si="5"/>
        <v>1.0489703016368703</v>
      </c>
      <c r="I117" s="9">
        <f t="shared" si="5"/>
        <v>1.0573620640499652</v>
      </c>
      <c r="J117" s="9">
        <f t="shared" si="5"/>
        <v>1.065820960562365</v>
      </c>
      <c r="K117" s="9">
        <f t="shared" si="5"/>
        <v>1.074347528246864</v>
      </c>
      <c r="L117" s="9">
        <f t="shared" si="5"/>
        <v>1.082942308472839</v>
      </c>
      <c r="M117" s="9">
        <f t="shared" si="5"/>
        <v>1.0916058469406216</v>
      </c>
      <c r="N117" s="9">
        <f t="shared" si="5"/>
        <v>1.1003386937161466</v>
      </c>
      <c r="O117" s="9">
        <f t="shared" si="5"/>
        <v>1.1091414032658757</v>
      </c>
      <c r="P117" s="9">
        <f t="shared" si="5"/>
        <v>1.1180145344920027</v>
      </c>
      <c r="Q117" s="9">
        <f t="shared" si="5"/>
        <v>1.1269586507679388</v>
      </c>
      <c r="R117" s="9">
        <f t="shared" si="5"/>
        <v>1.1359743199740824</v>
      </c>
      <c r="S117" s="9">
        <f t="shared" si="5"/>
        <v>1.145062114533875</v>
      </c>
      <c r="T117" s="9">
        <f t="shared" si="5"/>
        <v>1.1542226114501462</v>
      </c>
      <c r="U117" s="9">
        <f t="shared" si="5"/>
        <v>1.1634563923417474</v>
      </c>
      <c r="V117" s="9">
        <f t="shared" si="5"/>
        <v>1.1727640434804814</v>
      </c>
      <c r="W117" s="9">
        <f t="shared" si="5"/>
        <v>1.1821461558283253</v>
      </c>
      <c r="X117" s="9">
        <f t="shared" si="5"/>
        <v>1.1916033250749518</v>
      </c>
      <c r="Y117" s="9">
        <f t="shared" si="5"/>
        <v>1.2011361516755514</v>
      </c>
      <c r="Z117" s="9">
        <f t="shared" si="5"/>
        <v>1.2107452408889559</v>
      </c>
      <c r="AA117" s="9">
        <f t="shared" si="5"/>
        <v>1.2204312028160675</v>
      </c>
      <c r="AB117" s="9">
        <f t="shared" si="5"/>
        <v>1.230194652438596</v>
      </c>
      <c r="AC117" s="9">
        <f t="shared" si="5"/>
        <v>1.2400362096581048</v>
      </c>
      <c r="AD117" s="9">
        <f t="shared" si="5"/>
        <v>1.2499564993353696</v>
      </c>
      <c r="AE117" s="9">
        <f t="shared" si="5"/>
        <v>1.2599561513300526</v>
      </c>
      <c r="AF117" s="9">
        <f t="shared" si="5"/>
        <v>1.270035800540693</v>
      </c>
      <c r="AG117" s="9">
        <f t="shared" si="5"/>
        <v>1.2801960869450186</v>
      </c>
      <c r="AH117" s="9">
        <f t="shared" si="5"/>
        <v>1.2904376556405788</v>
      </c>
      <c r="AI117" s="9">
        <f t="shared" si="5"/>
        <v>1.3007611568857034</v>
      </c>
      <c r="AJ117" s="9">
        <f t="shared" si="5"/>
        <v>1.311167246140789</v>
      </c>
      <c r="AK117" s="9">
        <f t="shared" si="5"/>
        <v>1.3216565841099153</v>
      </c>
    </row>
    <row r="118" spans="1:37" ht="11.25">
      <c r="A118" s="11" t="s">
        <v>19</v>
      </c>
      <c r="B118" s="20">
        <f>B7</f>
        <v>16000</v>
      </c>
      <c r="C118" s="20">
        <f>C7</f>
        <v>16500</v>
      </c>
      <c r="D118" s="20">
        <f>D7</f>
        <v>17800</v>
      </c>
      <c r="E118" s="7">
        <f aca="true" t="shared" si="6" ref="E118:AK118">D118*(1+E5)/(1+E6)</f>
        <v>19071.428571428572</v>
      </c>
      <c r="F118" s="7">
        <f t="shared" si="6"/>
        <v>20244.472789115647</v>
      </c>
      <c r="G118" s="7">
        <f t="shared" si="6"/>
        <v>21288.83051236368</v>
      </c>
      <c r="H118" s="7">
        <f t="shared" si="6"/>
        <v>22175.8651170455</v>
      </c>
      <c r="I118" s="7">
        <f t="shared" si="6"/>
        <v>23099.8594969224</v>
      </c>
      <c r="J118" s="7">
        <f t="shared" si="6"/>
        <v>24062.353642627502</v>
      </c>
      <c r="K118" s="7">
        <f t="shared" si="6"/>
        <v>25064.951711070313</v>
      </c>
      <c r="L118" s="7">
        <f t="shared" si="6"/>
        <v>26109.324699031575</v>
      </c>
      <c r="M118" s="7">
        <f t="shared" si="6"/>
        <v>27197.21322815789</v>
      </c>
      <c r="N118" s="7">
        <f t="shared" si="6"/>
        <v>28330.4304459978</v>
      </c>
      <c r="O118" s="7">
        <f t="shared" si="6"/>
        <v>29510.86504791438</v>
      </c>
      <c r="P118" s="7">
        <f t="shared" si="6"/>
        <v>30740.484424910814</v>
      </c>
      <c r="Q118" s="7">
        <f t="shared" si="6"/>
        <v>32021.33794261543</v>
      </c>
      <c r="R118" s="7">
        <f t="shared" si="6"/>
        <v>33355.560356891074</v>
      </c>
      <c r="S118" s="7">
        <f t="shared" si="6"/>
        <v>34745.37537176153</v>
      </c>
      <c r="T118" s="7">
        <f t="shared" si="6"/>
        <v>36193.09934558493</v>
      </c>
      <c r="U118" s="7">
        <f t="shared" si="6"/>
        <v>37701.14515165097</v>
      </c>
      <c r="V118" s="7">
        <f t="shared" si="6"/>
        <v>39272.02619963643</v>
      </c>
      <c r="W118" s="7">
        <f t="shared" si="6"/>
        <v>40908.36062462128</v>
      </c>
      <c r="X118" s="7">
        <f t="shared" si="6"/>
        <v>42612.87565064717</v>
      </c>
      <c r="Y118" s="7">
        <f t="shared" si="6"/>
        <v>44388.4121360908</v>
      </c>
      <c r="Z118" s="7">
        <f t="shared" si="6"/>
        <v>46237.92930842792</v>
      </c>
      <c r="AA118" s="7">
        <f t="shared" si="6"/>
        <v>48164.509696279085</v>
      </c>
      <c r="AB118" s="7">
        <f t="shared" si="6"/>
        <v>50171.36426695738</v>
      </c>
      <c r="AC118" s="7">
        <f t="shared" si="6"/>
        <v>52261.837778080604</v>
      </c>
      <c r="AD118" s="7">
        <f t="shared" si="6"/>
        <v>54439.414352167296</v>
      </c>
      <c r="AE118" s="7">
        <f t="shared" si="6"/>
        <v>56707.72328350761</v>
      </c>
      <c r="AF118" s="7">
        <f t="shared" si="6"/>
        <v>59070.54508698709</v>
      </c>
      <c r="AG118" s="7">
        <f t="shared" si="6"/>
        <v>61531.81779894489</v>
      </c>
      <c r="AH118" s="7">
        <f t="shared" si="6"/>
        <v>64095.643540567595</v>
      </c>
      <c r="AI118" s="7">
        <f t="shared" si="6"/>
        <v>66766.29535475791</v>
      </c>
      <c r="AJ118" s="7">
        <f t="shared" si="6"/>
        <v>69548.22432787283</v>
      </c>
      <c r="AK118" s="7">
        <f t="shared" si="6"/>
        <v>72446.06700820087</v>
      </c>
    </row>
    <row r="119" spans="1:14" ht="11.25">
      <c r="A119" s="1" t="s">
        <v>47</v>
      </c>
      <c r="B119" s="16"/>
      <c r="C119" s="12"/>
      <c r="D119" s="12"/>
      <c r="E119" s="12"/>
      <c r="F119" s="12"/>
      <c r="G119" s="12"/>
      <c r="H119" s="12"/>
      <c r="I119" s="12"/>
      <c r="J119" s="12"/>
      <c r="K119" s="12"/>
      <c r="L119" s="12"/>
      <c r="M119" s="12"/>
      <c r="N119" s="12"/>
    </row>
    <row r="120" spans="1:10" ht="11.25">
      <c r="A120" s="11" t="s">
        <v>49</v>
      </c>
      <c r="B120" s="16">
        <f>SUM(C120:G120)</f>
        <v>665.58125</v>
      </c>
      <c r="C120" s="12">
        <f>SUM(C10:C16)+SUM(C19:C25)/$B$118*1000</f>
        <v>65.235625</v>
      </c>
      <c r="D120" s="12">
        <f>SUM(D10:D16)+SUM(D19:D25)/$B$118*1000</f>
        <v>138.67874999999998</v>
      </c>
      <c r="E120" s="12">
        <f>SUM(E10:E16)+SUM(E19:E25)/$B$118*1000</f>
        <v>160.39187499999997</v>
      </c>
      <c r="F120" s="12">
        <f>SUM(F10:F16)+SUM(F19:F25)/$B$118*1000</f>
        <v>152.07812499999997</v>
      </c>
      <c r="G120" s="12">
        <f>SUM(G10:G16)+SUM(G19:G25)/$B$118*1000</f>
        <v>149.19687499999998</v>
      </c>
      <c r="J120" s="9"/>
    </row>
    <row r="121" spans="1:7" ht="11.25">
      <c r="A121" s="11" t="s">
        <v>50</v>
      </c>
      <c r="B121" s="16">
        <f>SUM(C121:G121)</f>
        <v>10649.3</v>
      </c>
      <c r="C121" s="12">
        <f>SUM(C19:C25)+SUM(C10:C16)*$B$118/1000</f>
        <v>1043.77</v>
      </c>
      <c r="D121" s="12">
        <f>SUM(D19:D25)+SUM(D10:D16)*$B$118/1000</f>
        <v>2218.8599999999997</v>
      </c>
      <c r="E121" s="12">
        <f>SUM(E19:E25)+SUM(E10:E16)*$B$118/1000</f>
        <v>2566.2699999999995</v>
      </c>
      <c r="F121" s="12">
        <f>SUM(F19:F25)+SUM(F10:F16)*$B$118/1000</f>
        <v>2433.2499999999995</v>
      </c>
      <c r="G121" s="12">
        <f>SUM(G19:G25)+SUM(G10:G16)*$B$118/1000</f>
        <v>2387.1499999999996</v>
      </c>
    </row>
    <row r="122" spans="1:7" ht="11.25">
      <c r="A122" s="1" t="s">
        <v>48</v>
      </c>
      <c r="B122" s="16"/>
      <c r="C122" s="12"/>
      <c r="D122" s="12"/>
      <c r="E122" s="12"/>
      <c r="F122" s="12"/>
      <c r="G122" s="12"/>
    </row>
    <row r="123" spans="1:7" ht="11.25">
      <c r="A123" s="2" t="s">
        <v>22</v>
      </c>
      <c r="B123" s="16"/>
      <c r="C123" s="12"/>
      <c r="D123" s="12"/>
      <c r="E123" s="12"/>
      <c r="F123" s="12"/>
      <c r="G123" s="12"/>
    </row>
    <row r="124" spans="1:7" ht="11.25">
      <c r="A124" s="11" t="s">
        <v>3</v>
      </c>
      <c r="B124" s="16"/>
      <c r="C124" s="12">
        <f aca="true" t="shared" si="7" ref="C124:G131">C10*C$117</f>
        <v>0</v>
      </c>
      <c r="D124" s="12">
        <f t="shared" si="7"/>
        <v>0.98558208</v>
      </c>
      <c r="E124" s="12">
        <f t="shared" si="7"/>
        <v>2.9906421350400003</v>
      </c>
      <c r="F124" s="12">
        <f t="shared" si="7"/>
        <v>3.0145672721203205</v>
      </c>
      <c r="G124" s="12">
        <f t="shared" si="7"/>
        <v>3.038683810297283</v>
      </c>
    </row>
    <row r="125" spans="1:7" ht="11.25">
      <c r="A125" s="11" t="s">
        <v>4</v>
      </c>
      <c r="B125" s="16"/>
      <c r="C125" s="12">
        <f t="shared" si="7"/>
        <v>3.04416</v>
      </c>
      <c r="D125" s="12">
        <f t="shared" si="7"/>
        <v>4.612930560000001</v>
      </c>
      <c r="E125" s="12">
        <f t="shared" si="7"/>
        <v>0</v>
      </c>
      <c r="F125" s="12">
        <f t="shared" si="7"/>
        <v>0</v>
      </c>
      <c r="G125" s="12">
        <f t="shared" si="7"/>
        <v>0</v>
      </c>
    </row>
    <row r="126" spans="1:7" ht="11.25">
      <c r="A126" s="11" t="s">
        <v>5</v>
      </c>
      <c r="B126" s="16"/>
      <c r="C126" s="12">
        <f t="shared" si="7"/>
        <v>0.31248</v>
      </c>
      <c r="D126" s="12">
        <f t="shared" si="7"/>
        <v>0.31497984</v>
      </c>
      <c r="E126" s="12">
        <f t="shared" si="7"/>
        <v>0.43016085504000007</v>
      </c>
      <c r="F126" s="12">
        <f t="shared" si="7"/>
        <v>0</v>
      </c>
      <c r="G126" s="12">
        <f t="shared" si="7"/>
        <v>0</v>
      </c>
    </row>
    <row r="127" spans="1:7" ht="11.25">
      <c r="A127" s="11" t="s">
        <v>6</v>
      </c>
      <c r="B127" s="16"/>
      <c r="C127" s="12">
        <f t="shared" si="7"/>
        <v>0</v>
      </c>
      <c r="D127" s="12">
        <f t="shared" si="7"/>
        <v>0</v>
      </c>
      <c r="E127" s="12">
        <f t="shared" si="7"/>
        <v>0</v>
      </c>
      <c r="F127" s="12">
        <f t="shared" si="7"/>
        <v>0</v>
      </c>
      <c r="G127" s="12">
        <f t="shared" si="7"/>
        <v>0</v>
      </c>
    </row>
    <row r="128" spans="1:7" ht="11.25">
      <c r="A128" s="11" t="s">
        <v>7</v>
      </c>
      <c r="B128" s="16"/>
      <c r="C128" s="12">
        <f t="shared" si="7"/>
        <v>1.19952</v>
      </c>
      <c r="D128" s="12">
        <f t="shared" si="7"/>
        <v>1.8187545600000001</v>
      </c>
      <c r="E128" s="12">
        <f t="shared" si="7"/>
        <v>3.6666091929600007</v>
      </c>
      <c r="F128" s="12">
        <f t="shared" si="7"/>
        <v>3.695942066503681</v>
      </c>
      <c r="G128" s="12">
        <f t="shared" si="7"/>
        <v>1.862754801517855</v>
      </c>
    </row>
    <row r="129" spans="1:7" ht="11.25">
      <c r="A129" s="11" t="s">
        <v>8</v>
      </c>
      <c r="B129" s="16"/>
      <c r="C129" s="12">
        <f t="shared" si="7"/>
        <v>0</v>
      </c>
      <c r="D129" s="12">
        <f t="shared" si="7"/>
        <v>0</v>
      </c>
      <c r="E129" s="12">
        <f t="shared" si="7"/>
        <v>0</v>
      </c>
      <c r="F129" s="12">
        <f t="shared" si="7"/>
        <v>0</v>
      </c>
      <c r="G129" s="12">
        <f t="shared" si="7"/>
        <v>0</v>
      </c>
    </row>
    <row r="130" spans="1:7" ht="11.25">
      <c r="A130" s="11" t="s">
        <v>9</v>
      </c>
      <c r="B130" s="16"/>
      <c r="C130" s="12">
        <f t="shared" si="7"/>
        <v>1.6430399999999998</v>
      </c>
      <c r="D130" s="12">
        <f t="shared" si="7"/>
        <v>0</v>
      </c>
      <c r="E130" s="12">
        <f t="shared" si="7"/>
        <v>0</v>
      </c>
      <c r="F130" s="12">
        <f t="shared" si="7"/>
        <v>0</v>
      </c>
      <c r="G130" s="12">
        <f t="shared" si="7"/>
        <v>0</v>
      </c>
    </row>
    <row r="131" spans="1:7" ht="11.25">
      <c r="A131" s="11" t="s">
        <v>25</v>
      </c>
      <c r="B131" s="16"/>
      <c r="C131" s="12">
        <f t="shared" si="7"/>
        <v>6.199199999999999</v>
      </c>
      <c r="D131" s="12">
        <f t="shared" si="7"/>
        <v>7.73224704</v>
      </c>
      <c r="E131" s="12">
        <f t="shared" si="7"/>
        <v>7.087412183040001</v>
      </c>
      <c r="F131" s="12">
        <f t="shared" si="7"/>
        <v>6.710509338624002</v>
      </c>
      <c r="G131" s="12">
        <f t="shared" si="7"/>
        <v>4.901438611815138</v>
      </c>
    </row>
    <row r="132" spans="1:7" ht="11.25">
      <c r="A132" s="2" t="s">
        <v>23</v>
      </c>
      <c r="B132" s="16"/>
      <c r="C132" s="12"/>
      <c r="D132" s="12"/>
      <c r="E132" s="12"/>
      <c r="F132" s="12"/>
      <c r="G132" s="12"/>
    </row>
    <row r="133" spans="1:7" ht="11.25">
      <c r="A133" s="11" t="s">
        <v>3</v>
      </c>
      <c r="B133" s="16"/>
      <c r="C133" s="12">
        <f aca="true" t="shared" si="8" ref="C133:G140">C19*C$116</f>
        <v>0</v>
      </c>
      <c r="D133" s="12">
        <f t="shared" si="8"/>
        <v>965.3674641600002</v>
      </c>
      <c r="E133" s="12">
        <f t="shared" si="8"/>
        <v>3127.7905838784004</v>
      </c>
      <c r="F133" s="12">
        <f t="shared" si="8"/>
        <v>3346.735924749889</v>
      </c>
      <c r="G133" s="12">
        <f t="shared" si="8"/>
        <v>3547.540080234882</v>
      </c>
    </row>
    <row r="134" spans="1:7" ht="11.25">
      <c r="A134" s="11" t="s">
        <v>4</v>
      </c>
      <c r="B134" s="16"/>
      <c r="C134" s="12">
        <f t="shared" si="8"/>
        <v>957.8691100000001</v>
      </c>
      <c r="D134" s="12">
        <f t="shared" si="8"/>
        <v>1534.5127168800002</v>
      </c>
      <c r="E134" s="12">
        <f t="shared" si="8"/>
        <v>0</v>
      </c>
      <c r="F134" s="12">
        <f t="shared" si="8"/>
        <v>0</v>
      </c>
      <c r="G134" s="12">
        <f t="shared" si="8"/>
        <v>0</v>
      </c>
    </row>
    <row r="135" spans="1:7" ht="11.25">
      <c r="A135" s="11" t="s">
        <v>5</v>
      </c>
      <c r="B135" s="16"/>
      <c r="C135" s="12">
        <f t="shared" si="8"/>
        <v>113.58127000000002</v>
      </c>
      <c r="D135" s="12">
        <f t="shared" si="8"/>
        <v>121.30479636000003</v>
      </c>
      <c r="E135" s="12">
        <f t="shared" si="8"/>
        <v>174.66968692800003</v>
      </c>
      <c r="F135" s="12">
        <f t="shared" si="8"/>
        <v>0</v>
      </c>
      <c r="G135" s="12">
        <f t="shared" si="8"/>
        <v>0</v>
      </c>
    </row>
    <row r="136" spans="1:7" ht="11.25">
      <c r="A136" s="11" t="s">
        <v>6</v>
      </c>
      <c r="B136" s="16"/>
      <c r="C136" s="12">
        <f t="shared" si="8"/>
        <v>8.908570000000001</v>
      </c>
      <c r="D136" s="12">
        <f t="shared" si="8"/>
        <v>0</v>
      </c>
      <c r="E136" s="12">
        <f t="shared" si="8"/>
        <v>0</v>
      </c>
      <c r="F136" s="12">
        <f t="shared" si="8"/>
        <v>0</v>
      </c>
      <c r="G136" s="12">
        <f t="shared" si="8"/>
        <v>0</v>
      </c>
    </row>
    <row r="137" spans="1:7" ht="11.25">
      <c r="A137" s="11" t="s">
        <v>7</v>
      </c>
      <c r="B137" s="16"/>
      <c r="C137" s="12">
        <f t="shared" si="8"/>
        <v>13.956360000000002</v>
      </c>
      <c r="D137" s="12">
        <f t="shared" si="8"/>
        <v>22.370894040000003</v>
      </c>
      <c r="E137" s="12">
        <f t="shared" si="8"/>
        <v>48.30730138080001</v>
      </c>
      <c r="F137" s="12">
        <f t="shared" si="8"/>
        <v>51.68881247745602</v>
      </c>
      <c r="G137" s="12">
        <f t="shared" si="8"/>
        <v>27.40291346178145</v>
      </c>
    </row>
    <row r="138" spans="1:7" ht="11.25">
      <c r="A138" s="11" t="s">
        <v>8</v>
      </c>
      <c r="B138" s="16"/>
      <c r="C138" s="12">
        <f t="shared" si="8"/>
        <v>39.18332</v>
      </c>
      <c r="D138" s="12">
        <f t="shared" si="8"/>
        <v>41.84778576000001</v>
      </c>
      <c r="E138" s="12">
        <f t="shared" si="8"/>
        <v>45.19560862080001</v>
      </c>
      <c r="F138" s="12">
        <f t="shared" si="8"/>
        <v>48.359301224256015</v>
      </c>
      <c r="G138" s="12">
        <f t="shared" si="8"/>
        <v>51.26085929771138</v>
      </c>
    </row>
    <row r="139" spans="1:7" ht="11.25">
      <c r="A139" s="11" t="s">
        <v>9</v>
      </c>
      <c r="B139" s="16"/>
      <c r="C139" s="12">
        <f t="shared" si="8"/>
        <v>0</v>
      </c>
      <c r="D139" s="12">
        <f t="shared" si="8"/>
        <v>0</v>
      </c>
      <c r="E139" s="12">
        <f t="shared" si="8"/>
        <v>0</v>
      </c>
      <c r="F139" s="12">
        <f t="shared" si="8"/>
        <v>0</v>
      </c>
      <c r="G139" s="12">
        <f t="shared" si="8"/>
        <v>0</v>
      </c>
    </row>
    <row r="140" spans="1:7" ht="11.25">
      <c r="A140" s="11" t="s">
        <v>25</v>
      </c>
      <c r="B140" s="16"/>
      <c r="C140" s="12">
        <f t="shared" si="8"/>
        <v>1133.4986299999998</v>
      </c>
      <c r="D140" s="12">
        <f t="shared" si="8"/>
        <v>2685.4036572</v>
      </c>
      <c r="E140" s="12">
        <f t="shared" si="8"/>
        <v>3395.9631808080003</v>
      </c>
      <c r="F140" s="12">
        <f t="shared" si="8"/>
        <v>3446.7840384516003</v>
      </c>
      <c r="G140" s="12">
        <f t="shared" si="8"/>
        <v>3626.2038529943743</v>
      </c>
    </row>
    <row r="141" spans="1:7" ht="11.25">
      <c r="A141" s="1" t="s">
        <v>26</v>
      </c>
      <c r="B141" s="16"/>
      <c r="C141" s="12"/>
      <c r="D141" s="12"/>
      <c r="E141" s="12"/>
      <c r="F141" s="12"/>
      <c r="G141" s="12"/>
    </row>
    <row r="142" spans="1:7" ht="11.25">
      <c r="A142" s="11" t="s">
        <v>3</v>
      </c>
      <c r="B142" s="16">
        <f aca="true" t="shared" si="9" ref="B142:B149">SUM(C142:G142)</f>
        <v>560.2221967275667</v>
      </c>
      <c r="C142" s="12">
        <f aca="true" t="shared" si="10" ref="C142:G149">C124+C133*1000/C$118</f>
        <v>0</v>
      </c>
      <c r="D142" s="12">
        <f t="shared" si="10"/>
        <v>55.21970928000001</v>
      </c>
      <c r="E142" s="12">
        <f t="shared" si="10"/>
        <v>166.99464278784</v>
      </c>
      <c r="F142" s="12">
        <f t="shared" si="10"/>
        <v>168.33059993014277</v>
      </c>
      <c r="G142" s="12">
        <f t="shared" si="10"/>
        <v>169.6772447295839</v>
      </c>
    </row>
    <row r="143" spans="1:7" ht="11.25">
      <c r="A143" s="11" t="s">
        <v>4</v>
      </c>
      <c r="B143" s="16">
        <f t="shared" si="9"/>
        <v>151.91834349333334</v>
      </c>
      <c r="C143" s="12">
        <f t="shared" si="10"/>
        <v>61.096833333333336</v>
      </c>
      <c r="D143" s="12">
        <f t="shared" si="10"/>
        <v>90.82151016</v>
      </c>
      <c r="E143" s="12">
        <f t="shared" si="10"/>
        <v>0</v>
      </c>
      <c r="F143" s="12">
        <f t="shared" si="10"/>
        <v>0</v>
      </c>
      <c r="G143" s="12">
        <f t="shared" si="10"/>
        <v>0</v>
      </c>
    </row>
    <row r="144" spans="1:7" ht="11.25">
      <c r="A144" s="11" t="s">
        <v>5</v>
      </c>
      <c r="B144" s="16">
        <f t="shared" si="9"/>
        <v>23.91492040437334</v>
      </c>
      <c r="C144" s="12">
        <f t="shared" si="10"/>
        <v>7.196193333333334</v>
      </c>
      <c r="D144" s="12">
        <f t="shared" si="10"/>
        <v>7.129856040000002</v>
      </c>
      <c r="E144" s="12">
        <f t="shared" si="10"/>
        <v>9.588871031040002</v>
      </c>
      <c r="F144" s="12">
        <f t="shared" si="10"/>
        <v>0</v>
      </c>
      <c r="G144" s="12">
        <f t="shared" si="10"/>
        <v>0</v>
      </c>
    </row>
    <row r="145" spans="1:7" ht="11.25">
      <c r="A145" s="11" t="s">
        <v>6</v>
      </c>
      <c r="B145" s="16">
        <f t="shared" si="9"/>
        <v>0.5399133333333335</v>
      </c>
      <c r="C145" s="12">
        <f t="shared" si="10"/>
        <v>0.5399133333333335</v>
      </c>
      <c r="D145" s="12">
        <f t="shared" si="10"/>
        <v>0</v>
      </c>
      <c r="E145" s="12">
        <f t="shared" si="10"/>
        <v>0</v>
      </c>
      <c r="F145" s="12">
        <f t="shared" si="10"/>
        <v>0</v>
      </c>
      <c r="G145" s="12">
        <f t="shared" si="10"/>
        <v>0</v>
      </c>
    </row>
    <row r="146" spans="1:7" ht="11.25">
      <c r="A146" s="11" t="s">
        <v>7</v>
      </c>
      <c r="B146" s="16">
        <f t="shared" si="9"/>
        <v>20.71960713579334</v>
      </c>
      <c r="C146" s="12">
        <f t="shared" si="10"/>
        <v>2.04536</v>
      </c>
      <c r="D146" s="12">
        <f t="shared" si="10"/>
        <v>3.0755463600000006</v>
      </c>
      <c r="E146" s="12">
        <f t="shared" si="10"/>
        <v>6.199576306560001</v>
      </c>
      <c r="F146" s="12">
        <f t="shared" si="10"/>
        <v>6.249172917012482</v>
      </c>
      <c r="G146" s="12">
        <f t="shared" si="10"/>
        <v>3.1499515522208568</v>
      </c>
    </row>
    <row r="147" spans="1:7" ht="11.25">
      <c r="A147" s="11" t="s">
        <v>8</v>
      </c>
      <c r="B147" s="16">
        <f t="shared" si="9"/>
        <v>11.892194487773459</v>
      </c>
      <c r="C147" s="12">
        <f t="shared" si="10"/>
        <v>2.374746666666667</v>
      </c>
      <c r="D147" s="12">
        <f t="shared" si="10"/>
        <v>2.3509992000000004</v>
      </c>
      <c r="E147" s="12">
        <f t="shared" si="10"/>
        <v>2.3698071936000003</v>
      </c>
      <c r="F147" s="12">
        <f t="shared" si="10"/>
        <v>2.3887656511488005</v>
      </c>
      <c r="G147" s="12">
        <f t="shared" si="10"/>
        <v>2.407875776357991</v>
      </c>
    </row>
    <row r="148" spans="1:7" ht="11.25">
      <c r="A148" s="11" t="s">
        <v>9</v>
      </c>
      <c r="B148" s="16">
        <f t="shared" si="9"/>
        <v>1.6430399999999998</v>
      </c>
      <c r="C148" s="12">
        <f t="shared" si="10"/>
        <v>1.6430399999999998</v>
      </c>
      <c r="D148" s="12">
        <f t="shared" si="10"/>
        <v>0</v>
      </c>
      <c r="E148" s="12">
        <f t="shared" si="10"/>
        <v>0</v>
      </c>
      <c r="F148" s="12">
        <f t="shared" si="10"/>
        <v>0</v>
      </c>
      <c r="G148" s="12">
        <f t="shared" si="10"/>
        <v>0</v>
      </c>
    </row>
    <row r="149" spans="1:7" ht="11.25">
      <c r="A149" s="11" t="s">
        <v>25</v>
      </c>
      <c r="B149" s="16">
        <f t="shared" si="9"/>
        <v>770.8502155821734</v>
      </c>
      <c r="C149" s="12">
        <f t="shared" si="10"/>
        <v>74.89608666666666</v>
      </c>
      <c r="D149" s="12">
        <f t="shared" si="10"/>
        <v>158.59762103999998</v>
      </c>
      <c r="E149" s="12">
        <f t="shared" si="10"/>
        <v>185.15289731904</v>
      </c>
      <c r="F149" s="12">
        <f t="shared" si="10"/>
        <v>176.968538498304</v>
      </c>
      <c r="G149" s="12">
        <f t="shared" si="10"/>
        <v>175.2350720581627</v>
      </c>
    </row>
    <row r="150" spans="1:7" ht="11.25">
      <c r="A150" s="1" t="s">
        <v>27</v>
      </c>
      <c r="B150" s="16"/>
      <c r="C150" s="12"/>
      <c r="D150" s="12"/>
      <c r="E150" s="12"/>
      <c r="F150" s="12"/>
      <c r="G150" s="12"/>
    </row>
    <row r="151" spans="1:7" ht="11.25">
      <c r="A151" s="11" t="s">
        <v>3</v>
      </c>
      <c r="B151" s="16">
        <f aca="true" t="shared" si="11" ref="B151:B158">SUM(C151:G151)</f>
        <v>11187.731581637772</v>
      </c>
      <c r="C151" s="12">
        <f aca="true" t="shared" si="12" ref="C151:G158">C133+C124*C$118/1000</f>
        <v>0</v>
      </c>
      <c r="D151" s="12">
        <f t="shared" si="12"/>
        <v>982.9108251840001</v>
      </c>
      <c r="E151" s="12">
        <f t="shared" si="12"/>
        <v>3184.8264017395204</v>
      </c>
      <c r="F151" s="12">
        <f t="shared" si="12"/>
        <v>3407.764249861287</v>
      </c>
      <c r="G151" s="12">
        <f t="shared" si="12"/>
        <v>3612.2301048529644</v>
      </c>
    </row>
    <row r="152" spans="1:7" ht="11.25">
      <c r="A152" s="11" t="s">
        <v>4</v>
      </c>
      <c r="B152" s="16">
        <f t="shared" si="11"/>
        <v>2624.7206308480004</v>
      </c>
      <c r="C152" s="12">
        <f t="shared" si="12"/>
        <v>1008.0977500000001</v>
      </c>
      <c r="D152" s="12">
        <f t="shared" si="12"/>
        <v>1616.6228808480002</v>
      </c>
      <c r="E152" s="12">
        <f t="shared" si="12"/>
        <v>0</v>
      </c>
      <c r="F152" s="12">
        <f t="shared" si="12"/>
        <v>0</v>
      </c>
      <c r="G152" s="12">
        <f t="shared" si="12"/>
        <v>0</v>
      </c>
    </row>
    <row r="153" spans="1:7" ht="11.25">
      <c r="A153" s="11" t="s">
        <v>5</v>
      </c>
      <c r="B153" s="16">
        <f t="shared" si="11"/>
        <v>428.52209646112004</v>
      </c>
      <c r="C153" s="12">
        <f t="shared" si="12"/>
        <v>118.73719000000001</v>
      </c>
      <c r="D153" s="12">
        <f t="shared" si="12"/>
        <v>126.91143751200002</v>
      </c>
      <c r="E153" s="12">
        <f t="shared" si="12"/>
        <v>182.87346894912002</v>
      </c>
      <c r="F153" s="12">
        <f t="shared" si="12"/>
        <v>0</v>
      </c>
      <c r="G153" s="12">
        <f t="shared" si="12"/>
        <v>0</v>
      </c>
    </row>
    <row r="154" spans="1:7" ht="11.25">
      <c r="A154" s="11" t="s">
        <v>6</v>
      </c>
      <c r="B154" s="16">
        <f t="shared" si="11"/>
        <v>8.908570000000001</v>
      </c>
      <c r="C154" s="12">
        <f t="shared" si="12"/>
        <v>8.908570000000001</v>
      </c>
      <c r="D154" s="12">
        <f t="shared" si="12"/>
        <v>0</v>
      </c>
      <c r="E154" s="12">
        <f t="shared" si="12"/>
        <v>0</v>
      </c>
      <c r="F154" s="12">
        <f t="shared" si="12"/>
        <v>0</v>
      </c>
      <c r="G154" s="12">
        <f t="shared" si="12"/>
        <v>0</v>
      </c>
    </row>
    <row r="155" spans="1:7" ht="11.25">
      <c r="A155" s="11" t="s">
        <v>7</v>
      </c>
      <c r="B155" s="16">
        <f t="shared" si="11"/>
        <v>400.2979377020044</v>
      </c>
      <c r="C155" s="12">
        <f t="shared" si="12"/>
        <v>33.74844</v>
      </c>
      <c r="D155" s="12">
        <f t="shared" si="12"/>
        <v>54.744725208000006</v>
      </c>
      <c r="E155" s="12">
        <f t="shared" si="12"/>
        <v>118.23477670368003</v>
      </c>
      <c r="F155" s="12">
        <f t="shared" si="12"/>
        <v>126.51121107293764</v>
      </c>
      <c r="G155" s="12">
        <f t="shared" si="12"/>
        <v>67.0587847173867</v>
      </c>
    </row>
    <row r="156" spans="1:7" ht="11.25">
      <c r="A156" s="11" t="s">
        <v>8</v>
      </c>
      <c r="B156" s="16">
        <f t="shared" si="11"/>
        <v>225.8468749027674</v>
      </c>
      <c r="C156" s="12">
        <f t="shared" si="12"/>
        <v>39.18332</v>
      </c>
      <c r="D156" s="12">
        <f t="shared" si="12"/>
        <v>41.84778576000001</v>
      </c>
      <c r="E156" s="12">
        <f t="shared" si="12"/>
        <v>45.19560862080001</v>
      </c>
      <c r="F156" s="12">
        <f t="shared" si="12"/>
        <v>48.359301224256015</v>
      </c>
      <c r="G156" s="12">
        <f t="shared" si="12"/>
        <v>51.26085929771138</v>
      </c>
    </row>
    <row r="157" spans="1:7" ht="11.25">
      <c r="A157" s="11" t="s">
        <v>9</v>
      </c>
      <c r="B157" s="16">
        <f t="shared" si="11"/>
        <v>27.110159999999997</v>
      </c>
      <c r="C157" s="12">
        <f t="shared" si="12"/>
        <v>27.110159999999997</v>
      </c>
      <c r="D157" s="12">
        <f t="shared" si="12"/>
        <v>0</v>
      </c>
      <c r="E157" s="12">
        <f t="shared" si="12"/>
        <v>0</v>
      </c>
      <c r="F157" s="12">
        <f t="shared" si="12"/>
        <v>0</v>
      </c>
      <c r="G157" s="12">
        <f t="shared" si="12"/>
        <v>0</v>
      </c>
    </row>
    <row r="158" spans="1:7" ht="11.25">
      <c r="A158" s="11" t="s">
        <v>25</v>
      </c>
      <c r="B158" s="16">
        <f t="shared" si="11"/>
        <v>14903.137851551663</v>
      </c>
      <c r="C158" s="12">
        <f t="shared" si="12"/>
        <v>1235.78543</v>
      </c>
      <c r="D158" s="12">
        <f t="shared" si="12"/>
        <v>2823.037654512</v>
      </c>
      <c r="E158" s="12">
        <f t="shared" si="12"/>
        <v>3531.1302560131203</v>
      </c>
      <c r="F158" s="12">
        <f t="shared" si="12"/>
        <v>3582.6347621584805</v>
      </c>
      <c r="G158" s="12">
        <f t="shared" si="12"/>
        <v>3730.5497488680617</v>
      </c>
    </row>
    <row r="159" ht="11.25">
      <c r="A159" s="1" t="s">
        <v>29</v>
      </c>
    </row>
    <row r="160" spans="1:27" ht="11.25">
      <c r="A160" s="11" t="s">
        <v>51</v>
      </c>
      <c r="C160" s="5">
        <f aca="true" t="shared" si="13" ref="C160:AA160">$B$58+$B$59</f>
        <v>0.0436</v>
      </c>
      <c r="D160" s="5">
        <f t="shared" si="13"/>
        <v>0.0436</v>
      </c>
      <c r="E160" s="5">
        <f t="shared" si="13"/>
        <v>0.0436</v>
      </c>
      <c r="F160" s="5">
        <f t="shared" si="13"/>
        <v>0.0436</v>
      </c>
      <c r="G160" s="5">
        <f t="shared" si="13"/>
        <v>0.0436</v>
      </c>
      <c r="H160" s="5">
        <f t="shared" si="13"/>
        <v>0.0436</v>
      </c>
      <c r="I160" s="5">
        <f t="shared" si="13"/>
        <v>0.0436</v>
      </c>
      <c r="J160" s="5">
        <f t="shared" si="13"/>
        <v>0.0436</v>
      </c>
      <c r="K160" s="5">
        <f t="shared" si="13"/>
        <v>0.0436</v>
      </c>
      <c r="L160" s="5">
        <f t="shared" si="13"/>
        <v>0.0436</v>
      </c>
      <c r="M160" s="5">
        <f t="shared" si="13"/>
        <v>0.0436</v>
      </c>
      <c r="N160" s="5">
        <f t="shared" si="13"/>
        <v>0.0436</v>
      </c>
      <c r="O160" s="5">
        <f t="shared" si="13"/>
        <v>0.0436</v>
      </c>
      <c r="P160" s="5">
        <f t="shared" si="13"/>
        <v>0.0436</v>
      </c>
      <c r="Q160" s="5">
        <f t="shared" si="13"/>
        <v>0.0436</v>
      </c>
      <c r="R160" s="5">
        <f t="shared" si="13"/>
        <v>0.0436</v>
      </c>
      <c r="S160" s="5">
        <f t="shared" si="13"/>
        <v>0.0436</v>
      </c>
      <c r="T160" s="5">
        <f t="shared" si="13"/>
        <v>0.0436</v>
      </c>
      <c r="U160" s="5">
        <f t="shared" si="13"/>
        <v>0.0436</v>
      </c>
      <c r="V160" s="5">
        <f t="shared" si="13"/>
        <v>0.0436</v>
      </c>
      <c r="W160" s="5">
        <f t="shared" si="13"/>
        <v>0.0436</v>
      </c>
      <c r="X160" s="5">
        <f t="shared" si="13"/>
        <v>0.0436</v>
      </c>
      <c r="Y160" s="5">
        <f t="shared" si="13"/>
        <v>0.0436</v>
      </c>
      <c r="Z160" s="5">
        <f t="shared" si="13"/>
        <v>0.0436</v>
      </c>
      <c r="AA160" s="5">
        <f t="shared" si="13"/>
        <v>0.0436</v>
      </c>
    </row>
    <row r="161" spans="1:27" ht="11.25">
      <c r="A161" s="11" t="s">
        <v>33</v>
      </c>
      <c r="C161" s="9">
        <v>0</v>
      </c>
      <c r="D161" s="9">
        <f aca="true" t="shared" si="14" ref="D161:AA161">C166</f>
        <v>72.66300000000001</v>
      </c>
      <c r="E161" s="9">
        <f t="shared" si="14"/>
        <v>191.5501068</v>
      </c>
      <c r="F161" s="9">
        <f t="shared" si="14"/>
        <v>256.08369145648</v>
      </c>
      <c r="G161" s="9">
        <f t="shared" si="14"/>
        <v>313.8949404039825</v>
      </c>
      <c r="H161" s="9">
        <f t="shared" si="14"/>
        <v>372.16175980559615</v>
      </c>
      <c r="I161" s="9">
        <f t="shared" si="14"/>
        <v>365.6639551247001</v>
      </c>
      <c r="J161" s="9">
        <f t="shared" si="14"/>
        <v>358.5163699757145</v>
      </c>
      <c r="K161" s="9">
        <f t="shared" si="14"/>
        <v>350.6540263118303</v>
      </c>
      <c r="L161" s="9">
        <f t="shared" si="14"/>
        <v>342.00544828155773</v>
      </c>
      <c r="M161" s="9">
        <f t="shared" si="14"/>
        <v>332.49201244825787</v>
      </c>
      <c r="N161" s="9">
        <f t="shared" si="14"/>
        <v>322.02723303162804</v>
      </c>
      <c r="O161" s="9">
        <f t="shared" si="14"/>
        <v>310.5159756733352</v>
      </c>
      <c r="P161" s="9">
        <f t="shared" si="14"/>
        <v>297.8535925792131</v>
      </c>
      <c r="Q161" s="9">
        <f t="shared" si="14"/>
        <v>283.9249711756788</v>
      </c>
      <c r="R161" s="9">
        <f t="shared" si="14"/>
        <v>268.60348763179104</v>
      </c>
      <c r="S161" s="9">
        <f t="shared" si="14"/>
        <v>251.7498557335145</v>
      </c>
      <c r="T161" s="9">
        <f t="shared" si="14"/>
        <v>233.21086064541032</v>
      </c>
      <c r="U161" s="9">
        <f t="shared" si="14"/>
        <v>212.81796604849572</v>
      </c>
      <c r="V161" s="9">
        <f t="shared" si="14"/>
        <v>190.38578199188964</v>
      </c>
      <c r="W161" s="9">
        <f t="shared" si="14"/>
        <v>165.71037952962297</v>
      </c>
      <c r="X161" s="9">
        <f t="shared" si="14"/>
        <v>138.5674368211296</v>
      </c>
      <c r="Y161" s="9">
        <f t="shared" si="14"/>
        <v>108.71019984178692</v>
      </c>
      <c r="Z161" s="9">
        <f t="shared" si="14"/>
        <v>75.86723916450995</v>
      </c>
      <c r="AA161" s="9">
        <f t="shared" si="14"/>
        <v>39.739982419505296</v>
      </c>
    </row>
    <row r="162" spans="1:27" ht="11.25">
      <c r="A162" s="11" t="s">
        <v>14</v>
      </c>
      <c r="C162" s="9">
        <f>C37</f>
        <v>72.66300000000001</v>
      </c>
      <c r="D162" s="9">
        <f>D37</f>
        <v>115.719</v>
      </c>
      <c r="E162" s="9">
        <f>E37</f>
        <v>56.181999999999995</v>
      </c>
      <c r="F162" s="9">
        <f>F37</f>
        <v>46.646</v>
      </c>
      <c r="G162" s="9">
        <f>G37</f>
        <v>44.581</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row>
    <row r="163" spans="1:27" ht="11.25">
      <c r="A163" s="11" t="s">
        <v>34</v>
      </c>
      <c r="C163" s="9">
        <v>0</v>
      </c>
      <c r="D163" s="9">
        <v>0</v>
      </c>
      <c r="E163" s="9">
        <v>0</v>
      </c>
      <c r="F163" s="9">
        <v>0</v>
      </c>
      <c r="G163" s="9">
        <v>0</v>
      </c>
      <c r="H163" s="9">
        <f aca="true" t="shared" si="15" ref="H163:AA163">H160*H161</f>
        <v>16.226252727523992</v>
      </c>
      <c r="I163" s="9">
        <f t="shared" si="15"/>
        <v>15.942948443436926</v>
      </c>
      <c r="J163" s="9">
        <f t="shared" si="15"/>
        <v>15.631313730941152</v>
      </c>
      <c r="K163" s="9">
        <f t="shared" si="15"/>
        <v>15.288515547195802</v>
      </c>
      <c r="L163" s="9">
        <f t="shared" si="15"/>
        <v>14.911437545075916</v>
      </c>
      <c r="M163" s="9">
        <f t="shared" si="15"/>
        <v>14.496651742744042</v>
      </c>
      <c r="N163" s="9">
        <f t="shared" si="15"/>
        <v>14.040387360178983</v>
      </c>
      <c r="O163" s="9">
        <f t="shared" si="15"/>
        <v>13.538496539357416</v>
      </c>
      <c r="P163" s="9">
        <f t="shared" si="15"/>
        <v>12.986416636453692</v>
      </c>
      <c r="Q163" s="9">
        <f t="shared" si="15"/>
        <v>12.379128743259596</v>
      </c>
      <c r="R163" s="9">
        <f t="shared" si="15"/>
        <v>11.711112060746089</v>
      </c>
      <c r="S163" s="9">
        <f t="shared" si="15"/>
        <v>10.976293709981231</v>
      </c>
      <c r="T163" s="9">
        <f t="shared" si="15"/>
        <v>10.16799352413989</v>
      </c>
      <c r="U163" s="9">
        <f t="shared" si="15"/>
        <v>9.278863319714413</v>
      </c>
      <c r="V163" s="9">
        <f t="shared" si="15"/>
        <v>8.300820094846388</v>
      </c>
      <c r="W163" s="9">
        <f t="shared" si="15"/>
        <v>7.224972547491562</v>
      </c>
      <c r="X163" s="9">
        <f t="shared" si="15"/>
        <v>6.041540245401251</v>
      </c>
      <c r="Y163" s="9">
        <f t="shared" si="15"/>
        <v>4.739764713101909</v>
      </c>
      <c r="Z163" s="9">
        <f t="shared" si="15"/>
        <v>3.307811627572634</v>
      </c>
      <c r="AA163" s="9">
        <f t="shared" si="15"/>
        <v>1.7326632334904308</v>
      </c>
    </row>
    <row r="164" spans="1:27" ht="11.25">
      <c r="A164" s="11" t="s">
        <v>35</v>
      </c>
      <c r="B164" s="16">
        <f>SUM(C164:G164)</f>
        <v>36.370759805596165</v>
      </c>
      <c r="C164" s="9">
        <f>C161*C160</f>
        <v>0</v>
      </c>
      <c r="D164" s="9">
        <f>D161*D160</f>
        <v>3.1681068000000003</v>
      </c>
      <c r="E164" s="9">
        <f>E161*E160</f>
        <v>8.35158465648</v>
      </c>
      <c r="F164" s="9">
        <f>F161*F160</f>
        <v>11.165248947502528</v>
      </c>
      <c r="G164" s="9">
        <f>G161*G160</f>
        <v>13.685819401613637</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row>
    <row r="165" spans="1:30" ht="11.25">
      <c r="A165" s="11" t="s">
        <v>36</v>
      </c>
      <c r="C165" s="9">
        <v>0</v>
      </c>
      <c r="D165" s="9">
        <v>0</v>
      </c>
      <c r="E165" s="9">
        <v>0</v>
      </c>
      <c r="F165" s="9">
        <v>0</v>
      </c>
      <c r="G165" s="9">
        <v>0</v>
      </c>
      <c r="H165" s="9">
        <f>$G$166*$B$57/((1+$B$57)^$B$53-1)</f>
        <v>6.497804680896013</v>
      </c>
      <c r="I165" s="9">
        <f aca="true" t="shared" si="16" ref="I165:Z165">IF(I3-5&gt;$B$53,"",H165*(1+$B$57))</f>
        <v>7.147585148985614</v>
      </c>
      <c r="J165" s="9">
        <f t="shared" si="16"/>
        <v>7.862343663884176</v>
      </c>
      <c r="K165" s="9">
        <f t="shared" si="16"/>
        <v>8.648578030272594</v>
      </c>
      <c r="L165" s="9">
        <f t="shared" si="16"/>
        <v>9.513435833299853</v>
      </c>
      <c r="M165" s="9">
        <f t="shared" si="16"/>
        <v>10.46477941662984</v>
      </c>
      <c r="N165" s="9">
        <f t="shared" si="16"/>
        <v>11.511257358292825</v>
      </c>
      <c r="O165" s="9">
        <f t="shared" si="16"/>
        <v>12.66238309412211</v>
      </c>
      <c r="P165" s="9">
        <f t="shared" si="16"/>
        <v>13.928621403534322</v>
      </c>
      <c r="Q165" s="9">
        <f t="shared" si="16"/>
        <v>15.321483543887755</v>
      </c>
      <c r="R165" s="9">
        <f t="shared" si="16"/>
        <v>16.853631898276532</v>
      </c>
      <c r="S165" s="9">
        <f t="shared" si="16"/>
        <v>18.538995088104187</v>
      </c>
      <c r="T165" s="9">
        <f t="shared" si="16"/>
        <v>20.39289459691461</v>
      </c>
      <c r="U165" s="9">
        <f t="shared" si="16"/>
        <v>22.432184056606072</v>
      </c>
      <c r="V165" s="9">
        <f t="shared" si="16"/>
        <v>24.675402462266682</v>
      </c>
      <c r="W165" s="9">
        <f t="shared" si="16"/>
        <v>27.14294270849335</v>
      </c>
      <c r="X165" s="9">
        <f t="shared" si="16"/>
        <v>29.857236979342687</v>
      </c>
      <c r="Y165" s="9">
        <f t="shared" si="16"/>
        <v>32.842960677276956</v>
      </c>
      <c r="Z165" s="9">
        <f t="shared" si="16"/>
        <v>36.12725674500466</v>
      </c>
      <c r="AA165" s="9">
        <f>IF(AA3-5&gt;$B$53,"",Z165*(1+$B$57))</f>
        <v>39.739982419505125</v>
      </c>
      <c r="AB165" s="9">
        <f>IF(AB3-5&gt;$B$53,"",ROUND(AA165*(1+$B$57),3))</f>
      </c>
      <c r="AC165" s="9">
        <f>IF(AC3-5&gt;$B$53,"",ROUND(AB165*(1+$B$57),3))</f>
      </c>
      <c r="AD165" s="9">
        <f>IF(AD3-5&gt;$B$53,"",ROUND(AC165*(1+$B$57),3))</f>
      </c>
    </row>
    <row r="166" spans="1:27" ht="11.25">
      <c r="A166" s="11" t="s">
        <v>37</v>
      </c>
      <c r="C166" s="9">
        <f aca="true" t="shared" si="17" ref="C166:AA166">C161+C162-C165+C164</f>
        <v>72.66300000000001</v>
      </c>
      <c r="D166" s="9">
        <f t="shared" si="17"/>
        <v>191.5501068</v>
      </c>
      <c r="E166" s="9">
        <f t="shared" si="17"/>
        <v>256.08369145648</v>
      </c>
      <c r="F166" s="9">
        <f t="shared" si="17"/>
        <v>313.8949404039825</v>
      </c>
      <c r="G166" s="37">
        <f t="shared" si="17"/>
        <v>372.16175980559615</v>
      </c>
      <c r="H166" s="9">
        <f t="shared" si="17"/>
        <v>365.6639551247001</v>
      </c>
      <c r="I166" s="9">
        <f t="shared" si="17"/>
        <v>358.5163699757145</v>
      </c>
      <c r="J166" s="9">
        <f t="shared" si="17"/>
        <v>350.6540263118303</v>
      </c>
      <c r="K166" s="9">
        <f t="shared" si="17"/>
        <v>342.00544828155773</v>
      </c>
      <c r="L166" s="9">
        <f t="shared" si="17"/>
        <v>332.49201244825787</v>
      </c>
      <c r="M166" s="9">
        <f t="shared" si="17"/>
        <v>322.02723303162804</v>
      </c>
      <c r="N166" s="9">
        <f t="shared" si="17"/>
        <v>310.5159756733352</v>
      </c>
      <c r="O166" s="9">
        <f t="shared" si="17"/>
        <v>297.8535925792131</v>
      </c>
      <c r="P166" s="9">
        <f t="shared" si="17"/>
        <v>283.9249711756788</v>
      </c>
      <c r="Q166" s="9">
        <f t="shared" si="17"/>
        <v>268.60348763179104</v>
      </c>
      <c r="R166" s="9">
        <f t="shared" si="17"/>
        <v>251.7498557335145</v>
      </c>
      <c r="S166" s="9">
        <f t="shared" si="17"/>
        <v>233.21086064541032</v>
      </c>
      <c r="T166" s="9">
        <f t="shared" si="17"/>
        <v>212.81796604849572</v>
      </c>
      <c r="U166" s="9">
        <f t="shared" si="17"/>
        <v>190.38578199188964</v>
      </c>
      <c r="V166" s="9">
        <f t="shared" si="17"/>
        <v>165.71037952962297</v>
      </c>
      <c r="W166" s="9">
        <f t="shared" si="17"/>
        <v>138.5674368211296</v>
      </c>
      <c r="X166" s="9">
        <f t="shared" si="17"/>
        <v>108.71019984178692</v>
      </c>
      <c r="Y166" s="9">
        <f t="shared" si="17"/>
        <v>75.86723916450995</v>
      </c>
      <c r="Z166" s="9">
        <f t="shared" si="17"/>
        <v>39.739982419505296</v>
      </c>
      <c r="AA166" s="9">
        <f t="shared" si="17"/>
        <v>1.7053025658242404E-13</v>
      </c>
    </row>
    <row r="167" spans="1:27" ht="11.25">
      <c r="A167" s="14" t="s">
        <v>83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1.25">
      <c r="A168" s="11" t="s">
        <v>34</v>
      </c>
      <c r="B168" s="30" t="s">
        <v>85</v>
      </c>
      <c r="C168" s="12">
        <f aca="true" t="shared" si="18" ref="C168:AA168">C163*C$118/1000</f>
        <v>0</v>
      </c>
      <c r="D168" s="12">
        <f t="shared" si="18"/>
        <v>0</v>
      </c>
      <c r="E168" s="12">
        <f t="shared" si="18"/>
        <v>0</v>
      </c>
      <c r="F168" s="12">
        <f t="shared" si="18"/>
        <v>0</v>
      </c>
      <c r="G168" s="12">
        <f t="shared" si="18"/>
        <v>0</v>
      </c>
      <c r="H168" s="12">
        <f t="shared" si="18"/>
        <v>359.83119184066373</v>
      </c>
      <c r="I168" s="12">
        <f t="shared" si="18"/>
        <v>368.2798690100706</v>
      </c>
      <c r="J168" s="12">
        <f t="shared" si="18"/>
        <v>376.1261988927651</v>
      </c>
      <c r="K168" s="12">
        <f t="shared" si="18"/>
        <v>383.20590392441045</v>
      </c>
      <c r="L168" s="12">
        <f t="shared" si="18"/>
        <v>389.3275645937174</v>
      </c>
      <c r="M168" s="12">
        <f t="shared" si="18"/>
        <v>394.2685285417564</v>
      </c>
      <c r="N168" s="12">
        <f t="shared" si="18"/>
        <v>397.77021754241736</v>
      </c>
      <c r="O168" s="12">
        <f t="shared" si="18"/>
        <v>399.5327443246326</v>
      </c>
      <c r="P168" s="12">
        <f t="shared" si="18"/>
        <v>399.2087383483074</v>
      </c>
      <c r="Q168" s="12">
        <f t="shared" si="18"/>
        <v>396.3962649230598</v>
      </c>
      <c r="R168" s="12">
        <f t="shared" si="18"/>
        <v>390.6307051885312</v>
      </c>
      <c r="S168" s="12">
        <f t="shared" si="18"/>
        <v>381.3754451440029</v>
      </c>
      <c r="T168" s="12">
        <f t="shared" si="18"/>
        <v>368.01119976445926</v>
      </c>
      <c r="U168" s="12">
        <f t="shared" si="18"/>
        <v>349.82377285888305</v>
      </c>
      <c r="V168" s="12">
        <f t="shared" si="18"/>
        <v>325.9900242432759</v>
      </c>
      <c r="W168" s="12">
        <f t="shared" si="18"/>
        <v>295.5617824757735</v>
      </c>
      <c r="X168" s="12">
        <f t="shared" si="18"/>
        <v>257.4474032156639</v>
      </c>
      <c r="Y168" s="12">
        <f t="shared" si="18"/>
        <v>210.39062951326773</v>
      </c>
      <c r="Z168" s="12">
        <f t="shared" si="18"/>
        <v>152.94636020129934</v>
      </c>
      <c r="AA168" s="12">
        <f t="shared" si="18"/>
        <v>83.45287510983613</v>
      </c>
    </row>
    <row r="169" spans="1:27" ht="11.25">
      <c r="A169" s="11" t="s">
        <v>84</v>
      </c>
      <c r="B169" s="23">
        <f>IRR(C169:AA169)</f>
        <v>0.0911543652402851</v>
      </c>
      <c r="C169" s="12">
        <f aca="true" t="shared" si="19" ref="C169:AA169">(C162-C163-C165)*C$118/1000</f>
        <v>1198.9395000000002</v>
      </c>
      <c r="D169" s="12">
        <f t="shared" si="19"/>
        <v>2059.7982</v>
      </c>
      <c r="E169" s="12">
        <f t="shared" si="19"/>
        <v>1071.471</v>
      </c>
      <c r="F169" s="12">
        <f t="shared" si="19"/>
        <v>944.3236777210885</v>
      </c>
      <c r="G169" s="12">
        <f t="shared" si="19"/>
        <v>949.0773530716851</v>
      </c>
      <c r="H169" s="12">
        <f t="shared" si="19"/>
        <v>-503.9256320011206</v>
      </c>
      <c r="I169" s="12">
        <f t="shared" si="19"/>
        <v>-533.3880816939275</v>
      </c>
      <c r="J169" s="12">
        <f t="shared" si="19"/>
        <v>-565.3126925930177</v>
      </c>
      <c r="K169" s="12">
        <f t="shared" si="19"/>
        <v>-599.9820946226166</v>
      </c>
      <c r="L169" s="12">
        <f t="shared" si="19"/>
        <v>-637.7169497687454</v>
      </c>
      <c r="M169" s="12">
        <f t="shared" si="19"/>
        <v>-678.8813657214758</v>
      </c>
      <c r="N169" s="12">
        <f t="shared" si="19"/>
        <v>-723.8890934775126</v>
      </c>
      <c r="O169" s="12">
        <f t="shared" si="19"/>
        <v>-773.2106230002627</v>
      </c>
      <c r="P169" s="12">
        <f t="shared" si="19"/>
        <v>-827.3813076641336</v>
      </c>
      <c r="Q169" s="12">
        <f t="shared" si="19"/>
        <v>-887.0106672641107</v>
      </c>
      <c r="R169" s="12">
        <f t="shared" si="19"/>
        <v>-952.7930412043188</v>
      </c>
      <c r="S169" s="12">
        <f t="shared" si="19"/>
        <v>-1025.5197884954262</v>
      </c>
      <c r="T169" s="12">
        <f t="shared" si="19"/>
        <v>-1106.0932598546317</v>
      </c>
      <c r="U169" s="12">
        <f t="shared" si="19"/>
        <v>-1195.5428000455395</v>
      </c>
      <c r="V169" s="12">
        <f t="shared" si="19"/>
        <v>-1295.0430762279861</v>
      </c>
      <c r="W169" s="12">
        <f t="shared" si="19"/>
        <v>-1405.9350712082542</v>
      </c>
      <c r="X169" s="12">
        <f t="shared" si="19"/>
        <v>-1529.7501298882983</v>
      </c>
      <c r="Y169" s="12">
        <f t="shared" si="19"/>
        <v>-1668.2375038256612</v>
      </c>
      <c r="Z169" s="12">
        <f t="shared" si="19"/>
        <v>-1823.3959036842505</v>
      </c>
      <c r="AA169" s="12">
        <f t="shared" si="19"/>
        <v>-1997.509643684051</v>
      </c>
    </row>
    <row r="170" ht="11.25">
      <c r="A170" s="1" t="s">
        <v>45</v>
      </c>
    </row>
    <row r="171" spans="1:32" ht="11.25">
      <c r="A171" s="2" t="s">
        <v>33</v>
      </c>
      <c r="C171" s="9">
        <v>0</v>
      </c>
      <c r="D171" s="9">
        <f aca="true" t="shared" si="20" ref="D171:AF171">C176</f>
        <v>1.693</v>
      </c>
      <c r="E171" s="9">
        <f t="shared" si="20"/>
        <v>44.596702</v>
      </c>
      <c r="F171" s="9">
        <f t="shared" si="20"/>
        <v>174.193055828</v>
      </c>
      <c r="G171" s="9">
        <f t="shared" si="20"/>
        <v>306.95475860959203</v>
      </c>
      <c r="H171" s="9">
        <f t="shared" si="20"/>
        <v>441.90612523012635</v>
      </c>
      <c r="I171" s="9">
        <f t="shared" si="20"/>
        <v>441.90612523012635</v>
      </c>
      <c r="J171" s="9">
        <f t="shared" si="20"/>
        <v>441.90612523012635</v>
      </c>
      <c r="K171" s="9">
        <f t="shared" si="20"/>
        <v>441.90612523012635</v>
      </c>
      <c r="L171" s="9">
        <f t="shared" si="20"/>
        <v>441.90612523012635</v>
      </c>
      <c r="M171" s="9">
        <f t="shared" si="20"/>
        <v>441.90612523012635</v>
      </c>
      <c r="N171" s="9">
        <f t="shared" si="20"/>
        <v>434.19061009891874</v>
      </c>
      <c r="O171" s="9">
        <f t="shared" si="20"/>
        <v>425.7035434545904</v>
      </c>
      <c r="P171" s="9">
        <f t="shared" si="20"/>
        <v>416.3677701458291</v>
      </c>
      <c r="Q171" s="9">
        <f t="shared" si="20"/>
        <v>406.09841950619176</v>
      </c>
      <c r="R171" s="9">
        <f t="shared" si="20"/>
        <v>394.8021338025907</v>
      </c>
      <c r="S171" s="9">
        <f t="shared" si="20"/>
        <v>382.37621952862946</v>
      </c>
      <c r="T171" s="9">
        <f t="shared" si="20"/>
        <v>368.70771382727213</v>
      </c>
      <c r="U171" s="9">
        <f t="shared" si="20"/>
        <v>353.67235755577906</v>
      </c>
      <c r="V171" s="9">
        <f t="shared" si="20"/>
        <v>337.1334656571367</v>
      </c>
      <c r="W171" s="9">
        <f t="shared" si="20"/>
        <v>318.9406845686301</v>
      </c>
      <c r="X171" s="9">
        <f t="shared" si="20"/>
        <v>298.92862537127286</v>
      </c>
      <c r="Y171" s="9">
        <f t="shared" si="20"/>
        <v>276.91536025417986</v>
      </c>
      <c r="Z171" s="9">
        <f t="shared" si="20"/>
        <v>252.70076862537758</v>
      </c>
      <c r="AA171" s="9">
        <f t="shared" si="20"/>
        <v>226.06471783369506</v>
      </c>
      <c r="AB171" s="9">
        <f t="shared" si="20"/>
        <v>196.7650619628443</v>
      </c>
      <c r="AC171" s="9">
        <f t="shared" si="20"/>
        <v>164.53544050490845</v>
      </c>
      <c r="AD171" s="9">
        <f t="shared" si="20"/>
        <v>129.082856901179</v>
      </c>
      <c r="AE171" s="9">
        <f t="shared" si="20"/>
        <v>90.08501493707664</v>
      </c>
      <c r="AF171" s="9">
        <f t="shared" si="20"/>
        <v>47.18738877656402</v>
      </c>
    </row>
    <row r="172" spans="1:32" ht="11.25">
      <c r="A172" s="2" t="s">
        <v>14</v>
      </c>
      <c r="C172" s="9">
        <f>C46</f>
        <v>1.693</v>
      </c>
      <c r="D172" s="9">
        <f>D46</f>
        <v>42.88</v>
      </c>
      <c r="E172" s="9">
        <f>E46</f>
        <v>128.972</v>
      </c>
      <c r="F172" s="9">
        <f>F46</f>
        <v>130.323</v>
      </c>
      <c r="G172" s="9">
        <f>G46</f>
        <v>130.65400000000002</v>
      </c>
      <c r="H172" s="9">
        <v>0</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row>
    <row r="173" spans="1:32" ht="11.25">
      <c r="A173" s="2" t="s">
        <v>34</v>
      </c>
      <c r="C173" s="9">
        <v>0</v>
      </c>
      <c r="D173" s="9">
        <v>0</v>
      </c>
      <c r="E173" s="9">
        <v>0</v>
      </c>
      <c r="F173" s="9">
        <v>0</v>
      </c>
      <c r="G173" s="9">
        <v>0</v>
      </c>
      <c r="H173" s="9">
        <f aca="true" t="shared" si="21" ref="H173:AF173">H171*$B$70</f>
        <v>6.186685753221769</v>
      </c>
      <c r="I173" s="9">
        <f t="shared" si="21"/>
        <v>6.186685753221769</v>
      </c>
      <c r="J173" s="9">
        <f t="shared" si="21"/>
        <v>6.186685753221769</v>
      </c>
      <c r="K173" s="9">
        <f t="shared" si="21"/>
        <v>6.186685753221769</v>
      </c>
      <c r="L173" s="9">
        <f t="shared" si="21"/>
        <v>6.186685753221769</v>
      </c>
      <c r="M173" s="9">
        <f t="shared" si="21"/>
        <v>6.186685753221769</v>
      </c>
      <c r="N173" s="9">
        <f t="shared" si="21"/>
        <v>6.078668541384863</v>
      </c>
      <c r="O173" s="9">
        <f t="shared" si="21"/>
        <v>5.959849608364265</v>
      </c>
      <c r="P173" s="9">
        <f t="shared" si="21"/>
        <v>5.8291487820416075</v>
      </c>
      <c r="Q173" s="9">
        <f t="shared" si="21"/>
        <v>5.685377873086685</v>
      </c>
      <c r="R173" s="9">
        <f t="shared" si="21"/>
        <v>5.527229873236269</v>
      </c>
      <c r="S173" s="9">
        <f t="shared" si="21"/>
        <v>5.353267073400812</v>
      </c>
      <c r="T173" s="9">
        <f t="shared" si="21"/>
        <v>5.16190799358181</v>
      </c>
      <c r="U173" s="9">
        <f t="shared" si="21"/>
        <v>4.951413005780907</v>
      </c>
      <c r="V173" s="9">
        <f t="shared" si="21"/>
        <v>4.719868519199914</v>
      </c>
      <c r="W173" s="9">
        <f t="shared" si="21"/>
        <v>4.465169583960821</v>
      </c>
      <c r="X173" s="9">
        <f t="shared" si="21"/>
        <v>4.18500075519782</v>
      </c>
      <c r="Y173" s="9">
        <f t="shared" si="21"/>
        <v>3.8768150435585182</v>
      </c>
      <c r="Z173" s="9">
        <f t="shared" si="21"/>
        <v>3.537810760755286</v>
      </c>
      <c r="AA173" s="9">
        <f t="shared" si="21"/>
        <v>3.164906049671731</v>
      </c>
      <c r="AB173" s="9">
        <f t="shared" si="21"/>
        <v>2.75471086747982</v>
      </c>
      <c r="AC173" s="9">
        <f t="shared" si="21"/>
        <v>2.3034961670687184</v>
      </c>
      <c r="AD173" s="9">
        <f t="shared" si="21"/>
        <v>1.8071599966165062</v>
      </c>
      <c r="AE173" s="9">
        <f t="shared" si="21"/>
        <v>1.261190209119073</v>
      </c>
      <c r="AF173" s="9">
        <f t="shared" si="21"/>
        <v>0.6606234428718963</v>
      </c>
    </row>
    <row r="174" spans="1:32" ht="11.25">
      <c r="A174" s="2" t="s">
        <v>35</v>
      </c>
      <c r="B174" s="16">
        <f>SUM(C174:G174)</f>
        <v>7.384125230126289</v>
      </c>
      <c r="C174" s="9">
        <f>C171*$B$70</f>
        <v>0</v>
      </c>
      <c r="D174" s="9">
        <f>D171*$B$70</f>
        <v>0.023702</v>
      </c>
      <c r="E174" s="9">
        <f>E171*$B$70</f>
        <v>0.624353828</v>
      </c>
      <c r="F174" s="9">
        <f>F171*$B$70</f>
        <v>2.438702781592</v>
      </c>
      <c r="G174" s="9">
        <f>G171*$B$70</f>
        <v>4.297366620534288</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row>
    <row r="175" spans="1:32" ht="11.25">
      <c r="A175" s="2" t="s">
        <v>36</v>
      </c>
      <c r="C175" s="9">
        <v>0</v>
      </c>
      <c r="D175" s="9">
        <v>0</v>
      </c>
      <c r="E175" s="9">
        <v>0</v>
      </c>
      <c r="F175" s="9">
        <v>0</v>
      </c>
      <c r="G175" s="9">
        <v>0</v>
      </c>
      <c r="H175" s="9">
        <v>0</v>
      </c>
      <c r="I175" s="9">
        <v>0</v>
      </c>
      <c r="J175" s="9">
        <v>0</v>
      </c>
      <c r="K175" s="9">
        <v>0</v>
      </c>
      <c r="L175" s="9">
        <v>0</v>
      </c>
      <c r="M175" s="9">
        <f>$G$176*$B$69/((1+$B$69)^$B$65-1)</f>
        <v>7.715515131207624</v>
      </c>
      <c r="N175" s="9">
        <f aca="true" t="shared" si="22" ref="N175:AF175">M175*(1+$B$69)</f>
        <v>8.487066644328387</v>
      </c>
      <c r="O175" s="9">
        <f t="shared" si="22"/>
        <v>9.335773308761226</v>
      </c>
      <c r="P175" s="9">
        <f t="shared" si="22"/>
        <v>10.269350639637349</v>
      </c>
      <c r="Q175" s="9">
        <f t="shared" si="22"/>
        <v>11.296285703601084</v>
      </c>
      <c r="R175" s="9">
        <f t="shared" si="22"/>
        <v>12.425914273961194</v>
      </c>
      <c r="S175" s="9">
        <f t="shared" si="22"/>
        <v>13.668505701357315</v>
      </c>
      <c r="T175" s="9">
        <f t="shared" si="22"/>
        <v>15.035356271493047</v>
      </c>
      <c r="U175" s="9">
        <f t="shared" si="22"/>
        <v>16.53889189864235</v>
      </c>
      <c r="V175" s="9">
        <f t="shared" si="22"/>
        <v>18.19278108850659</v>
      </c>
      <c r="W175" s="9">
        <f t="shared" si="22"/>
        <v>20.01205919735725</v>
      </c>
      <c r="X175" s="9">
        <f t="shared" si="22"/>
        <v>22.013265117092978</v>
      </c>
      <c r="Y175" s="9">
        <f t="shared" si="22"/>
        <v>24.214591628802278</v>
      </c>
      <c r="Z175" s="9">
        <f t="shared" si="22"/>
        <v>26.636050791682507</v>
      </c>
      <c r="AA175" s="9">
        <f t="shared" si="22"/>
        <v>29.29965587085076</v>
      </c>
      <c r="AB175" s="9">
        <f t="shared" si="22"/>
        <v>32.22962145793584</v>
      </c>
      <c r="AC175" s="9">
        <f t="shared" si="22"/>
        <v>35.45258360372943</v>
      </c>
      <c r="AD175" s="9">
        <f t="shared" si="22"/>
        <v>38.99784196410238</v>
      </c>
      <c r="AE175" s="9">
        <f t="shared" si="22"/>
        <v>42.897626160512615</v>
      </c>
      <c r="AF175" s="9">
        <f t="shared" si="22"/>
        <v>47.18738877656388</v>
      </c>
    </row>
    <row r="176" spans="1:32" ht="11.25">
      <c r="A176" s="2" t="s">
        <v>37</v>
      </c>
      <c r="C176" s="9">
        <f aca="true" t="shared" si="23" ref="C176:AF176">C171+C172-C175+C174</f>
        <v>1.693</v>
      </c>
      <c r="D176" s="9">
        <f t="shared" si="23"/>
        <v>44.596702</v>
      </c>
      <c r="E176" s="9">
        <f t="shared" si="23"/>
        <v>174.193055828</v>
      </c>
      <c r="F176" s="9">
        <f t="shared" si="23"/>
        <v>306.95475860959203</v>
      </c>
      <c r="G176" s="37">
        <f t="shared" si="23"/>
        <v>441.90612523012635</v>
      </c>
      <c r="H176" s="9">
        <f t="shared" si="23"/>
        <v>441.90612523012635</v>
      </c>
      <c r="I176" s="9">
        <f t="shared" si="23"/>
        <v>441.90612523012635</v>
      </c>
      <c r="J176" s="9">
        <f t="shared" si="23"/>
        <v>441.90612523012635</v>
      </c>
      <c r="K176" s="9">
        <f t="shared" si="23"/>
        <v>441.90612523012635</v>
      </c>
      <c r="L176" s="9">
        <f t="shared" si="23"/>
        <v>441.90612523012635</v>
      </c>
      <c r="M176" s="9">
        <f t="shared" si="23"/>
        <v>434.19061009891874</v>
      </c>
      <c r="N176" s="9">
        <f t="shared" si="23"/>
        <v>425.7035434545904</v>
      </c>
      <c r="O176" s="9">
        <f t="shared" si="23"/>
        <v>416.3677701458291</v>
      </c>
      <c r="P176" s="9">
        <f t="shared" si="23"/>
        <v>406.09841950619176</v>
      </c>
      <c r="Q176" s="9">
        <f t="shared" si="23"/>
        <v>394.8021338025907</v>
      </c>
      <c r="R176" s="9">
        <f t="shared" si="23"/>
        <v>382.37621952862946</v>
      </c>
      <c r="S176" s="9">
        <f t="shared" si="23"/>
        <v>368.70771382727213</v>
      </c>
      <c r="T176" s="9">
        <f t="shared" si="23"/>
        <v>353.67235755577906</v>
      </c>
      <c r="U176" s="9">
        <f t="shared" si="23"/>
        <v>337.1334656571367</v>
      </c>
      <c r="V176" s="9">
        <f t="shared" si="23"/>
        <v>318.9406845686301</v>
      </c>
      <c r="W176" s="9">
        <f t="shared" si="23"/>
        <v>298.92862537127286</v>
      </c>
      <c r="X176" s="9">
        <f t="shared" si="23"/>
        <v>276.91536025417986</v>
      </c>
      <c r="Y176" s="9">
        <f t="shared" si="23"/>
        <v>252.70076862537758</v>
      </c>
      <c r="Z176" s="9">
        <f t="shared" si="23"/>
        <v>226.06471783369506</v>
      </c>
      <c r="AA176" s="9">
        <f t="shared" si="23"/>
        <v>196.7650619628443</v>
      </c>
      <c r="AB176" s="9">
        <f t="shared" si="23"/>
        <v>164.53544050490845</v>
      </c>
      <c r="AC176" s="9">
        <f t="shared" si="23"/>
        <v>129.082856901179</v>
      </c>
      <c r="AD176" s="9">
        <f t="shared" si="23"/>
        <v>90.08501493707664</v>
      </c>
      <c r="AE176" s="9">
        <f t="shared" si="23"/>
        <v>47.18738877656402</v>
      </c>
      <c r="AF176" s="9">
        <f t="shared" si="23"/>
        <v>1.4210854715202004E-13</v>
      </c>
    </row>
    <row r="177" spans="1:27" ht="11.25">
      <c r="A177" s="14" t="s">
        <v>83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32" ht="11.25">
      <c r="A178" s="11" t="s">
        <v>34</v>
      </c>
      <c r="B178" s="30" t="s">
        <v>85</v>
      </c>
      <c r="C178" s="12">
        <f aca="true" t="shared" si="24" ref="C178:AF178">C173*C$118/1000</f>
        <v>0</v>
      </c>
      <c r="D178" s="12">
        <f t="shared" si="24"/>
        <v>0</v>
      </c>
      <c r="E178" s="12">
        <f t="shared" si="24"/>
        <v>0</v>
      </c>
      <c r="F178" s="12">
        <f t="shared" si="24"/>
        <v>0</v>
      </c>
      <c r="G178" s="12">
        <f t="shared" si="24"/>
        <v>0</v>
      </c>
      <c r="H178" s="12">
        <f t="shared" si="24"/>
        <v>137.195108784993</v>
      </c>
      <c r="I178" s="12">
        <f t="shared" si="24"/>
        <v>142.9115716510344</v>
      </c>
      <c r="J178" s="12">
        <f t="shared" si="24"/>
        <v>148.8662204698275</v>
      </c>
      <c r="K178" s="12">
        <f t="shared" si="24"/>
        <v>155.0689796560703</v>
      </c>
      <c r="L178" s="12">
        <f t="shared" si="24"/>
        <v>161.5301871417399</v>
      </c>
      <c r="M178" s="12">
        <f t="shared" si="24"/>
        <v>168.26061160597908</v>
      </c>
      <c r="N178" s="12">
        <f t="shared" si="24"/>
        <v>172.21129631597876</v>
      </c>
      <c r="O178" s="12">
        <f t="shared" si="24"/>
        <v>175.88031749830319</v>
      </c>
      <c r="P178" s="12">
        <f t="shared" si="24"/>
        <v>179.19085734483787</v>
      </c>
      <c r="Q178" s="12">
        <f t="shared" si="24"/>
        <v>182.05340620557686</v>
      </c>
      <c r="R178" s="12">
        <f t="shared" si="24"/>
        <v>184.36384964314377</v>
      </c>
      <c r="S178" s="12">
        <f t="shared" si="24"/>
        <v>186.00127393060254</v>
      </c>
      <c r="T178" s="12">
        <f t="shared" si="24"/>
        <v>186.82544882447544</v>
      </c>
      <c r="U178" s="12">
        <f t="shared" si="24"/>
        <v>186.6739404367184</v>
      </c>
      <c r="V178" s="12">
        <f t="shared" si="24"/>
        <v>185.3588001448582</v>
      </c>
      <c r="W178" s="12">
        <f t="shared" si="24"/>
        <v>182.66276759075944</v>
      </c>
      <c r="X178" s="12">
        <f t="shared" si="24"/>
        <v>178.33491677910922</v>
      </c>
      <c r="Y178" s="12">
        <f t="shared" si="24"/>
        <v>172.08566392887232</v>
      </c>
      <c r="Z178" s="12">
        <f t="shared" si="24"/>
        <v>163.5810438623985</v>
      </c>
      <c r="AA178" s="12">
        <f t="shared" si="24"/>
        <v>152.43614811722642</v>
      </c>
      <c r="AB178" s="12">
        <f t="shared" si="24"/>
        <v>138.2076023824762</v>
      </c>
      <c r="AC178" s="12">
        <f t="shared" si="24"/>
        <v>120.38494300577581</v>
      </c>
      <c r="AD178" s="12">
        <f t="shared" si="24"/>
        <v>98.38073185646724</v>
      </c>
      <c r="AE178" s="12">
        <f t="shared" si="24"/>
        <v>71.51922538659348</v>
      </c>
      <c r="AF178" s="12">
        <f t="shared" si="24"/>
        <v>39.023386867685</v>
      </c>
    </row>
    <row r="179" spans="1:32" ht="11.25">
      <c r="A179" s="11" t="s">
        <v>84</v>
      </c>
      <c r="B179" s="23">
        <f>IRR(C179:AA179)</f>
        <v>0.027614458627366494</v>
      </c>
      <c r="C179" s="12">
        <f aca="true" t="shared" si="25" ref="C179:AF179">(C172-C173-C175)*C$118/1000</f>
        <v>27.9345</v>
      </c>
      <c r="D179" s="12">
        <f t="shared" si="25"/>
        <v>763.264</v>
      </c>
      <c r="E179" s="12">
        <f t="shared" si="25"/>
        <v>2459.680285714286</v>
      </c>
      <c r="F179" s="12">
        <f t="shared" si="25"/>
        <v>2638.3204272959188</v>
      </c>
      <c r="G179" s="12">
        <f t="shared" si="25"/>
        <v>2781.4708617623646</v>
      </c>
      <c r="H179" s="12">
        <f t="shared" si="25"/>
        <v>-137.195108784993</v>
      </c>
      <c r="I179" s="12">
        <f t="shared" si="25"/>
        <v>-142.9115716510344</v>
      </c>
      <c r="J179" s="12">
        <f t="shared" si="25"/>
        <v>-148.8662204698275</v>
      </c>
      <c r="K179" s="12">
        <f t="shared" si="25"/>
        <v>-155.0689796560703</v>
      </c>
      <c r="L179" s="12">
        <f t="shared" si="25"/>
        <v>-161.5301871417399</v>
      </c>
      <c r="M179" s="12">
        <f t="shared" si="25"/>
        <v>-378.10112179451147</v>
      </c>
      <c r="N179" s="12">
        <f t="shared" si="25"/>
        <v>-412.6535475736721</v>
      </c>
      <c r="O179" s="12">
        <f t="shared" si="25"/>
        <v>-451.38706373107686</v>
      </c>
      <c r="P179" s="12">
        <f t="shared" si="25"/>
        <v>-494.8756707365577</v>
      </c>
      <c r="Q179" s="12">
        <f t="shared" si="25"/>
        <v>-543.7755882169225</v>
      </c>
      <c r="R179" s="12">
        <f t="shared" si="25"/>
        <v>-598.8371831978106</v>
      </c>
      <c r="S179" s="12">
        <f t="shared" si="25"/>
        <v>-660.9186352953251</v>
      </c>
      <c r="T179" s="12">
        <f t="shared" si="25"/>
        <v>-731.0015920548867</v>
      </c>
      <c r="U179" s="12">
        <f t="shared" si="25"/>
        <v>-810.209104554898</v>
      </c>
      <c r="V179" s="12">
        <f t="shared" si="25"/>
        <v>-899.8261756969391</v>
      </c>
      <c r="W179" s="12">
        <f t="shared" si="25"/>
        <v>-1001.3233020775189</v>
      </c>
      <c r="X179" s="12">
        <f t="shared" si="25"/>
        <v>-1116.3834458785213</v>
      </c>
      <c r="Y179" s="12">
        <f t="shared" si="25"/>
        <v>-1246.9329368552822</v>
      </c>
      <c r="Z179" s="12">
        <f t="shared" si="25"/>
        <v>-1395.1768774239097</v>
      </c>
      <c r="AA179" s="12">
        <f t="shared" si="25"/>
        <v>-1563.6397074064582</v>
      </c>
      <c r="AB179" s="12">
        <f t="shared" si="25"/>
        <v>-1755.2116807347215</v>
      </c>
      <c r="AC179" s="12">
        <f t="shared" si="25"/>
        <v>-1973.2021161177233</v>
      </c>
      <c r="AD179" s="12">
        <f t="shared" si="25"/>
        <v>-2221.4004093805743</v>
      </c>
      <c r="AE179" s="12">
        <f t="shared" si="25"/>
        <v>-2504.1459392162997</v>
      </c>
      <c r="AF179" s="12">
        <f t="shared" si="25"/>
        <v>-2826.40816313089</v>
      </c>
    </row>
    <row r="180" ht="11.25">
      <c r="A180" s="1" t="s">
        <v>52</v>
      </c>
    </row>
    <row r="181" spans="1:9" ht="11.25">
      <c r="A181" s="11" t="s">
        <v>3</v>
      </c>
      <c r="B181" s="16">
        <f aca="true" t="shared" si="26" ref="B181:G187">B142</f>
        <v>560.2221967275667</v>
      </c>
      <c r="C181" s="12">
        <f t="shared" si="26"/>
        <v>0</v>
      </c>
      <c r="D181" s="12">
        <f t="shared" si="26"/>
        <v>55.21970928000001</v>
      </c>
      <c r="E181" s="12">
        <f t="shared" si="26"/>
        <v>166.99464278784</v>
      </c>
      <c r="F181" s="12">
        <f t="shared" si="26"/>
        <v>168.33059993014277</v>
      </c>
      <c r="G181" s="12">
        <f t="shared" si="26"/>
        <v>169.6772447295839</v>
      </c>
      <c r="I181" s="43"/>
    </row>
    <row r="182" spans="1:9" ht="11.25">
      <c r="A182" s="11" t="s">
        <v>4</v>
      </c>
      <c r="B182" s="16">
        <f t="shared" si="26"/>
        <v>151.91834349333334</v>
      </c>
      <c r="C182" s="12">
        <f t="shared" si="26"/>
        <v>61.096833333333336</v>
      </c>
      <c r="D182" s="12">
        <f t="shared" si="26"/>
        <v>90.82151016</v>
      </c>
      <c r="E182" s="12">
        <f t="shared" si="26"/>
        <v>0</v>
      </c>
      <c r="F182" s="12">
        <f t="shared" si="26"/>
        <v>0</v>
      </c>
      <c r="G182" s="12">
        <f t="shared" si="26"/>
        <v>0</v>
      </c>
      <c r="I182" s="43"/>
    </row>
    <row r="183" spans="1:7" ht="11.25">
      <c r="A183" s="11" t="s">
        <v>5</v>
      </c>
      <c r="B183" s="16">
        <f t="shared" si="26"/>
        <v>23.91492040437334</v>
      </c>
      <c r="C183" s="12">
        <f t="shared" si="26"/>
        <v>7.196193333333334</v>
      </c>
      <c r="D183" s="12">
        <f t="shared" si="26"/>
        <v>7.129856040000002</v>
      </c>
      <c r="E183" s="12">
        <f t="shared" si="26"/>
        <v>9.588871031040002</v>
      </c>
      <c r="F183" s="12">
        <f t="shared" si="26"/>
        <v>0</v>
      </c>
      <c r="G183" s="12">
        <f t="shared" si="26"/>
        <v>0</v>
      </c>
    </row>
    <row r="184" spans="1:7" ht="11.25">
      <c r="A184" s="11" t="s">
        <v>6</v>
      </c>
      <c r="B184" s="16">
        <f t="shared" si="26"/>
        <v>0.5399133333333335</v>
      </c>
      <c r="C184" s="12">
        <f t="shared" si="26"/>
        <v>0.5399133333333335</v>
      </c>
      <c r="D184" s="12">
        <f t="shared" si="26"/>
        <v>0</v>
      </c>
      <c r="E184" s="12">
        <f t="shared" si="26"/>
        <v>0</v>
      </c>
      <c r="F184" s="12">
        <f t="shared" si="26"/>
        <v>0</v>
      </c>
      <c r="G184" s="12">
        <f t="shared" si="26"/>
        <v>0</v>
      </c>
    </row>
    <row r="185" spans="1:7" ht="11.25">
      <c r="A185" s="11" t="s">
        <v>7</v>
      </c>
      <c r="B185" s="16">
        <f t="shared" si="26"/>
        <v>20.71960713579334</v>
      </c>
      <c r="C185" s="12">
        <f t="shared" si="26"/>
        <v>2.04536</v>
      </c>
      <c r="D185" s="12">
        <f t="shared" si="26"/>
        <v>3.0755463600000006</v>
      </c>
      <c r="E185" s="12">
        <f t="shared" si="26"/>
        <v>6.199576306560001</v>
      </c>
      <c r="F185" s="12">
        <f t="shared" si="26"/>
        <v>6.249172917012482</v>
      </c>
      <c r="G185" s="12">
        <f t="shared" si="26"/>
        <v>3.1499515522208568</v>
      </c>
    </row>
    <row r="186" spans="1:7" ht="11.25">
      <c r="A186" s="11" t="s">
        <v>8</v>
      </c>
      <c r="B186" s="16">
        <f t="shared" si="26"/>
        <v>11.892194487773459</v>
      </c>
      <c r="C186" s="12">
        <f t="shared" si="26"/>
        <v>2.374746666666667</v>
      </c>
      <c r="D186" s="12">
        <f t="shared" si="26"/>
        <v>2.3509992000000004</v>
      </c>
      <c r="E186" s="12">
        <f t="shared" si="26"/>
        <v>2.3698071936000003</v>
      </c>
      <c r="F186" s="12">
        <f t="shared" si="26"/>
        <v>2.3887656511488005</v>
      </c>
      <c r="G186" s="12">
        <f t="shared" si="26"/>
        <v>2.407875776357991</v>
      </c>
    </row>
    <row r="187" spans="1:7" ht="11.25">
      <c r="A187" s="11" t="s">
        <v>9</v>
      </c>
      <c r="B187" s="16">
        <f t="shared" si="26"/>
        <v>1.6430399999999998</v>
      </c>
      <c r="C187" s="12">
        <f t="shared" si="26"/>
        <v>1.6430399999999998</v>
      </c>
      <c r="D187" s="12">
        <f t="shared" si="26"/>
        <v>0</v>
      </c>
      <c r="E187" s="12">
        <f t="shared" si="26"/>
        <v>0</v>
      </c>
      <c r="F187" s="12">
        <f t="shared" si="26"/>
        <v>0</v>
      </c>
      <c r="G187" s="12">
        <f t="shared" si="26"/>
        <v>0</v>
      </c>
    </row>
    <row r="188" spans="1:7" ht="11.25">
      <c r="A188" s="11" t="s">
        <v>35</v>
      </c>
      <c r="B188" s="16">
        <f aca="true" t="shared" si="27" ref="B188:G188">B164+B174</f>
        <v>43.75488503572245</v>
      </c>
      <c r="C188" s="12">
        <f t="shared" si="27"/>
        <v>0</v>
      </c>
      <c r="D188" s="12">
        <f t="shared" si="27"/>
        <v>3.1918088000000004</v>
      </c>
      <c r="E188" s="12">
        <f t="shared" si="27"/>
        <v>8.97593848448</v>
      </c>
      <c r="F188" s="12">
        <f t="shared" si="27"/>
        <v>13.603951729094529</v>
      </c>
      <c r="G188" s="12">
        <f t="shared" si="27"/>
        <v>17.983186022147926</v>
      </c>
    </row>
    <row r="189" spans="1:7" ht="11.25">
      <c r="A189" s="15" t="s">
        <v>25</v>
      </c>
      <c r="B189" s="16">
        <f aca="true" t="shared" si="28" ref="B189:G189">SUM(B181:B188)</f>
        <v>814.6051006178959</v>
      </c>
      <c r="C189" s="12">
        <f t="shared" si="28"/>
        <v>74.89608666666668</v>
      </c>
      <c r="D189" s="12">
        <f t="shared" si="28"/>
        <v>161.78942984</v>
      </c>
      <c r="E189" s="12">
        <f t="shared" si="28"/>
        <v>194.12883580352002</v>
      </c>
      <c r="F189" s="12">
        <f t="shared" si="28"/>
        <v>190.57249022739856</v>
      </c>
      <c r="G189" s="12">
        <f t="shared" si="28"/>
        <v>193.21825808031068</v>
      </c>
    </row>
    <row r="190" ht="11.25">
      <c r="A190" s="1" t="s">
        <v>53</v>
      </c>
    </row>
    <row r="191" spans="1:7" ht="11.25">
      <c r="A191" s="11" t="s">
        <v>3</v>
      </c>
      <c r="B191" s="16">
        <f aca="true" t="shared" si="29" ref="B191:G197">B151</f>
        <v>11187.731581637772</v>
      </c>
      <c r="C191" s="12">
        <f t="shared" si="29"/>
        <v>0</v>
      </c>
      <c r="D191" s="12">
        <f t="shared" si="29"/>
        <v>982.9108251840001</v>
      </c>
      <c r="E191" s="12">
        <f t="shared" si="29"/>
        <v>3184.8264017395204</v>
      </c>
      <c r="F191" s="12">
        <f t="shared" si="29"/>
        <v>3407.764249861287</v>
      </c>
      <c r="G191" s="12">
        <f t="shared" si="29"/>
        <v>3612.2301048529644</v>
      </c>
    </row>
    <row r="192" spans="1:7" ht="11.25">
      <c r="A192" s="11" t="s">
        <v>4</v>
      </c>
      <c r="B192" s="16">
        <f t="shared" si="29"/>
        <v>2624.7206308480004</v>
      </c>
      <c r="C192" s="12">
        <f t="shared" si="29"/>
        <v>1008.0977500000001</v>
      </c>
      <c r="D192" s="12">
        <f t="shared" si="29"/>
        <v>1616.6228808480002</v>
      </c>
      <c r="E192" s="12">
        <f t="shared" si="29"/>
        <v>0</v>
      </c>
      <c r="F192" s="12">
        <f t="shared" si="29"/>
        <v>0</v>
      </c>
      <c r="G192" s="12">
        <f t="shared" si="29"/>
        <v>0</v>
      </c>
    </row>
    <row r="193" spans="1:7" ht="11.25">
      <c r="A193" s="11" t="s">
        <v>5</v>
      </c>
      <c r="B193" s="16">
        <f t="shared" si="29"/>
        <v>428.52209646112004</v>
      </c>
      <c r="C193" s="12">
        <f t="shared" si="29"/>
        <v>118.73719000000001</v>
      </c>
      <c r="D193" s="12">
        <f t="shared" si="29"/>
        <v>126.91143751200002</v>
      </c>
      <c r="E193" s="12">
        <f t="shared" si="29"/>
        <v>182.87346894912002</v>
      </c>
      <c r="F193" s="12">
        <f t="shared" si="29"/>
        <v>0</v>
      </c>
      <c r="G193" s="12">
        <f t="shared" si="29"/>
        <v>0</v>
      </c>
    </row>
    <row r="194" spans="1:7" ht="11.25">
      <c r="A194" s="11" t="s">
        <v>6</v>
      </c>
      <c r="B194" s="16">
        <f t="shared" si="29"/>
        <v>8.908570000000001</v>
      </c>
      <c r="C194" s="12">
        <f t="shared" si="29"/>
        <v>8.908570000000001</v>
      </c>
      <c r="D194" s="12">
        <f t="shared" si="29"/>
        <v>0</v>
      </c>
      <c r="E194" s="12">
        <f t="shared" si="29"/>
        <v>0</v>
      </c>
      <c r="F194" s="12">
        <f t="shared" si="29"/>
        <v>0</v>
      </c>
      <c r="G194" s="12">
        <f t="shared" si="29"/>
        <v>0</v>
      </c>
    </row>
    <row r="195" spans="1:7" ht="11.25">
      <c r="A195" s="11" t="s">
        <v>7</v>
      </c>
      <c r="B195" s="16">
        <f t="shared" si="29"/>
        <v>400.2979377020044</v>
      </c>
      <c r="C195" s="12">
        <f t="shared" si="29"/>
        <v>33.74844</v>
      </c>
      <c r="D195" s="12">
        <f t="shared" si="29"/>
        <v>54.744725208000006</v>
      </c>
      <c r="E195" s="12">
        <f t="shared" si="29"/>
        <v>118.23477670368003</v>
      </c>
      <c r="F195" s="12">
        <f t="shared" si="29"/>
        <v>126.51121107293764</v>
      </c>
      <c r="G195" s="12">
        <f t="shared" si="29"/>
        <v>67.0587847173867</v>
      </c>
    </row>
    <row r="196" spans="1:7" ht="11.25">
      <c r="A196" s="11" t="s">
        <v>8</v>
      </c>
      <c r="B196" s="16">
        <f t="shared" si="29"/>
        <v>225.8468749027674</v>
      </c>
      <c r="C196" s="12">
        <f t="shared" si="29"/>
        <v>39.18332</v>
      </c>
      <c r="D196" s="12">
        <f t="shared" si="29"/>
        <v>41.84778576000001</v>
      </c>
      <c r="E196" s="12">
        <f t="shared" si="29"/>
        <v>45.19560862080001</v>
      </c>
      <c r="F196" s="12">
        <f t="shared" si="29"/>
        <v>48.359301224256015</v>
      </c>
      <c r="G196" s="12">
        <f t="shared" si="29"/>
        <v>51.26085929771138</v>
      </c>
    </row>
    <row r="197" spans="1:7" ht="11.25">
      <c r="A197" s="11" t="s">
        <v>9</v>
      </c>
      <c r="B197" s="16">
        <f t="shared" si="29"/>
        <v>27.110159999999997</v>
      </c>
      <c r="C197" s="12">
        <f t="shared" si="29"/>
        <v>27.110159999999997</v>
      </c>
      <c r="D197" s="12">
        <f t="shared" si="29"/>
        <v>0</v>
      </c>
      <c r="E197" s="12">
        <f t="shared" si="29"/>
        <v>0</v>
      </c>
      <c r="F197" s="12">
        <f t="shared" si="29"/>
        <v>0</v>
      </c>
      <c r="G197" s="12">
        <f t="shared" si="29"/>
        <v>0</v>
      </c>
    </row>
    <row r="198" spans="1:7" ht="11.25">
      <c r="A198" s="11" t="s">
        <v>35</v>
      </c>
      <c r="B198" s="26">
        <f>SUM(C198:G198)</f>
        <v>886.2439962102089</v>
      </c>
      <c r="C198" s="8">
        <f>(C164+C174)*C118/1000</f>
        <v>0</v>
      </c>
      <c r="D198" s="8">
        <f>(D164+D174)*D118/1000</f>
        <v>56.814196640000006</v>
      </c>
      <c r="E198" s="8">
        <f>(E164+E174)*E118/1000</f>
        <v>171.18396966829715</v>
      </c>
      <c r="F198" s="8">
        <f>(F164+F174)*F118/1000</f>
        <v>275.40483060409696</v>
      </c>
      <c r="G198" s="8">
        <f>(G164+G174)*G118/1000</f>
        <v>382.8409992978148</v>
      </c>
    </row>
    <row r="199" spans="1:7" ht="11.25">
      <c r="A199" s="15" t="s">
        <v>25</v>
      </c>
      <c r="B199" s="16">
        <f aca="true" t="shared" si="30" ref="B199:G199">SUM(B191:B198)</f>
        <v>15789.381847761872</v>
      </c>
      <c r="C199" s="12">
        <f t="shared" si="30"/>
        <v>1235.7854300000004</v>
      </c>
      <c r="D199" s="12">
        <f t="shared" si="30"/>
        <v>2879.8518511520006</v>
      </c>
      <c r="E199" s="12">
        <f t="shared" si="30"/>
        <v>3702.314225681418</v>
      </c>
      <c r="F199" s="12">
        <f t="shared" si="30"/>
        <v>3858.0395927625777</v>
      </c>
      <c r="G199" s="12">
        <f t="shared" si="30"/>
        <v>4113.390748165877</v>
      </c>
    </row>
    <row r="200" ht="11.25">
      <c r="A200" s="1" t="s">
        <v>10</v>
      </c>
    </row>
    <row r="201" spans="1:3" ht="11.25">
      <c r="A201" s="2" t="s">
        <v>11</v>
      </c>
      <c r="B201" s="16">
        <f>B145</f>
        <v>0.5399133333333335</v>
      </c>
      <c r="C201" s="4">
        <f>B201/SUM($B$201:$B$203)</f>
        <v>0.0006627893010775317</v>
      </c>
    </row>
    <row r="202" spans="1:3" ht="11.25">
      <c r="A202" s="2" t="s">
        <v>12</v>
      </c>
      <c r="B202" s="16">
        <f>G166</f>
        <v>372.16175980559615</v>
      </c>
      <c r="C202" s="4">
        <f>B202/SUM($B$201:$B$203)</f>
        <v>0.45686005038339844</v>
      </c>
    </row>
    <row r="203" spans="1:3" ht="11.25">
      <c r="A203" s="2" t="s">
        <v>13</v>
      </c>
      <c r="B203" s="36">
        <f>G176</f>
        <v>441.90612523012635</v>
      </c>
      <c r="C203" s="4">
        <f>B203/SUM($B$201:$B$203)</f>
        <v>0.542477160315524</v>
      </c>
    </row>
    <row r="204" ht="11.25">
      <c r="A204" s="1" t="s">
        <v>55</v>
      </c>
    </row>
    <row r="205" spans="1:37" ht="11.25">
      <c r="A205" s="2" t="s">
        <v>122</v>
      </c>
      <c r="C205" s="12">
        <v>0</v>
      </c>
      <c r="D205" s="12">
        <f aca="true" t="shared" si="31" ref="D205:AK205">C208</f>
        <v>227.68768000000003</v>
      </c>
      <c r="E205" s="12">
        <f t="shared" si="31"/>
        <v>1490.9166503040003</v>
      </c>
      <c r="F205" s="12">
        <f t="shared" si="31"/>
        <v>5193.230875985419</v>
      </c>
      <c r="G205" s="12">
        <f t="shared" si="31"/>
        <v>9051.270468747996</v>
      </c>
      <c r="H205" s="12">
        <f t="shared" si="31"/>
        <v>13164.661216913873</v>
      </c>
      <c r="I205" s="12">
        <f t="shared" si="31"/>
        <v>12725.839176350077</v>
      </c>
      <c r="J205" s="12">
        <f t="shared" si="31"/>
        <v>12287.017135786282</v>
      </c>
      <c r="K205" s="12">
        <f t="shared" si="31"/>
        <v>11848.195095222487</v>
      </c>
      <c r="L205" s="12">
        <f t="shared" si="31"/>
        <v>11409.373054658692</v>
      </c>
      <c r="M205" s="12">
        <f t="shared" si="31"/>
        <v>10970.551014094897</v>
      </c>
      <c r="N205" s="12">
        <f t="shared" si="31"/>
        <v>10531.728973531102</v>
      </c>
      <c r="O205" s="12">
        <f t="shared" si="31"/>
        <v>10092.906932967308</v>
      </c>
      <c r="P205" s="12">
        <f t="shared" si="31"/>
        <v>9654.084892403513</v>
      </c>
      <c r="Q205" s="12">
        <f t="shared" si="31"/>
        <v>9215.262851839718</v>
      </c>
      <c r="R205" s="12">
        <f t="shared" si="31"/>
        <v>8776.440811275923</v>
      </c>
      <c r="S205" s="12">
        <f t="shared" si="31"/>
        <v>8337.618770712128</v>
      </c>
      <c r="T205" s="12">
        <f t="shared" si="31"/>
        <v>7898.796730148332</v>
      </c>
      <c r="U205" s="12">
        <f t="shared" si="31"/>
        <v>7459.9746895845365</v>
      </c>
      <c r="V205" s="12">
        <f t="shared" si="31"/>
        <v>7021.152649020741</v>
      </c>
      <c r="W205" s="12">
        <f t="shared" si="31"/>
        <v>6582.330608456945</v>
      </c>
      <c r="X205" s="12">
        <f t="shared" si="31"/>
        <v>6143.508567893149</v>
      </c>
      <c r="Y205" s="12">
        <f t="shared" si="31"/>
        <v>5704.686527329353</v>
      </c>
      <c r="Z205" s="12">
        <f t="shared" si="31"/>
        <v>5265.864486765558</v>
      </c>
      <c r="AA205" s="12">
        <f t="shared" si="31"/>
        <v>4827.042446201762</v>
      </c>
      <c r="AB205" s="12">
        <f t="shared" si="31"/>
        <v>4388.220405637966</v>
      </c>
      <c r="AC205" s="12">
        <f t="shared" si="31"/>
        <v>3949.39836507417</v>
      </c>
      <c r="AD205" s="12">
        <f t="shared" si="31"/>
        <v>3510.5763245103744</v>
      </c>
      <c r="AE205" s="12">
        <f t="shared" si="31"/>
        <v>3071.7542839465787</v>
      </c>
      <c r="AF205" s="12">
        <f t="shared" si="31"/>
        <v>2632.932243382783</v>
      </c>
      <c r="AG205" s="12">
        <f t="shared" si="31"/>
        <v>2194.110202818987</v>
      </c>
      <c r="AH205" s="12">
        <f t="shared" si="31"/>
        <v>1755.2881622551913</v>
      </c>
      <c r="AI205" s="12">
        <f t="shared" si="31"/>
        <v>1316.4661216913955</v>
      </c>
      <c r="AJ205" s="12">
        <f t="shared" si="31"/>
        <v>877.6440811275997</v>
      </c>
      <c r="AK205" s="12">
        <f t="shared" si="31"/>
        <v>438.82204056380397</v>
      </c>
    </row>
    <row r="206" spans="1:37" ht="11.25">
      <c r="A206" s="2" t="s">
        <v>56</v>
      </c>
      <c r="C206" s="12">
        <f>C191+C193+C194+C195+C197+C198+C196</f>
        <v>227.68768000000003</v>
      </c>
      <c r="D206" s="12">
        <f>D191+D193+D194+D195+D197+D198+D196</f>
        <v>1263.2289703040003</v>
      </c>
      <c r="E206" s="12">
        <f>E191+E193+E194+E195+E197+E198+E196</f>
        <v>3702.314225681418</v>
      </c>
      <c r="F206" s="12">
        <f>F191+F193+F194+F195+F197+F198+F196</f>
        <v>3858.0395927625777</v>
      </c>
      <c r="G206" s="12">
        <f>G191+G193+G194+G195+G197+G198+G196</f>
        <v>4113.390748165877</v>
      </c>
      <c r="H206" s="12">
        <v>0</v>
      </c>
      <c r="I206" s="12">
        <v>0</v>
      </c>
      <c r="J206" s="12">
        <v>0</v>
      </c>
      <c r="K206" s="12">
        <v>0</v>
      </c>
      <c r="L206" s="12">
        <v>0</v>
      </c>
      <c r="M206" s="12">
        <v>0</v>
      </c>
      <c r="N206" s="12">
        <v>0</v>
      </c>
      <c r="O206" s="12">
        <v>0</v>
      </c>
      <c r="P206" s="12">
        <v>0</v>
      </c>
      <c r="Q206" s="12">
        <v>0</v>
      </c>
      <c r="R206" s="12">
        <v>0</v>
      </c>
      <c r="S206" s="12">
        <v>0</v>
      </c>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12">
        <v>0</v>
      </c>
      <c r="AJ206" s="12">
        <v>0</v>
      </c>
      <c r="AK206" s="12">
        <v>0</v>
      </c>
    </row>
    <row r="207" spans="1:37" ht="11.25">
      <c r="A207" s="2" t="s">
        <v>54</v>
      </c>
      <c r="C207" s="12">
        <v>0</v>
      </c>
      <c r="D207" s="12">
        <v>0</v>
      </c>
      <c r="E207" s="12">
        <v>0</v>
      </c>
      <c r="F207" s="12">
        <v>0</v>
      </c>
      <c r="G207" s="12">
        <v>0</v>
      </c>
      <c r="H207" s="12">
        <f aca="true" t="shared" si="32" ref="H207:AK207">$G$208/$B$72</f>
        <v>438.8220405637958</v>
      </c>
      <c r="I207" s="12">
        <f t="shared" si="32"/>
        <v>438.8220405637958</v>
      </c>
      <c r="J207" s="12">
        <f t="shared" si="32"/>
        <v>438.8220405637958</v>
      </c>
      <c r="K207" s="12">
        <f t="shared" si="32"/>
        <v>438.8220405637958</v>
      </c>
      <c r="L207" s="12">
        <f t="shared" si="32"/>
        <v>438.8220405637958</v>
      </c>
      <c r="M207" s="12">
        <f t="shared" si="32"/>
        <v>438.8220405637958</v>
      </c>
      <c r="N207" s="12">
        <f t="shared" si="32"/>
        <v>438.8220405637958</v>
      </c>
      <c r="O207" s="12">
        <f t="shared" si="32"/>
        <v>438.8220405637958</v>
      </c>
      <c r="P207" s="12">
        <f t="shared" si="32"/>
        <v>438.8220405637958</v>
      </c>
      <c r="Q207" s="12">
        <f t="shared" si="32"/>
        <v>438.8220405637958</v>
      </c>
      <c r="R207" s="12">
        <f t="shared" si="32"/>
        <v>438.8220405637958</v>
      </c>
      <c r="S207" s="12">
        <f t="shared" si="32"/>
        <v>438.8220405637958</v>
      </c>
      <c r="T207" s="12">
        <f t="shared" si="32"/>
        <v>438.8220405637958</v>
      </c>
      <c r="U207" s="12">
        <f t="shared" si="32"/>
        <v>438.8220405637958</v>
      </c>
      <c r="V207" s="12">
        <f t="shared" si="32"/>
        <v>438.8220405637958</v>
      </c>
      <c r="W207" s="12">
        <f t="shared" si="32"/>
        <v>438.8220405637958</v>
      </c>
      <c r="X207" s="12">
        <f t="shared" si="32"/>
        <v>438.8220405637958</v>
      </c>
      <c r="Y207" s="12">
        <f t="shared" si="32"/>
        <v>438.8220405637958</v>
      </c>
      <c r="Z207" s="12">
        <f t="shared" si="32"/>
        <v>438.8220405637958</v>
      </c>
      <c r="AA207" s="12">
        <f t="shared" si="32"/>
        <v>438.8220405637958</v>
      </c>
      <c r="AB207" s="12">
        <f t="shared" si="32"/>
        <v>438.8220405637958</v>
      </c>
      <c r="AC207" s="12">
        <f t="shared" si="32"/>
        <v>438.8220405637958</v>
      </c>
      <c r="AD207" s="12">
        <f t="shared" si="32"/>
        <v>438.8220405637958</v>
      </c>
      <c r="AE207" s="12">
        <f t="shared" si="32"/>
        <v>438.8220405637958</v>
      </c>
      <c r="AF207" s="12">
        <f t="shared" si="32"/>
        <v>438.8220405637958</v>
      </c>
      <c r="AG207" s="12">
        <f t="shared" si="32"/>
        <v>438.8220405637958</v>
      </c>
      <c r="AH207" s="12">
        <f t="shared" si="32"/>
        <v>438.8220405637958</v>
      </c>
      <c r="AI207" s="12">
        <f t="shared" si="32"/>
        <v>438.8220405637958</v>
      </c>
      <c r="AJ207" s="12">
        <f t="shared" si="32"/>
        <v>438.8220405637958</v>
      </c>
      <c r="AK207" s="12">
        <f t="shared" si="32"/>
        <v>438.8220405637958</v>
      </c>
    </row>
    <row r="208" spans="1:37" ht="11.25">
      <c r="A208" s="2" t="s">
        <v>123</v>
      </c>
      <c r="B208" s="16"/>
      <c r="C208" s="12">
        <f aca="true" t="shared" si="33" ref="C208:AK208">C205-C207+C206</f>
        <v>227.68768000000003</v>
      </c>
      <c r="D208" s="12">
        <f t="shared" si="33"/>
        <v>1490.9166503040003</v>
      </c>
      <c r="E208" s="12">
        <f t="shared" si="33"/>
        <v>5193.230875985419</v>
      </c>
      <c r="F208" s="12">
        <f t="shared" si="33"/>
        <v>9051.270468747996</v>
      </c>
      <c r="G208" s="12">
        <f t="shared" si="33"/>
        <v>13164.661216913873</v>
      </c>
      <c r="H208" s="12">
        <f t="shared" si="33"/>
        <v>12725.839176350077</v>
      </c>
      <c r="I208" s="12">
        <f t="shared" si="33"/>
        <v>12287.017135786282</v>
      </c>
      <c r="J208" s="12">
        <f t="shared" si="33"/>
        <v>11848.195095222487</v>
      </c>
      <c r="K208" s="12">
        <f t="shared" si="33"/>
        <v>11409.373054658692</v>
      </c>
      <c r="L208" s="12">
        <f t="shared" si="33"/>
        <v>10970.551014094897</v>
      </c>
      <c r="M208" s="12">
        <f t="shared" si="33"/>
        <v>10531.728973531102</v>
      </c>
      <c r="N208" s="12">
        <f t="shared" si="33"/>
        <v>10092.906932967308</v>
      </c>
      <c r="O208" s="12">
        <f t="shared" si="33"/>
        <v>9654.084892403513</v>
      </c>
      <c r="P208" s="12">
        <f t="shared" si="33"/>
        <v>9215.262851839718</v>
      </c>
      <c r="Q208" s="12">
        <f t="shared" si="33"/>
        <v>8776.440811275923</v>
      </c>
      <c r="R208" s="12">
        <f t="shared" si="33"/>
        <v>8337.618770712128</v>
      </c>
      <c r="S208" s="12">
        <f t="shared" si="33"/>
        <v>7898.796730148332</v>
      </c>
      <c r="T208" s="12">
        <f t="shared" si="33"/>
        <v>7459.9746895845365</v>
      </c>
      <c r="U208" s="12">
        <f t="shared" si="33"/>
        <v>7021.152649020741</v>
      </c>
      <c r="V208" s="12">
        <f t="shared" si="33"/>
        <v>6582.330608456945</v>
      </c>
      <c r="W208" s="12">
        <f t="shared" si="33"/>
        <v>6143.508567893149</v>
      </c>
      <c r="X208" s="12">
        <f t="shared" si="33"/>
        <v>5704.686527329353</v>
      </c>
      <c r="Y208" s="12">
        <f t="shared" si="33"/>
        <v>5265.864486765558</v>
      </c>
      <c r="Z208" s="12">
        <f t="shared" si="33"/>
        <v>4827.042446201762</v>
      </c>
      <c r="AA208" s="12">
        <f t="shared" si="33"/>
        <v>4388.220405637966</v>
      </c>
      <c r="AB208" s="12">
        <f t="shared" si="33"/>
        <v>3949.39836507417</v>
      </c>
      <c r="AC208" s="12">
        <f t="shared" si="33"/>
        <v>3510.5763245103744</v>
      </c>
      <c r="AD208" s="12">
        <f t="shared" si="33"/>
        <v>3071.7542839465787</v>
      </c>
      <c r="AE208" s="12">
        <f t="shared" si="33"/>
        <v>2632.932243382783</v>
      </c>
      <c r="AF208" s="12">
        <f t="shared" si="33"/>
        <v>2194.110202818987</v>
      </c>
      <c r="AG208" s="12">
        <f t="shared" si="33"/>
        <v>1755.2881622551913</v>
      </c>
      <c r="AH208" s="12">
        <f t="shared" si="33"/>
        <v>1316.4661216913955</v>
      </c>
      <c r="AI208" s="12">
        <f t="shared" si="33"/>
        <v>877.6440811275997</v>
      </c>
      <c r="AJ208" s="12">
        <f t="shared" si="33"/>
        <v>438.82204056380397</v>
      </c>
      <c r="AK208" s="12">
        <f t="shared" si="33"/>
        <v>8.185452315956354E-12</v>
      </c>
    </row>
    <row r="209" spans="1:7" ht="11.25">
      <c r="A209" s="13" t="s">
        <v>59</v>
      </c>
      <c r="G209" s="12"/>
    </row>
    <row r="210" spans="1:7" ht="11.25">
      <c r="A210" s="15" t="s">
        <v>65</v>
      </c>
      <c r="G210" s="12"/>
    </row>
    <row r="211" spans="1:37" ht="11.25">
      <c r="A211" s="38" t="s">
        <v>63</v>
      </c>
      <c r="H211" s="7">
        <f aca="true" t="shared" si="34" ref="H211:H216">H78</f>
        <v>3913</v>
      </c>
      <c r="I211" s="7">
        <f aca="true" t="shared" si="35" ref="I211:O216">ROUND(H211*(1+$D78),0)</f>
        <v>4246</v>
      </c>
      <c r="J211" s="7">
        <f t="shared" si="35"/>
        <v>4607</v>
      </c>
      <c r="K211" s="7">
        <f t="shared" si="35"/>
        <v>4999</v>
      </c>
      <c r="L211" s="7">
        <f t="shared" si="35"/>
        <v>5424</v>
      </c>
      <c r="M211" s="7">
        <f t="shared" si="35"/>
        <v>5885</v>
      </c>
      <c r="N211" s="7">
        <f t="shared" si="35"/>
        <v>6385</v>
      </c>
      <c r="O211" s="7">
        <f t="shared" si="35"/>
        <v>6928</v>
      </c>
      <c r="P211" s="7">
        <f aca="true" t="shared" si="36" ref="P211:T216">ROUND(O211*(1+$E78),0)</f>
        <v>7371</v>
      </c>
      <c r="Q211" s="7">
        <f t="shared" si="36"/>
        <v>7843</v>
      </c>
      <c r="R211" s="7">
        <f t="shared" si="36"/>
        <v>8345</v>
      </c>
      <c r="S211" s="7">
        <f t="shared" si="36"/>
        <v>8879</v>
      </c>
      <c r="T211" s="7">
        <f t="shared" si="36"/>
        <v>9447</v>
      </c>
      <c r="U211" s="7">
        <f aca="true" t="shared" si="37" ref="U211:Y216">ROUND(T211*(1+$F78),0)</f>
        <v>9447</v>
      </c>
      <c r="V211" s="7">
        <f t="shared" si="37"/>
        <v>9447</v>
      </c>
      <c r="W211" s="7">
        <f t="shared" si="37"/>
        <v>9447</v>
      </c>
      <c r="X211" s="7">
        <f t="shared" si="37"/>
        <v>9447</v>
      </c>
      <c r="Y211" s="7">
        <f t="shared" si="37"/>
        <v>9447</v>
      </c>
      <c r="Z211" s="7">
        <f aca="true" t="shared" si="38" ref="Z211:AK211">ROUND(Y211*(1+$G78),0)</f>
        <v>9447</v>
      </c>
      <c r="AA211" s="7">
        <f t="shared" si="38"/>
        <v>9447</v>
      </c>
      <c r="AB211" s="7">
        <f t="shared" si="38"/>
        <v>9447</v>
      </c>
      <c r="AC211" s="7">
        <f t="shared" si="38"/>
        <v>9447</v>
      </c>
      <c r="AD211" s="7">
        <f t="shared" si="38"/>
        <v>9447</v>
      </c>
      <c r="AE211" s="7">
        <f t="shared" si="38"/>
        <v>9447</v>
      </c>
      <c r="AF211" s="7">
        <f t="shared" si="38"/>
        <v>9447</v>
      </c>
      <c r="AG211" s="7">
        <f t="shared" si="38"/>
        <v>9447</v>
      </c>
      <c r="AH211" s="7">
        <f t="shared" si="38"/>
        <v>9447</v>
      </c>
      <c r="AI211" s="7">
        <f t="shared" si="38"/>
        <v>9447</v>
      </c>
      <c r="AJ211" s="7">
        <f t="shared" si="38"/>
        <v>9447</v>
      </c>
      <c r="AK211" s="7">
        <f t="shared" si="38"/>
        <v>9447</v>
      </c>
    </row>
    <row r="212" spans="1:37" ht="11.25">
      <c r="A212" s="38" t="s">
        <v>134</v>
      </c>
      <c r="H212" s="7">
        <f t="shared" si="34"/>
        <v>4534</v>
      </c>
      <c r="I212" s="7">
        <f t="shared" si="35"/>
        <v>4919</v>
      </c>
      <c r="J212" s="7">
        <f t="shared" si="35"/>
        <v>5337</v>
      </c>
      <c r="K212" s="7">
        <f t="shared" si="35"/>
        <v>5791</v>
      </c>
      <c r="L212" s="7">
        <f t="shared" si="35"/>
        <v>6283</v>
      </c>
      <c r="M212" s="7">
        <f t="shared" si="35"/>
        <v>6817</v>
      </c>
      <c r="N212" s="7">
        <f t="shared" si="35"/>
        <v>7396</v>
      </c>
      <c r="O212" s="7">
        <f t="shared" si="35"/>
        <v>8025</v>
      </c>
      <c r="P212" s="7">
        <f t="shared" si="36"/>
        <v>8539</v>
      </c>
      <c r="Q212" s="7">
        <f t="shared" si="36"/>
        <v>9085</v>
      </c>
      <c r="R212" s="7">
        <f t="shared" si="36"/>
        <v>9666</v>
      </c>
      <c r="S212" s="7">
        <f t="shared" si="36"/>
        <v>10285</v>
      </c>
      <c r="T212" s="7">
        <f t="shared" si="36"/>
        <v>10943</v>
      </c>
      <c r="U212" s="7">
        <f t="shared" si="37"/>
        <v>10943</v>
      </c>
      <c r="V212" s="7">
        <f t="shared" si="37"/>
        <v>10943</v>
      </c>
      <c r="W212" s="7">
        <f t="shared" si="37"/>
        <v>10943</v>
      </c>
      <c r="X212" s="7">
        <f t="shared" si="37"/>
        <v>10943</v>
      </c>
      <c r="Y212" s="7">
        <f t="shared" si="37"/>
        <v>10943</v>
      </c>
      <c r="Z212" s="7">
        <f aca="true" t="shared" si="39" ref="Z212:AK212">ROUND(Y212*(1+$G79),0)</f>
        <v>10943</v>
      </c>
      <c r="AA212" s="7">
        <f t="shared" si="39"/>
        <v>10943</v>
      </c>
      <c r="AB212" s="7">
        <f t="shared" si="39"/>
        <v>10943</v>
      </c>
      <c r="AC212" s="7">
        <f t="shared" si="39"/>
        <v>10943</v>
      </c>
      <c r="AD212" s="7">
        <f t="shared" si="39"/>
        <v>10943</v>
      </c>
      <c r="AE212" s="7">
        <f t="shared" si="39"/>
        <v>10943</v>
      </c>
      <c r="AF212" s="7">
        <f t="shared" si="39"/>
        <v>10943</v>
      </c>
      <c r="AG212" s="7">
        <f t="shared" si="39"/>
        <v>10943</v>
      </c>
      <c r="AH212" s="7">
        <f t="shared" si="39"/>
        <v>10943</v>
      </c>
      <c r="AI212" s="7">
        <f t="shared" si="39"/>
        <v>10943</v>
      </c>
      <c r="AJ212" s="7">
        <f t="shared" si="39"/>
        <v>10943</v>
      </c>
      <c r="AK212" s="7">
        <f t="shared" si="39"/>
        <v>10943</v>
      </c>
    </row>
    <row r="213" spans="1:37" ht="11.25">
      <c r="A213" s="38" t="s">
        <v>135</v>
      </c>
      <c r="H213" s="7">
        <f t="shared" si="34"/>
        <v>1828</v>
      </c>
      <c r="I213" s="7">
        <f t="shared" si="35"/>
        <v>1983</v>
      </c>
      <c r="J213" s="7">
        <f t="shared" si="35"/>
        <v>2152</v>
      </c>
      <c r="K213" s="7">
        <f t="shared" si="35"/>
        <v>2335</v>
      </c>
      <c r="L213" s="7">
        <f t="shared" si="35"/>
        <v>2533</v>
      </c>
      <c r="M213" s="7">
        <f t="shared" si="35"/>
        <v>2748</v>
      </c>
      <c r="N213" s="7">
        <f t="shared" si="35"/>
        <v>2982</v>
      </c>
      <c r="O213" s="7">
        <f t="shared" si="35"/>
        <v>3235</v>
      </c>
      <c r="P213" s="7">
        <f t="shared" si="36"/>
        <v>3442</v>
      </c>
      <c r="Q213" s="7">
        <f t="shared" si="36"/>
        <v>3662</v>
      </c>
      <c r="R213" s="7">
        <f t="shared" si="36"/>
        <v>3896</v>
      </c>
      <c r="S213" s="7">
        <f t="shared" si="36"/>
        <v>4145</v>
      </c>
      <c r="T213" s="7">
        <f t="shared" si="36"/>
        <v>4410</v>
      </c>
      <c r="U213" s="7">
        <f t="shared" si="37"/>
        <v>4410</v>
      </c>
      <c r="V213" s="7">
        <f t="shared" si="37"/>
        <v>4410</v>
      </c>
      <c r="W213" s="7">
        <f t="shared" si="37"/>
        <v>4410</v>
      </c>
      <c r="X213" s="7">
        <f t="shared" si="37"/>
        <v>4410</v>
      </c>
      <c r="Y213" s="7">
        <f t="shared" si="37"/>
        <v>4410</v>
      </c>
      <c r="Z213" s="7">
        <f aca="true" t="shared" si="40" ref="Z213:AK213">ROUND(Y213*(1+$G80),0)</f>
        <v>4410</v>
      </c>
      <c r="AA213" s="7">
        <f t="shared" si="40"/>
        <v>4410</v>
      </c>
      <c r="AB213" s="7">
        <f t="shared" si="40"/>
        <v>4410</v>
      </c>
      <c r="AC213" s="7">
        <f t="shared" si="40"/>
        <v>4410</v>
      </c>
      <c r="AD213" s="7">
        <f t="shared" si="40"/>
        <v>4410</v>
      </c>
      <c r="AE213" s="7">
        <f t="shared" si="40"/>
        <v>4410</v>
      </c>
      <c r="AF213" s="7">
        <f t="shared" si="40"/>
        <v>4410</v>
      </c>
      <c r="AG213" s="7">
        <f t="shared" si="40"/>
        <v>4410</v>
      </c>
      <c r="AH213" s="7">
        <f t="shared" si="40"/>
        <v>4410</v>
      </c>
      <c r="AI213" s="7">
        <f t="shared" si="40"/>
        <v>4410</v>
      </c>
      <c r="AJ213" s="7">
        <f t="shared" si="40"/>
        <v>4410</v>
      </c>
      <c r="AK213" s="7">
        <f t="shared" si="40"/>
        <v>4410</v>
      </c>
    </row>
    <row r="214" spans="1:37" ht="11.25">
      <c r="A214" s="38" t="s">
        <v>136</v>
      </c>
      <c r="H214" s="7">
        <f t="shared" si="34"/>
        <v>2795</v>
      </c>
      <c r="I214" s="7">
        <f t="shared" si="35"/>
        <v>3033</v>
      </c>
      <c r="J214" s="7">
        <f t="shared" si="35"/>
        <v>3291</v>
      </c>
      <c r="K214" s="7">
        <f t="shared" si="35"/>
        <v>3571</v>
      </c>
      <c r="L214" s="7">
        <f t="shared" si="35"/>
        <v>3875</v>
      </c>
      <c r="M214" s="7">
        <f t="shared" si="35"/>
        <v>4204</v>
      </c>
      <c r="N214" s="7">
        <f t="shared" si="35"/>
        <v>4561</v>
      </c>
      <c r="O214" s="7">
        <f t="shared" si="35"/>
        <v>4949</v>
      </c>
      <c r="P214" s="7">
        <f t="shared" si="36"/>
        <v>5266</v>
      </c>
      <c r="Q214" s="7">
        <f t="shared" si="36"/>
        <v>5603</v>
      </c>
      <c r="R214" s="7">
        <f t="shared" si="36"/>
        <v>5962</v>
      </c>
      <c r="S214" s="7">
        <f t="shared" si="36"/>
        <v>6344</v>
      </c>
      <c r="T214" s="7">
        <f t="shared" si="36"/>
        <v>6750</v>
      </c>
      <c r="U214" s="7">
        <f t="shared" si="37"/>
        <v>6750</v>
      </c>
      <c r="V214" s="7">
        <f t="shared" si="37"/>
        <v>6750</v>
      </c>
      <c r="W214" s="7">
        <f t="shared" si="37"/>
        <v>6750</v>
      </c>
      <c r="X214" s="7">
        <f t="shared" si="37"/>
        <v>6750</v>
      </c>
      <c r="Y214" s="7">
        <f t="shared" si="37"/>
        <v>6750</v>
      </c>
      <c r="Z214" s="7">
        <f aca="true" t="shared" si="41" ref="Z214:AK214">ROUND(Y214*(1+$G81),0)</f>
        <v>6750</v>
      </c>
      <c r="AA214" s="7">
        <f t="shared" si="41"/>
        <v>6750</v>
      </c>
      <c r="AB214" s="7">
        <f t="shared" si="41"/>
        <v>6750</v>
      </c>
      <c r="AC214" s="7">
        <f t="shared" si="41"/>
        <v>6750</v>
      </c>
      <c r="AD214" s="7">
        <f t="shared" si="41"/>
        <v>6750</v>
      </c>
      <c r="AE214" s="7">
        <f t="shared" si="41"/>
        <v>6750</v>
      </c>
      <c r="AF214" s="7">
        <f t="shared" si="41"/>
        <v>6750</v>
      </c>
      <c r="AG214" s="7">
        <f t="shared" si="41"/>
        <v>6750</v>
      </c>
      <c r="AH214" s="7">
        <f t="shared" si="41"/>
        <v>6750</v>
      </c>
      <c r="AI214" s="7">
        <f t="shared" si="41"/>
        <v>6750</v>
      </c>
      <c r="AJ214" s="7">
        <f t="shared" si="41"/>
        <v>6750</v>
      </c>
      <c r="AK214" s="7">
        <f t="shared" si="41"/>
        <v>6750</v>
      </c>
    </row>
    <row r="215" spans="1:37" ht="11.25">
      <c r="A215" s="38" t="s">
        <v>137</v>
      </c>
      <c r="H215" s="7">
        <f t="shared" si="34"/>
        <v>2301</v>
      </c>
      <c r="I215" s="7">
        <f t="shared" si="35"/>
        <v>2497</v>
      </c>
      <c r="J215" s="7">
        <f t="shared" si="35"/>
        <v>2709</v>
      </c>
      <c r="K215" s="7">
        <f t="shared" si="35"/>
        <v>2939</v>
      </c>
      <c r="L215" s="7">
        <f t="shared" si="35"/>
        <v>3189</v>
      </c>
      <c r="M215" s="7">
        <f t="shared" si="35"/>
        <v>3460</v>
      </c>
      <c r="N215" s="7">
        <f t="shared" si="35"/>
        <v>3754</v>
      </c>
      <c r="O215" s="7">
        <f t="shared" si="35"/>
        <v>4073</v>
      </c>
      <c r="P215" s="7">
        <f t="shared" si="36"/>
        <v>4334</v>
      </c>
      <c r="Q215" s="7">
        <f t="shared" si="36"/>
        <v>4611</v>
      </c>
      <c r="R215" s="7">
        <f t="shared" si="36"/>
        <v>4906</v>
      </c>
      <c r="S215" s="7">
        <f t="shared" si="36"/>
        <v>5220</v>
      </c>
      <c r="T215" s="7">
        <f t="shared" si="36"/>
        <v>5554</v>
      </c>
      <c r="U215" s="7">
        <f t="shared" si="37"/>
        <v>5554</v>
      </c>
      <c r="V215" s="7">
        <f t="shared" si="37"/>
        <v>5554</v>
      </c>
      <c r="W215" s="7">
        <f t="shared" si="37"/>
        <v>5554</v>
      </c>
      <c r="X215" s="7">
        <f t="shared" si="37"/>
        <v>5554</v>
      </c>
      <c r="Y215" s="7">
        <f t="shared" si="37"/>
        <v>5554</v>
      </c>
      <c r="Z215" s="7">
        <f aca="true" t="shared" si="42" ref="Z215:AK215">ROUND(Y215*(1+$G82),0)</f>
        <v>5554</v>
      </c>
      <c r="AA215" s="7">
        <f t="shared" si="42"/>
        <v>5554</v>
      </c>
      <c r="AB215" s="7">
        <f t="shared" si="42"/>
        <v>5554</v>
      </c>
      <c r="AC215" s="7">
        <f t="shared" si="42"/>
        <v>5554</v>
      </c>
      <c r="AD215" s="7">
        <f t="shared" si="42"/>
        <v>5554</v>
      </c>
      <c r="AE215" s="7">
        <f t="shared" si="42"/>
        <v>5554</v>
      </c>
      <c r="AF215" s="7">
        <f t="shared" si="42"/>
        <v>5554</v>
      </c>
      <c r="AG215" s="7">
        <f t="shared" si="42"/>
        <v>5554</v>
      </c>
      <c r="AH215" s="7">
        <f t="shared" si="42"/>
        <v>5554</v>
      </c>
      <c r="AI215" s="7">
        <f t="shared" si="42"/>
        <v>5554</v>
      </c>
      <c r="AJ215" s="7">
        <f t="shared" si="42"/>
        <v>5554</v>
      </c>
      <c r="AK215" s="7">
        <f t="shared" si="42"/>
        <v>5554</v>
      </c>
    </row>
    <row r="216" spans="1:37" ht="11.25">
      <c r="A216" s="38" t="s">
        <v>138</v>
      </c>
      <c r="H216" s="7">
        <f t="shared" si="34"/>
        <v>1830</v>
      </c>
      <c r="I216" s="7">
        <f t="shared" si="35"/>
        <v>1986</v>
      </c>
      <c r="J216" s="7">
        <f t="shared" si="35"/>
        <v>2155</v>
      </c>
      <c r="K216" s="7">
        <f t="shared" si="35"/>
        <v>2338</v>
      </c>
      <c r="L216" s="7">
        <f t="shared" si="35"/>
        <v>2537</v>
      </c>
      <c r="M216" s="7">
        <f t="shared" si="35"/>
        <v>2753</v>
      </c>
      <c r="N216" s="7">
        <f t="shared" si="35"/>
        <v>2987</v>
      </c>
      <c r="O216" s="7">
        <f t="shared" si="35"/>
        <v>3241</v>
      </c>
      <c r="P216" s="7">
        <f t="shared" si="36"/>
        <v>3448</v>
      </c>
      <c r="Q216" s="7">
        <f t="shared" si="36"/>
        <v>3669</v>
      </c>
      <c r="R216" s="7">
        <f t="shared" si="36"/>
        <v>3904</v>
      </c>
      <c r="S216" s="7">
        <f t="shared" si="36"/>
        <v>4154</v>
      </c>
      <c r="T216" s="7">
        <f t="shared" si="36"/>
        <v>4420</v>
      </c>
      <c r="U216" s="7">
        <f t="shared" si="37"/>
        <v>4420</v>
      </c>
      <c r="V216" s="7">
        <f t="shared" si="37"/>
        <v>4420</v>
      </c>
      <c r="W216" s="7">
        <f t="shared" si="37"/>
        <v>4420</v>
      </c>
      <c r="X216" s="7">
        <f t="shared" si="37"/>
        <v>4420</v>
      </c>
      <c r="Y216" s="7">
        <f t="shared" si="37"/>
        <v>4420</v>
      </c>
      <c r="Z216" s="7">
        <f aca="true" t="shared" si="43" ref="Z216:AK216">ROUND(Y216*(1+$G83),0)</f>
        <v>4420</v>
      </c>
      <c r="AA216" s="7">
        <f t="shared" si="43"/>
        <v>4420</v>
      </c>
      <c r="AB216" s="7">
        <f t="shared" si="43"/>
        <v>4420</v>
      </c>
      <c r="AC216" s="7">
        <f t="shared" si="43"/>
        <v>4420</v>
      </c>
      <c r="AD216" s="7">
        <f t="shared" si="43"/>
        <v>4420</v>
      </c>
      <c r="AE216" s="7">
        <f t="shared" si="43"/>
        <v>4420</v>
      </c>
      <c r="AF216" s="7">
        <f t="shared" si="43"/>
        <v>4420</v>
      </c>
      <c r="AG216" s="7">
        <f t="shared" si="43"/>
        <v>4420</v>
      </c>
      <c r="AH216" s="7">
        <f t="shared" si="43"/>
        <v>4420</v>
      </c>
      <c r="AI216" s="7">
        <f t="shared" si="43"/>
        <v>4420</v>
      </c>
      <c r="AJ216" s="7">
        <f t="shared" si="43"/>
        <v>4420</v>
      </c>
      <c r="AK216" s="7">
        <f t="shared" si="43"/>
        <v>4420</v>
      </c>
    </row>
    <row r="217" spans="1:37" ht="11.25">
      <c r="A217" s="15" t="s">
        <v>66</v>
      </c>
      <c r="H217" s="7"/>
      <c r="P217" s="7"/>
      <c r="Q217" s="7"/>
      <c r="R217" s="7"/>
      <c r="S217" s="7"/>
      <c r="T217" s="7"/>
      <c r="U217" s="7"/>
      <c r="V217" s="7"/>
      <c r="W217" s="7"/>
      <c r="X217" s="7"/>
      <c r="Y217" s="7"/>
      <c r="Z217" s="7"/>
      <c r="AA217" s="7"/>
      <c r="AB217" s="7"/>
      <c r="AC217" s="7"/>
      <c r="AD217" s="7"/>
      <c r="AE217" s="7"/>
      <c r="AF217" s="7"/>
      <c r="AG217" s="7"/>
      <c r="AH217" s="7"/>
      <c r="AI217" s="7"/>
      <c r="AJ217" s="7"/>
      <c r="AK217" s="7"/>
    </row>
    <row r="218" spans="1:37" ht="11.25">
      <c r="A218" s="38" t="s">
        <v>63</v>
      </c>
      <c r="H218" s="7">
        <f aca="true" t="shared" si="44" ref="H218:H223">H85</f>
        <v>1874</v>
      </c>
      <c r="I218" s="7">
        <f aca="true" t="shared" si="45" ref="I218:O223">ROUND(H218*(1+$D85),0)</f>
        <v>2026</v>
      </c>
      <c r="J218" s="7">
        <f t="shared" si="45"/>
        <v>2190</v>
      </c>
      <c r="K218" s="7">
        <f t="shared" si="45"/>
        <v>2367</v>
      </c>
      <c r="L218" s="7">
        <f t="shared" si="45"/>
        <v>2559</v>
      </c>
      <c r="M218" s="7">
        <f t="shared" si="45"/>
        <v>2766</v>
      </c>
      <c r="N218" s="7">
        <f t="shared" si="45"/>
        <v>2990</v>
      </c>
      <c r="O218" s="7">
        <f t="shared" si="45"/>
        <v>3232</v>
      </c>
      <c r="P218" s="7">
        <f aca="true" t="shared" si="46" ref="P218:T223">ROUND(O218*(1+$E85),0)</f>
        <v>3445</v>
      </c>
      <c r="Q218" s="7">
        <f t="shared" si="46"/>
        <v>3672</v>
      </c>
      <c r="R218" s="7">
        <f t="shared" si="46"/>
        <v>3914</v>
      </c>
      <c r="S218" s="7">
        <f t="shared" si="46"/>
        <v>4172</v>
      </c>
      <c r="T218" s="7">
        <f t="shared" si="46"/>
        <v>4447</v>
      </c>
      <c r="U218" s="7">
        <f aca="true" t="shared" si="47" ref="U218:Y223">ROUND(T218*(1+$F85),0)</f>
        <v>4696</v>
      </c>
      <c r="V218" s="7">
        <f t="shared" si="47"/>
        <v>4959</v>
      </c>
      <c r="W218" s="7">
        <f t="shared" si="47"/>
        <v>5237</v>
      </c>
      <c r="X218" s="7">
        <f t="shared" si="47"/>
        <v>5530</v>
      </c>
      <c r="Y218" s="7">
        <f t="shared" si="47"/>
        <v>5840</v>
      </c>
      <c r="Z218" s="7">
        <f aca="true" t="shared" si="48" ref="Z218:AK218">ROUND(Y218*(1+$G85),0)</f>
        <v>5840</v>
      </c>
      <c r="AA218" s="7">
        <f t="shared" si="48"/>
        <v>5840</v>
      </c>
      <c r="AB218" s="7">
        <f t="shared" si="48"/>
        <v>5840</v>
      </c>
      <c r="AC218" s="7">
        <f t="shared" si="48"/>
        <v>5840</v>
      </c>
      <c r="AD218" s="7">
        <f t="shared" si="48"/>
        <v>5840</v>
      </c>
      <c r="AE218" s="7">
        <f t="shared" si="48"/>
        <v>5840</v>
      </c>
      <c r="AF218" s="7">
        <f t="shared" si="48"/>
        <v>5840</v>
      </c>
      <c r="AG218" s="7">
        <f t="shared" si="48"/>
        <v>5840</v>
      </c>
      <c r="AH218" s="7">
        <f t="shared" si="48"/>
        <v>5840</v>
      </c>
      <c r="AI218" s="7">
        <f t="shared" si="48"/>
        <v>5840</v>
      </c>
      <c r="AJ218" s="7">
        <f t="shared" si="48"/>
        <v>5840</v>
      </c>
      <c r="AK218" s="7">
        <f t="shared" si="48"/>
        <v>5840</v>
      </c>
    </row>
    <row r="219" spans="1:37" ht="11.25">
      <c r="A219" s="38" t="s">
        <v>134</v>
      </c>
      <c r="H219" s="7">
        <f t="shared" si="44"/>
        <v>2770</v>
      </c>
      <c r="I219" s="7">
        <f t="shared" si="45"/>
        <v>2994</v>
      </c>
      <c r="J219" s="7">
        <f t="shared" si="45"/>
        <v>3237</v>
      </c>
      <c r="K219" s="7">
        <f t="shared" si="45"/>
        <v>3499</v>
      </c>
      <c r="L219" s="7">
        <f t="shared" si="45"/>
        <v>3782</v>
      </c>
      <c r="M219" s="7">
        <f t="shared" si="45"/>
        <v>4088</v>
      </c>
      <c r="N219" s="7">
        <f t="shared" si="45"/>
        <v>4419</v>
      </c>
      <c r="O219" s="7">
        <f t="shared" si="45"/>
        <v>4777</v>
      </c>
      <c r="P219" s="7">
        <f t="shared" si="46"/>
        <v>5092</v>
      </c>
      <c r="Q219" s="7">
        <f t="shared" si="46"/>
        <v>5428</v>
      </c>
      <c r="R219" s="7">
        <f t="shared" si="46"/>
        <v>5786</v>
      </c>
      <c r="S219" s="7">
        <f t="shared" si="46"/>
        <v>6168</v>
      </c>
      <c r="T219" s="7">
        <f t="shared" si="46"/>
        <v>6575</v>
      </c>
      <c r="U219" s="7">
        <f t="shared" si="47"/>
        <v>6943</v>
      </c>
      <c r="V219" s="7">
        <f t="shared" si="47"/>
        <v>7332</v>
      </c>
      <c r="W219" s="7">
        <f t="shared" si="47"/>
        <v>7743</v>
      </c>
      <c r="X219" s="7">
        <f t="shared" si="47"/>
        <v>8177</v>
      </c>
      <c r="Y219" s="7">
        <f t="shared" si="47"/>
        <v>8635</v>
      </c>
      <c r="Z219" s="7">
        <f aca="true" t="shared" si="49" ref="Z219:AK219">ROUND(Y219*(1+$G86),0)</f>
        <v>8635</v>
      </c>
      <c r="AA219" s="7">
        <f t="shared" si="49"/>
        <v>8635</v>
      </c>
      <c r="AB219" s="7">
        <f t="shared" si="49"/>
        <v>8635</v>
      </c>
      <c r="AC219" s="7">
        <f t="shared" si="49"/>
        <v>8635</v>
      </c>
      <c r="AD219" s="7">
        <f t="shared" si="49"/>
        <v>8635</v>
      </c>
      <c r="AE219" s="7">
        <f t="shared" si="49"/>
        <v>8635</v>
      </c>
      <c r="AF219" s="7">
        <f t="shared" si="49"/>
        <v>8635</v>
      </c>
      <c r="AG219" s="7">
        <f t="shared" si="49"/>
        <v>8635</v>
      </c>
      <c r="AH219" s="7">
        <f t="shared" si="49"/>
        <v>8635</v>
      </c>
      <c r="AI219" s="7">
        <f t="shared" si="49"/>
        <v>8635</v>
      </c>
      <c r="AJ219" s="7">
        <f t="shared" si="49"/>
        <v>8635</v>
      </c>
      <c r="AK219" s="7">
        <f t="shared" si="49"/>
        <v>8635</v>
      </c>
    </row>
    <row r="220" spans="1:37" ht="11.25">
      <c r="A220" s="38" t="s">
        <v>135</v>
      </c>
      <c r="H220" s="7">
        <f t="shared" si="44"/>
        <v>1273</v>
      </c>
      <c r="I220" s="7">
        <f t="shared" si="45"/>
        <v>1376</v>
      </c>
      <c r="J220" s="7">
        <f t="shared" si="45"/>
        <v>1487</v>
      </c>
      <c r="K220" s="7">
        <f t="shared" si="45"/>
        <v>1607</v>
      </c>
      <c r="L220" s="7">
        <f t="shared" si="45"/>
        <v>1737</v>
      </c>
      <c r="M220" s="7">
        <f t="shared" si="45"/>
        <v>1878</v>
      </c>
      <c r="N220" s="7">
        <f t="shared" si="45"/>
        <v>2030</v>
      </c>
      <c r="O220" s="7">
        <f t="shared" si="45"/>
        <v>2194</v>
      </c>
      <c r="P220" s="7">
        <f t="shared" si="46"/>
        <v>2339</v>
      </c>
      <c r="Q220" s="7">
        <f t="shared" si="46"/>
        <v>2493</v>
      </c>
      <c r="R220" s="7">
        <f t="shared" si="46"/>
        <v>2658</v>
      </c>
      <c r="S220" s="7">
        <f t="shared" si="46"/>
        <v>2833</v>
      </c>
      <c r="T220" s="7">
        <f t="shared" si="46"/>
        <v>3020</v>
      </c>
      <c r="U220" s="7">
        <f t="shared" si="47"/>
        <v>3189</v>
      </c>
      <c r="V220" s="7">
        <f t="shared" si="47"/>
        <v>3368</v>
      </c>
      <c r="W220" s="7">
        <f t="shared" si="47"/>
        <v>3557</v>
      </c>
      <c r="X220" s="7">
        <f t="shared" si="47"/>
        <v>3756</v>
      </c>
      <c r="Y220" s="7">
        <f t="shared" si="47"/>
        <v>3966</v>
      </c>
      <c r="Z220" s="7">
        <f aca="true" t="shared" si="50" ref="Z220:AK220">ROUND(Y220*(1+$G87),0)</f>
        <v>3966</v>
      </c>
      <c r="AA220" s="7">
        <f t="shared" si="50"/>
        <v>3966</v>
      </c>
      <c r="AB220" s="7">
        <f t="shared" si="50"/>
        <v>3966</v>
      </c>
      <c r="AC220" s="7">
        <f t="shared" si="50"/>
        <v>3966</v>
      </c>
      <c r="AD220" s="7">
        <f t="shared" si="50"/>
        <v>3966</v>
      </c>
      <c r="AE220" s="7">
        <f t="shared" si="50"/>
        <v>3966</v>
      </c>
      <c r="AF220" s="7">
        <f t="shared" si="50"/>
        <v>3966</v>
      </c>
      <c r="AG220" s="7">
        <f t="shared" si="50"/>
        <v>3966</v>
      </c>
      <c r="AH220" s="7">
        <f t="shared" si="50"/>
        <v>3966</v>
      </c>
      <c r="AI220" s="7">
        <f t="shared" si="50"/>
        <v>3966</v>
      </c>
      <c r="AJ220" s="7">
        <f t="shared" si="50"/>
        <v>3966</v>
      </c>
      <c r="AK220" s="7">
        <f t="shared" si="50"/>
        <v>3966</v>
      </c>
    </row>
    <row r="221" spans="1:37" ht="11.25">
      <c r="A221" s="38" t="s">
        <v>136</v>
      </c>
      <c r="H221" s="7">
        <f t="shared" si="44"/>
        <v>2075</v>
      </c>
      <c r="I221" s="7">
        <f t="shared" si="45"/>
        <v>2243</v>
      </c>
      <c r="J221" s="7">
        <f t="shared" si="45"/>
        <v>2425</v>
      </c>
      <c r="K221" s="7">
        <f t="shared" si="45"/>
        <v>2621</v>
      </c>
      <c r="L221" s="7">
        <f t="shared" si="45"/>
        <v>2833</v>
      </c>
      <c r="M221" s="7">
        <f t="shared" si="45"/>
        <v>3062</v>
      </c>
      <c r="N221" s="7">
        <f t="shared" si="45"/>
        <v>3310</v>
      </c>
      <c r="O221" s="7">
        <f t="shared" si="45"/>
        <v>3578</v>
      </c>
      <c r="P221" s="7">
        <f t="shared" si="46"/>
        <v>3814</v>
      </c>
      <c r="Q221" s="7">
        <f t="shared" si="46"/>
        <v>4066</v>
      </c>
      <c r="R221" s="7">
        <f t="shared" si="46"/>
        <v>4334</v>
      </c>
      <c r="S221" s="7">
        <f t="shared" si="46"/>
        <v>4620</v>
      </c>
      <c r="T221" s="7">
        <f t="shared" si="46"/>
        <v>4925</v>
      </c>
      <c r="U221" s="7">
        <f t="shared" si="47"/>
        <v>5201</v>
      </c>
      <c r="V221" s="7">
        <f t="shared" si="47"/>
        <v>5492</v>
      </c>
      <c r="W221" s="7">
        <f t="shared" si="47"/>
        <v>5800</v>
      </c>
      <c r="X221" s="7">
        <f t="shared" si="47"/>
        <v>6125</v>
      </c>
      <c r="Y221" s="7">
        <f t="shared" si="47"/>
        <v>6468</v>
      </c>
      <c r="Z221" s="7">
        <f aca="true" t="shared" si="51" ref="Z221:AK221">ROUND(Y221*(1+$G88),0)</f>
        <v>6468</v>
      </c>
      <c r="AA221" s="7">
        <f t="shared" si="51"/>
        <v>6468</v>
      </c>
      <c r="AB221" s="7">
        <f t="shared" si="51"/>
        <v>6468</v>
      </c>
      <c r="AC221" s="7">
        <f t="shared" si="51"/>
        <v>6468</v>
      </c>
      <c r="AD221" s="7">
        <f t="shared" si="51"/>
        <v>6468</v>
      </c>
      <c r="AE221" s="7">
        <f t="shared" si="51"/>
        <v>6468</v>
      </c>
      <c r="AF221" s="7">
        <f t="shared" si="51"/>
        <v>6468</v>
      </c>
      <c r="AG221" s="7">
        <f t="shared" si="51"/>
        <v>6468</v>
      </c>
      <c r="AH221" s="7">
        <f t="shared" si="51"/>
        <v>6468</v>
      </c>
      <c r="AI221" s="7">
        <f t="shared" si="51"/>
        <v>6468</v>
      </c>
      <c r="AJ221" s="7">
        <f t="shared" si="51"/>
        <v>6468</v>
      </c>
      <c r="AK221" s="7">
        <f t="shared" si="51"/>
        <v>6468</v>
      </c>
    </row>
    <row r="222" spans="1:37" ht="11.25">
      <c r="A222" s="38" t="s">
        <v>137</v>
      </c>
      <c r="H222" s="7">
        <f t="shared" si="44"/>
        <v>2149</v>
      </c>
      <c r="I222" s="7">
        <f t="shared" si="45"/>
        <v>2323</v>
      </c>
      <c r="J222" s="7">
        <f t="shared" si="45"/>
        <v>2511</v>
      </c>
      <c r="K222" s="7">
        <f t="shared" si="45"/>
        <v>2714</v>
      </c>
      <c r="L222" s="7">
        <f t="shared" si="45"/>
        <v>2934</v>
      </c>
      <c r="M222" s="7">
        <f t="shared" si="45"/>
        <v>3172</v>
      </c>
      <c r="N222" s="7">
        <f t="shared" si="45"/>
        <v>3429</v>
      </c>
      <c r="O222" s="7">
        <f t="shared" si="45"/>
        <v>3707</v>
      </c>
      <c r="P222" s="7">
        <f t="shared" si="46"/>
        <v>3952</v>
      </c>
      <c r="Q222" s="7">
        <f t="shared" si="46"/>
        <v>4213</v>
      </c>
      <c r="R222" s="7">
        <f t="shared" si="46"/>
        <v>4491</v>
      </c>
      <c r="S222" s="7">
        <f t="shared" si="46"/>
        <v>4787</v>
      </c>
      <c r="T222" s="7">
        <f t="shared" si="46"/>
        <v>5103</v>
      </c>
      <c r="U222" s="7">
        <f t="shared" si="47"/>
        <v>5389</v>
      </c>
      <c r="V222" s="7">
        <f t="shared" si="47"/>
        <v>5691</v>
      </c>
      <c r="W222" s="7">
        <f t="shared" si="47"/>
        <v>6010</v>
      </c>
      <c r="X222" s="7">
        <f t="shared" si="47"/>
        <v>6347</v>
      </c>
      <c r="Y222" s="7">
        <f t="shared" si="47"/>
        <v>6702</v>
      </c>
      <c r="Z222" s="7">
        <f aca="true" t="shared" si="52" ref="Z222:AK222">ROUND(Y222*(1+$G89),0)</f>
        <v>6702</v>
      </c>
      <c r="AA222" s="7">
        <f t="shared" si="52"/>
        <v>6702</v>
      </c>
      <c r="AB222" s="7">
        <f t="shared" si="52"/>
        <v>6702</v>
      </c>
      <c r="AC222" s="7">
        <f t="shared" si="52"/>
        <v>6702</v>
      </c>
      <c r="AD222" s="7">
        <f t="shared" si="52"/>
        <v>6702</v>
      </c>
      <c r="AE222" s="7">
        <f t="shared" si="52"/>
        <v>6702</v>
      </c>
      <c r="AF222" s="7">
        <f t="shared" si="52"/>
        <v>6702</v>
      </c>
      <c r="AG222" s="7">
        <f t="shared" si="52"/>
        <v>6702</v>
      </c>
      <c r="AH222" s="7">
        <f t="shared" si="52"/>
        <v>6702</v>
      </c>
      <c r="AI222" s="7">
        <f t="shared" si="52"/>
        <v>6702</v>
      </c>
      <c r="AJ222" s="7">
        <f t="shared" si="52"/>
        <v>6702</v>
      </c>
      <c r="AK222" s="7">
        <f t="shared" si="52"/>
        <v>6702</v>
      </c>
    </row>
    <row r="223" spans="1:37" ht="11.25">
      <c r="A223" s="38" t="s">
        <v>138</v>
      </c>
      <c r="H223" s="7">
        <f t="shared" si="44"/>
        <v>1337</v>
      </c>
      <c r="I223" s="7">
        <f t="shared" si="45"/>
        <v>1445</v>
      </c>
      <c r="J223" s="7">
        <f t="shared" si="45"/>
        <v>1562</v>
      </c>
      <c r="K223" s="7">
        <f t="shared" si="45"/>
        <v>1689</v>
      </c>
      <c r="L223" s="7">
        <f t="shared" si="45"/>
        <v>1826</v>
      </c>
      <c r="M223" s="7">
        <f t="shared" si="45"/>
        <v>1974</v>
      </c>
      <c r="N223" s="7">
        <f t="shared" si="45"/>
        <v>2134</v>
      </c>
      <c r="O223" s="7">
        <f t="shared" si="45"/>
        <v>2307</v>
      </c>
      <c r="P223" s="7">
        <f t="shared" si="46"/>
        <v>2459</v>
      </c>
      <c r="Q223" s="7">
        <f t="shared" si="46"/>
        <v>2621</v>
      </c>
      <c r="R223" s="7">
        <f t="shared" si="46"/>
        <v>2794</v>
      </c>
      <c r="S223" s="7">
        <f t="shared" si="46"/>
        <v>2978</v>
      </c>
      <c r="T223" s="7">
        <f t="shared" si="46"/>
        <v>3175</v>
      </c>
      <c r="U223" s="7">
        <f t="shared" si="47"/>
        <v>3353</v>
      </c>
      <c r="V223" s="7">
        <f t="shared" si="47"/>
        <v>3541</v>
      </c>
      <c r="W223" s="7">
        <f t="shared" si="47"/>
        <v>3739</v>
      </c>
      <c r="X223" s="7">
        <f t="shared" si="47"/>
        <v>3948</v>
      </c>
      <c r="Y223" s="7">
        <f t="shared" si="47"/>
        <v>4169</v>
      </c>
      <c r="Z223" s="7">
        <f aca="true" t="shared" si="53" ref="Z223:AK223">ROUND(Y223*(1+$G90),0)</f>
        <v>4169</v>
      </c>
      <c r="AA223" s="7">
        <f t="shared" si="53"/>
        <v>4169</v>
      </c>
      <c r="AB223" s="7">
        <f t="shared" si="53"/>
        <v>4169</v>
      </c>
      <c r="AC223" s="7">
        <f t="shared" si="53"/>
        <v>4169</v>
      </c>
      <c r="AD223" s="7">
        <f t="shared" si="53"/>
        <v>4169</v>
      </c>
      <c r="AE223" s="7">
        <f t="shared" si="53"/>
        <v>4169</v>
      </c>
      <c r="AF223" s="7">
        <f t="shared" si="53"/>
        <v>4169</v>
      </c>
      <c r="AG223" s="7">
        <f t="shared" si="53"/>
        <v>4169</v>
      </c>
      <c r="AH223" s="7">
        <f t="shared" si="53"/>
        <v>4169</v>
      </c>
      <c r="AI223" s="7">
        <f t="shared" si="53"/>
        <v>4169</v>
      </c>
      <c r="AJ223" s="7">
        <f t="shared" si="53"/>
        <v>4169</v>
      </c>
      <c r="AK223" s="7">
        <f t="shared" si="53"/>
        <v>4169</v>
      </c>
    </row>
    <row r="224" spans="1:37" ht="11.25">
      <c r="A224" s="15" t="s">
        <v>69</v>
      </c>
      <c r="B224" s="16"/>
      <c r="C224" s="12"/>
      <c r="D224" s="12"/>
      <c r="E224" s="16"/>
      <c r="F224" s="12"/>
      <c r="G224" s="12"/>
      <c r="H224" s="20">
        <f aca="true" t="shared" si="54" ref="H224:AK224">SUMPRODUCT(H211:H216,$B$92:$B$97)</f>
        <v>35297.5</v>
      </c>
      <c r="I224" s="20">
        <f t="shared" si="54"/>
        <v>38299.5</v>
      </c>
      <c r="J224" s="20">
        <f t="shared" si="54"/>
        <v>41556.5</v>
      </c>
      <c r="K224" s="20">
        <f t="shared" si="54"/>
        <v>45089.5</v>
      </c>
      <c r="L224" s="20">
        <f t="shared" si="54"/>
        <v>48922.5</v>
      </c>
      <c r="M224" s="20">
        <f t="shared" si="54"/>
        <v>53080</v>
      </c>
      <c r="N224" s="20">
        <f t="shared" si="54"/>
        <v>57591</v>
      </c>
      <c r="O224" s="20">
        <f t="shared" si="54"/>
        <v>62486.5</v>
      </c>
      <c r="P224" s="20">
        <f t="shared" si="54"/>
        <v>66486</v>
      </c>
      <c r="Q224" s="20">
        <f t="shared" si="54"/>
        <v>70739.5</v>
      </c>
      <c r="R224" s="20">
        <f t="shared" si="54"/>
        <v>75266</v>
      </c>
      <c r="S224" s="20">
        <f t="shared" si="54"/>
        <v>80084</v>
      </c>
      <c r="T224" s="20">
        <f t="shared" si="54"/>
        <v>85208</v>
      </c>
      <c r="U224" s="20">
        <f t="shared" si="54"/>
        <v>85208</v>
      </c>
      <c r="V224" s="20">
        <f t="shared" si="54"/>
        <v>85208</v>
      </c>
      <c r="W224" s="20">
        <f t="shared" si="54"/>
        <v>85208</v>
      </c>
      <c r="X224" s="20">
        <f t="shared" si="54"/>
        <v>85208</v>
      </c>
      <c r="Y224" s="20">
        <f t="shared" si="54"/>
        <v>85208</v>
      </c>
      <c r="Z224" s="20">
        <f t="shared" si="54"/>
        <v>85208</v>
      </c>
      <c r="AA224" s="20">
        <f t="shared" si="54"/>
        <v>85208</v>
      </c>
      <c r="AB224" s="20">
        <f t="shared" si="54"/>
        <v>85208</v>
      </c>
      <c r="AC224" s="20">
        <f t="shared" si="54"/>
        <v>85208</v>
      </c>
      <c r="AD224" s="20">
        <f t="shared" si="54"/>
        <v>85208</v>
      </c>
      <c r="AE224" s="20">
        <f t="shared" si="54"/>
        <v>85208</v>
      </c>
      <c r="AF224" s="20">
        <f t="shared" si="54"/>
        <v>85208</v>
      </c>
      <c r="AG224" s="20">
        <f t="shared" si="54"/>
        <v>85208</v>
      </c>
      <c r="AH224" s="20">
        <f t="shared" si="54"/>
        <v>85208</v>
      </c>
      <c r="AI224" s="20">
        <f t="shared" si="54"/>
        <v>85208</v>
      </c>
      <c r="AJ224" s="20">
        <f t="shared" si="54"/>
        <v>85208</v>
      </c>
      <c r="AK224" s="20">
        <f t="shared" si="54"/>
        <v>85208</v>
      </c>
    </row>
    <row r="225" spans="1:37" ht="11.25">
      <c r="A225" s="15" t="s">
        <v>70</v>
      </c>
      <c r="B225" s="16"/>
      <c r="C225" s="12"/>
      <c r="D225" s="12"/>
      <c r="E225" s="16"/>
      <c r="F225" s="12"/>
      <c r="G225" s="12"/>
      <c r="H225" s="20">
        <f aca="true" t="shared" si="55" ref="H225:AK225">SUMPRODUCT(H218:H223,$B$92:$B$97)</f>
        <v>24766.5</v>
      </c>
      <c r="I225" s="20">
        <f t="shared" si="55"/>
        <v>26770.5</v>
      </c>
      <c r="J225" s="20">
        <f t="shared" si="55"/>
        <v>28938.5</v>
      </c>
      <c r="K225" s="20">
        <f t="shared" si="55"/>
        <v>31280</v>
      </c>
      <c r="L225" s="20">
        <f t="shared" si="55"/>
        <v>33813</v>
      </c>
      <c r="M225" s="20">
        <f t="shared" si="55"/>
        <v>36552</v>
      </c>
      <c r="N225" s="20">
        <f t="shared" si="55"/>
        <v>39512.5</v>
      </c>
      <c r="O225" s="20">
        <f t="shared" si="55"/>
        <v>42712.5</v>
      </c>
      <c r="P225" s="20">
        <f t="shared" si="55"/>
        <v>45531</v>
      </c>
      <c r="Q225" s="20">
        <f t="shared" si="55"/>
        <v>48534.5</v>
      </c>
      <c r="R225" s="20">
        <f t="shared" si="55"/>
        <v>51737.5</v>
      </c>
      <c r="S225" s="20">
        <f t="shared" si="55"/>
        <v>55148.5</v>
      </c>
      <c r="T225" s="20">
        <f t="shared" si="55"/>
        <v>58789.5</v>
      </c>
      <c r="U225" s="20">
        <f t="shared" si="55"/>
        <v>62082.5</v>
      </c>
      <c r="V225" s="20">
        <f t="shared" si="55"/>
        <v>65561.5</v>
      </c>
      <c r="W225" s="20">
        <f t="shared" si="55"/>
        <v>69236</v>
      </c>
      <c r="X225" s="20">
        <f t="shared" si="55"/>
        <v>73113.5</v>
      </c>
      <c r="Y225" s="20">
        <f t="shared" si="55"/>
        <v>77206</v>
      </c>
      <c r="Z225" s="20">
        <f t="shared" si="55"/>
        <v>77206</v>
      </c>
      <c r="AA225" s="20">
        <f t="shared" si="55"/>
        <v>77206</v>
      </c>
      <c r="AB225" s="20">
        <f t="shared" si="55"/>
        <v>77206</v>
      </c>
      <c r="AC225" s="20">
        <f t="shared" si="55"/>
        <v>77206</v>
      </c>
      <c r="AD225" s="20">
        <f t="shared" si="55"/>
        <v>77206</v>
      </c>
      <c r="AE225" s="20">
        <f t="shared" si="55"/>
        <v>77206</v>
      </c>
      <c r="AF225" s="20">
        <f t="shared" si="55"/>
        <v>77206</v>
      </c>
      <c r="AG225" s="20">
        <f t="shared" si="55"/>
        <v>77206</v>
      </c>
      <c r="AH225" s="20">
        <f t="shared" si="55"/>
        <v>77206</v>
      </c>
      <c r="AI225" s="20">
        <f t="shared" si="55"/>
        <v>77206</v>
      </c>
      <c r="AJ225" s="20">
        <f t="shared" si="55"/>
        <v>77206</v>
      </c>
      <c r="AK225" s="20">
        <f t="shared" si="55"/>
        <v>77206</v>
      </c>
    </row>
    <row r="226" spans="1:37" ht="11.25">
      <c r="A226" s="13" t="s">
        <v>78</v>
      </c>
      <c r="B226" s="16"/>
      <c r="C226" s="12"/>
      <c r="D226" s="12"/>
      <c r="E226" s="16"/>
      <c r="F226" s="12"/>
      <c r="G226" s="12"/>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row>
    <row r="227" spans="1:37" ht="11.25">
      <c r="A227" s="15" t="s">
        <v>73</v>
      </c>
      <c r="B227" s="16">
        <f>B98</f>
        <v>900</v>
      </c>
      <c r="C227" s="12">
        <f aca="true" t="shared" si="56" ref="C227:AK227">$B$227*C116</f>
        <v>1079.1000000000001</v>
      </c>
      <c r="D227" s="12">
        <f t="shared" si="56"/>
        <v>1152.4788</v>
      </c>
      <c r="E227" s="12">
        <f t="shared" si="56"/>
        <v>1244.6771040000003</v>
      </c>
      <c r="F227" s="12">
        <f t="shared" si="56"/>
        <v>1331.8045012800003</v>
      </c>
      <c r="G227" s="12">
        <f t="shared" si="56"/>
        <v>1411.7127713568004</v>
      </c>
      <c r="H227" s="12">
        <f t="shared" si="56"/>
        <v>1482.2984099246405</v>
      </c>
      <c r="I227" s="12">
        <f t="shared" si="56"/>
        <v>1556.4133304208726</v>
      </c>
      <c r="J227" s="12">
        <f t="shared" si="56"/>
        <v>1634.2339969419163</v>
      </c>
      <c r="K227" s="12">
        <f t="shared" si="56"/>
        <v>1715.9456967890121</v>
      </c>
      <c r="L227" s="12">
        <f t="shared" si="56"/>
        <v>1801.7429816284628</v>
      </c>
      <c r="M227" s="12">
        <f t="shared" si="56"/>
        <v>1891.830130709886</v>
      </c>
      <c r="N227" s="12">
        <f t="shared" si="56"/>
        <v>1986.4216372453802</v>
      </c>
      <c r="O227" s="12">
        <f t="shared" si="56"/>
        <v>2085.7427191076495</v>
      </c>
      <c r="P227" s="12">
        <f t="shared" si="56"/>
        <v>2190.029855063032</v>
      </c>
      <c r="Q227" s="12">
        <f t="shared" si="56"/>
        <v>2299.531347816184</v>
      </c>
      <c r="R227" s="12">
        <f t="shared" si="56"/>
        <v>2414.507915206993</v>
      </c>
      <c r="S227" s="12">
        <f t="shared" si="56"/>
        <v>2535.2333109673427</v>
      </c>
      <c r="T227" s="12">
        <f t="shared" si="56"/>
        <v>2661.99497651571</v>
      </c>
      <c r="U227" s="12">
        <f t="shared" si="56"/>
        <v>2795.0947253414956</v>
      </c>
      <c r="V227" s="12">
        <f t="shared" si="56"/>
        <v>2934.8494616085704</v>
      </c>
      <c r="W227" s="12">
        <f t="shared" si="56"/>
        <v>3081.5919346889987</v>
      </c>
      <c r="X227" s="12">
        <f t="shared" si="56"/>
        <v>3235.671531423449</v>
      </c>
      <c r="Y227" s="12">
        <f t="shared" si="56"/>
        <v>3397.455107994622</v>
      </c>
      <c r="Z227" s="12">
        <f t="shared" si="56"/>
        <v>3567.327863394353</v>
      </c>
      <c r="AA227" s="12">
        <f t="shared" si="56"/>
        <v>3745.6942565640707</v>
      </c>
      <c r="AB227" s="12">
        <f t="shared" si="56"/>
        <v>3932.9789693922744</v>
      </c>
      <c r="AC227" s="12">
        <f t="shared" si="56"/>
        <v>4129.627917861888</v>
      </c>
      <c r="AD227" s="12">
        <f t="shared" si="56"/>
        <v>4336.109313754983</v>
      </c>
      <c r="AE227" s="12">
        <f t="shared" si="56"/>
        <v>4552.914779442733</v>
      </c>
      <c r="AF227" s="12">
        <f t="shared" si="56"/>
        <v>4780.56051841487</v>
      </c>
      <c r="AG227" s="12">
        <f t="shared" si="56"/>
        <v>5019.588544335614</v>
      </c>
      <c r="AH227" s="12">
        <f t="shared" si="56"/>
        <v>5270.567971552395</v>
      </c>
      <c r="AI227" s="12">
        <f t="shared" si="56"/>
        <v>5534.096370130014</v>
      </c>
      <c r="AJ227" s="12">
        <f t="shared" si="56"/>
        <v>5810.801188636516</v>
      </c>
      <c r="AK227" s="12">
        <f t="shared" si="56"/>
        <v>6101.341248068341</v>
      </c>
    </row>
    <row r="228" spans="1:37" ht="11.25">
      <c r="A228" s="15" t="s">
        <v>144</v>
      </c>
      <c r="B228" s="16"/>
      <c r="C228" s="12"/>
      <c r="D228" s="12"/>
      <c r="E228" s="12"/>
      <c r="F228" s="12"/>
      <c r="G228" s="12"/>
      <c r="H228" s="7">
        <f>IF(MOD(H2,4)=0,366,365)</f>
        <v>365</v>
      </c>
      <c r="I228" s="7">
        <f aca="true" t="shared" si="57" ref="I228:AK228">IF(MOD(I2,4)=0,366,365)</f>
        <v>365</v>
      </c>
      <c r="J228" s="7">
        <f t="shared" si="57"/>
        <v>365</v>
      </c>
      <c r="K228" s="7">
        <f t="shared" si="57"/>
        <v>366</v>
      </c>
      <c r="L228" s="7">
        <f t="shared" si="57"/>
        <v>365</v>
      </c>
      <c r="M228" s="7">
        <f t="shared" si="57"/>
        <v>365</v>
      </c>
      <c r="N228" s="7">
        <f t="shared" si="57"/>
        <v>365</v>
      </c>
      <c r="O228" s="7">
        <f t="shared" si="57"/>
        <v>366</v>
      </c>
      <c r="P228" s="7">
        <f t="shared" si="57"/>
        <v>365</v>
      </c>
      <c r="Q228" s="7">
        <f t="shared" si="57"/>
        <v>365</v>
      </c>
      <c r="R228" s="7">
        <f t="shared" si="57"/>
        <v>365</v>
      </c>
      <c r="S228" s="7">
        <f t="shared" si="57"/>
        <v>366</v>
      </c>
      <c r="T228" s="7">
        <f t="shared" si="57"/>
        <v>365</v>
      </c>
      <c r="U228" s="7">
        <f t="shared" si="57"/>
        <v>365</v>
      </c>
      <c r="V228" s="7">
        <f t="shared" si="57"/>
        <v>365</v>
      </c>
      <c r="W228" s="7">
        <f t="shared" si="57"/>
        <v>366</v>
      </c>
      <c r="X228" s="7">
        <f t="shared" si="57"/>
        <v>365</v>
      </c>
      <c r="Y228" s="7">
        <f t="shared" si="57"/>
        <v>365</v>
      </c>
      <c r="Z228" s="7">
        <f t="shared" si="57"/>
        <v>365</v>
      </c>
      <c r="AA228" s="7">
        <f t="shared" si="57"/>
        <v>366</v>
      </c>
      <c r="AB228" s="7">
        <f t="shared" si="57"/>
        <v>365</v>
      </c>
      <c r="AC228" s="7">
        <f t="shared" si="57"/>
        <v>365</v>
      </c>
      <c r="AD228" s="7">
        <f t="shared" si="57"/>
        <v>365</v>
      </c>
      <c r="AE228" s="7">
        <f t="shared" si="57"/>
        <v>366</v>
      </c>
      <c r="AF228" s="7">
        <f t="shared" si="57"/>
        <v>365</v>
      </c>
      <c r="AG228" s="7">
        <f t="shared" si="57"/>
        <v>365</v>
      </c>
      <c r="AH228" s="7">
        <f t="shared" si="57"/>
        <v>365</v>
      </c>
      <c r="AI228" s="7">
        <f t="shared" si="57"/>
        <v>366</v>
      </c>
      <c r="AJ228" s="7">
        <f t="shared" si="57"/>
        <v>365</v>
      </c>
      <c r="AK228" s="7">
        <f t="shared" si="57"/>
        <v>365</v>
      </c>
    </row>
    <row r="229" spans="1:37" ht="11.25">
      <c r="A229" s="2" t="s">
        <v>76</v>
      </c>
      <c r="H229" s="12">
        <f>H$227*$B74*H224/10^9*H228</f>
        <v>456.42597824246184</v>
      </c>
      <c r="I229" s="12">
        <f aca="true" t="shared" si="58" ref="I229:AK229">I$227*$B74*I224/10^9*I228</f>
        <v>520.0065469617402</v>
      </c>
      <c r="J229" s="12">
        <f t="shared" si="58"/>
        <v>592.4394488767828</v>
      </c>
      <c r="K229" s="12">
        <f t="shared" si="58"/>
        <v>676.7962531373834</v>
      </c>
      <c r="L229" s="12">
        <f t="shared" si="58"/>
        <v>768.9396334817905</v>
      </c>
      <c r="M229" s="12">
        <f t="shared" si="58"/>
        <v>875.9994181097475</v>
      </c>
      <c r="N229" s="12">
        <f t="shared" si="58"/>
        <v>997.9684742422077</v>
      </c>
      <c r="O229" s="12">
        <f t="shared" si="58"/>
        <v>1140.0553111710155</v>
      </c>
      <c r="P229" s="12">
        <f t="shared" si="58"/>
        <v>1270.1967756465478</v>
      </c>
      <c r="Q229" s="12">
        <f t="shared" si="58"/>
        <v>1419.0316615737365</v>
      </c>
      <c r="R229" s="12">
        <f t="shared" si="58"/>
        <v>1585.324732179465</v>
      </c>
      <c r="S229" s="12">
        <f t="shared" si="58"/>
        <v>1775.9988319370643</v>
      </c>
      <c r="T229" s="12">
        <f t="shared" si="58"/>
        <v>1978.6927780399055</v>
      </c>
      <c r="U229" s="12">
        <f t="shared" si="58"/>
        <v>2077.627416941901</v>
      </c>
      <c r="V229" s="12">
        <f t="shared" si="58"/>
        <v>2181.508787788996</v>
      </c>
      <c r="W229" s="12">
        <f t="shared" si="58"/>
        <v>2296.859800403592</v>
      </c>
      <c r="X229" s="12">
        <f t="shared" si="58"/>
        <v>2405.113438537368</v>
      </c>
      <c r="Y229" s="12">
        <f t="shared" si="58"/>
        <v>2525.3691104642367</v>
      </c>
      <c r="Z229" s="12">
        <f t="shared" si="58"/>
        <v>2651.637565987449</v>
      </c>
      <c r="AA229" s="12">
        <f t="shared" si="58"/>
        <v>2791.8474427643196</v>
      </c>
      <c r="AB229" s="12">
        <f t="shared" si="58"/>
        <v>2923.430416501162</v>
      </c>
      <c r="AC229" s="12">
        <f t="shared" si="58"/>
        <v>3069.60193732622</v>
      </c>
      <c r="AD229" s="12">
        <f t="shared" si="58"/>
        <v>3223.0820341925323</v>
      </c>
      <c r="AE229" s="12">
        <f t="shared" si="58"/>
        <v>3393.5080157265484</v>
      </c>
      <c r="AF229" s="12">
        <f t="shared" si="58"/>
        <v>3553.4479426972675</v>
      </c>
      <c r="AG229" s="12">
        <f t="shared" si="58"/>
        <v>3731.1203398321313</v>
      </c>
      <c r="AH229" s="12">
        <f t="shared" si="58"/>
        <v>3917.6763568237375</v>
      </c>
      <c r="AI229" s="12">
        <f t="shared" si="58"/>
        <v>4124.830202540719</v>
      </c>
      <c r="AJ229" s="12">
        <f t="shared" si="58"/>
        <v>4319.238183398172</v>
      </c>
      <c r="AK229" s="12">
        <f t="shared" si="58"/>
        <v>4535.200092568079</v>
      </c>
    </row>
    <row r="230" spans="1:37" ht="11.25">
      <c r="A230" s="2" t="s">
        <v>77</v>
      </c>
      <c r="H230" s="12">
        <f>H$227*$B75*H225/10^9*H228</f>
        <v>416.7288165280283</v>
      </c>
      <c r="I230" s="12">
        <f aca="true" t="shared" si="59" ref="I230:AK230">I$227*$B75*I225/10^9*I228</f>
        <v>472.971179698656</v>
      </c>
      <c r="J230" s="12">
        <f t="shared" si="59"/>
        <v>536.8383223284973</v>
      </c>
      <c r="K230" s="12">
        <f t="shared" si="59"/>
        <v>610.9585667131047</v>
      </c>
      <c r="L230" s="12">
        <f t="shared" si="59"/>
        <v>691.5598907222233</v>
      </c>
      <c r="M230" s="12">
        <f t="shared" si="59"/>
        <v>784.9582108053896</v>
      </c>
      <c r="N230" s="12">
        <f t="shared" si="59"/>
        <v>890.9620368152318</v>
      </c>
      <c r="O230" s="12">
        <f t="shared" si="59"/>
        <v>1014.0449403702105</v>
      </c>
      <c r="P230" s="12">
        <f t="shared" si="59"/>
        <v>1131.9063012794265</v>
      </c>
      <c r="Q230" s="12">
        <f t="shared" si="59"/>
        <v>1266.9023675829358</v>
      </c>
      <c r="R230" s="12">
        <f t="shared" si="59"/>
        <v>1418.036227940192</v>
      </c>
      <c r="S230" s="12">
        <f t="shared" si="59"/>
        <v>1591.4504133807127</v>
      </c>
      <c r="T230" s="12">
        <f t="shared" si="59"/>
        <v>1776.479710206236</v>
      </c>
      <c r="U230" s="12">
        <f t="shared" si="59"/>
        <v>1969.785704748681</v>
      </c>
      <c r="V230" s="12">
        <f t="shared" si="59"/>
        <v>2184.177678991257</v>
      </c>
      <c r="W230" s="12">
        <f t="shared" si="59"/>
        <v>2428.558517241546</v>
      </c>
      <c r="X230" s="12">
        <f t="shared" si="59"/>
        <v>2685.4387772252358</v>
      </c>
      <c r="Y230" s="12">
        <f t="shared" si="59"/>
        <v>2977.5429372985036</v>
      </c>
      <c r="Z230" s="12">
        <f t="shared" si="59"/>
        <v>3126.4200841634292</v>
      </c>
      <c r="AA230" s="12">
        <f t="shared" si="59"/>
        <v>3291.7348995726184</v>
      </c>
      <c r="AB230" s="12">
        <f t="shared" si="59"/>
        <v>3446.878142790181</v>
      </c>
      <c r="AC230" s="12">
        <f t="shared" si="59"/>
        <v>3619.2220499296895</v>
      </c>
      <c r="AD230" s="12">
        <f t="shared" si="59"/>
        <v>3800.1831524261747</v>
      </c>
      <c r="AE230" s="12">
        <f t="shared" si="59"/>
        <v>4001.1243437736416</v>
      </c>
      <c r="AF230" s="12">
        <f t="shared" si="59"/>
        <v>4189.701925549858</v>
      </c>
      <c r="AG230" s="12">
        <f t="shared" si="59"/>
        <v>4399.187021827352</v>
      </c>
      <c r="AH230" s="12">
        <f t="shared" si="59"/>
        <v>4619.14637291872</v>
      </c>
      <c r="AI230" s="12">
        <f t="shared" si="59"/>
        <v>4863.391646884011</v>
      </c>
      <c r="AJ230" s="12">
        <f t="shared" si="59"/>
        <v>5092.608876142889</v>
      </c>
      <c r="AK230" s="12">
        <f t="shared" si="59"/>
        <v>5347.239319950034</v>
      </c>
    </row>
    <row r="231" spans="1:37" ht="11.25">
      <c r="A231" s="2" t="s">
        <v>99</v>
      </c>
      <c r="H231" s="12">
        <f aca="true" t="shared" si="60" ref="H231:AK231">H230+H229</f>
        <v>873.1547947704901</v>
      </c>
      <c r="I231" s="12">
        <f t="shared" si="60"/>
        <v>992.9777266603962</v>
      </c>
      <c r="J231" s="12">
        <f t="shared" si="60"/>
        <v>1129.27777120528</v>
      </c>
      <c r="K231" s="12">
        <f t="shared" si="60"/>
        <v>1287.754819850488</v>
      </c>
      <c r="L231" s="12">
        <f t="shared" si="60"/>
        <v>1460.4995242040136</v>
      </c>
      <c r="M231" s="12">
        <f t="shared" si="60"/>
        <v>1660.957628915137</v>
      </c>
      <c r="N231" s="12">
        <f t="shared" si="60"/>
        <v>1888.9305110574396</v>
      </c>
      <c r="O231" s="12">
        <f t="shared" si="60"/>
        <v>2154.100251541226</v>
      </c>
      <c r="P231" s="12">
        <f t="shared" si="60"/>
        <v>2402.103076925974</v>
      </c>
      <c r="Q231" s="12">
        <f t="shared" si="60"/>
        <v>2685.9340291566723</v>
      </c>
      <c r="R231" s="12">
        <f t="shared" si="60"/>
        <v>3003.3609601196567</v>
      </c>
      <c r="S231" s="12">
        <f t="shared" si="60"/>
        <v>3367.4492453177772</v>
      </c>
      <c r="T231" s="12">
        <f t="shared" si="60"/>
        <v>3755.1724882461413</v>
      </c>
      <c r="U231" s="12">
        <f t="shared" si="60"/>
        <v>4047.413121690582</v>
      </c>
      <c r="V231" s="12">
        <f t="shared" si="60"/>
        <v>4365.686466780253</v>
      </c>
      <c r="W231" s="12">
        <f t="shared" si="60"/>
        <v>4725.418317645138</v>
      </c>
      <c r="X231" s="12">
        <f t="shared" si="60"/>
        <v>5090.552215762604</v>
      </c>
      <c r="Y231" s="12">
        <f t="shared" si="60"/>
        <v>5502.91204776274</v>
      </c>
      <c r="Z231" s="12">
        <f t="shared" si="60"/>
        <v>5778.0576501508785</v>
      </c>
      <c r="AA231" s="12">
        <f t="shared" si="60"/>
        <v>6083.582342336938</v>
      </c>
      <c r="AB231" s="12">
        <f t="shared" si="60"/>
        <v>6370.308559291343</v>
      </c>
      <c r="AC231" s="12">
        <f t="shared" si="60"/>
        <v>6688.82398725591</v>
      </c>
      <c r="AD231" s="12">
        <f t="shared" si="60"/>
        <v>7023.265186618707</v>
      </c>
      <c r="AE231" s="12">
        <f t="shared" si="60"/>
        <v>7394.63235950019</v>
      </c>
      <c r="AF231" s="12">
        <f t="shared" si="60"/>
        <v>7743.149868247126</v>
      </c>
      <c r="AG231" s="12">
        <f t="shared" si="60"/>
        <v>8130.307361659483</v>
      </c>
      <c r="AH231" s="12">
        <f t="shared" si="60"/>
        <v>8536.822729742456</v>
      </c>
      <c r="AI231" s="12">
        <f t="shared" si="60"/>
        <v>8988.22184942473</v>
      </c>
      <c r="AJ231" s="12">
        <f t="shared" si="60"/>
        <v>9411.847059541062</v>
      </c>
      <c r="AK231" s="12">
        <f t="shared" si="60"/>
        <v>9882.439412518113</v>
      </c>
    </row>
    <row r="232" spans="1:37" ht="11.25">
      <c r="A232" s="29" t="s">
        <v>79</v>
      </c>
      <c r="H232" s="12">
        <f aca="true" t="shared" si="61" ref="H232:AK232">H231/(1+$B$99)*$B$99</f>
        <v>79.3777086154991</v>
      </c>
      <c r="I232" s="12">
        <f t="shared" si="61"/>
        <v>90.27070242367239</v>
      </c>
      <c r="J232" s="12">
        <f t="shared" si="61"/>
        <v>102.66161556411637</v>
      </c>
      <c r="K232" s="12">
        <f t="shared" si="61"/>
        <v>117.06861998640801</v>
      </c>
      <c r="L232" s="12">
        <f t="shared" si="61"/>
        <v>132.77268401854667</v>
      </c>
      <c r="M232" s="12">
        <f t="shared" si="61"/>
        <v>150.99614808319427</v>
      </c>
      <c r="N232" s="12">
        <f t="shared" si="61"/>
        <v>171.7209555506763</v>
      </c>
      <c r="O232" s="12">
        <f t="shared" si="61"/>
        <v>195.8272955946569</v>
      </c>
      <c r="P232" s="12">
        <f t="shared" si="61"/>
        <v>218.3730069932704</v>
      </c>
      <c r="Q232" s="12">
        <f t="shared" si="61"/>
        <v>244.17582083242473</v>
      </c>
      <c r="R232" s="12">
        <f t="shared" si="61"/>
        <v>273.0328145563324</v>
      </c>
      <c r="S232" s="12">
        <f t="shared" si="61"/>
        <v>306.13174957434336</v>
      </c>
      <c r="T232" s="12">
        <f t="shared" si="61"/>
        <v>341.3793171132856</v>
      </c>
      <c r="U232" s="12">
        <f t="shared" si="61"/>
        <v>367.9466474264166</v>
      </c>
      <c r="V232" s="12">
        <f t="shared" si="61"/>
        <v>396.8805878891139</v>
      </c>
      <c r="W232" s="12">
        <f t="shared" si="61"/>
        <v>429.5834834222852</v>
      </c>
      <c r="X232" s="12">
        <f t="shared" si="61"/>
        <v>462.7774741602367</v>
      </c>
      <c r="Y232" s="12">
        <f t="shared" si="61"/>
        <v>500.2647316147945</v>
      </c>
      <c r="Z232" s="12">
        <f t="shared" si="61"/>
        <v>525.2779681955344</v>
      </c>
      <c r="AA232" s="12">
        <f t="shared" si="61"/>
        <v>553.0529402124489</v>
      </c>
      <c r="AB232" s="12">
        <f t="shared" si="61"/>
        <v>579.1189599355765</v>
      </c>
      <c r="AC232" s="12">
        <f t="shared" si="61"/>
        <v>608.0749079323554</v>
      </c>
      <c r="AD232" s="12">
        <f t="shared" si="61"/>
        <v>638.4786533289735</v>
      </c>
      <c r="AE232" s="12">
        <f t="shared" si="61"/>
        <v>672.2393054091082</v>
      </c>
      <c r="AF232" s="12">
        <f t="shared" si="61"/>
        <v>703.9227152951933</v>
      </c>
      <c r="AG232" s="12">
        <f t="shared" si="61"/>
        <v>739.118851059953</v>
      </c>
      <c r="AH232" s="12">
        <f t="shared" si="61"/>
        <v>776.0747936129505</v>
      </c>
      <c r="AI232" s="12">
        <f t="shared" si="61"/>
        <v>817.1110772204299</v>
      </c>
      <c r="AJ232" s="12">
        <f t="shared" si="61"/>
        <v>855.6224599582783</v>
      </c>
      <c r="AK232" s="12">
        <f t="shared" si="61"/>
        <v>898.4035829561922</v>
      </c>
    </row>
    <row r="233" spans="1:37" ht="11.25">
      <c r="A233" s="2" t="s">
        <v>80</v>
      </c>
      <c r="H233" s="12">
        <f aca="true" t="shared" si="62" ref="H233:AK233">H231/(1+$B$99)</f>
        <v>793.7770861549909</v>
      </c>
      <c r="I233" s="12">
        <f t="shared" si="62"/>
        <v>902.7070242367238</v>
      </c>
      <c r="J233" s="12">
        <f t="shared" si="62"/>
        <v>1026.6161556411637</v>
      </c>
      <c r="K233" s="12">
        <f t="shared" si="62"/>
        <v>1170.68619986408</v>
      </c>
      <c r="L233" s="12">
        <f t="shared" si="62"/>
        <v>1327.7268401854667</v>
      </c>
      <c r="M233" s="12">
        <f t="shared" si="62"/>
        <v>1509.9614808319427</v>
      </c>
      <c r="N233" s="12">
        <f t="shared" si="62"/>
        <v>1717.209555506763</v>
      </c>
      <c r="O233" s="12">
        <f t="shared" si="62"/>
        <v>1958.272955946569</v>
      </c>
      <c r="P233" s="12">
        <f t="shared" si="62"/>
        <v>2183.730069932704</v>
      </c>
      <c r="Q233" s="12">
        <f t="shared" si="62"/>
        <v>2441.7582083242473</v>
      </c>
      <c r="R233" s="12">
        <f t="shared" si="62"/>
        <v>2730.328145563324</v>
      </c>
      <c r="S233" s="12">
        <f t="shared" si="62"/>
        <v>3061.3174957434335</v>
      </c>
      <c r="T233" s="12">
        <f t="shared" si="62"/>
        <v>3413.7931711328556</v>
      </c>
      <c r="U233" s="12">
        <f t="shared" si="62"/>
        <v>3679.4664742641653</v>
      </c>
      <c r="V233" s="12">
        <f t="shared" si="62"/>
        <v>3968.8058788911385</v>
      </c>
      <c r="W233" s="12">
        <f t="shared" si="62"/>
        <v>4295.834834222852</v>
      </c>
      <c r="X233" s="12">
        <f t="shared" si="62"/>
        <v>4627.774741602367</v>
      </c>
      <c r="Y233" s="12">
        <f t="shared" si="62"/>
        <v>5002.647316147945</v>
      </c>
      <c r="Z233" s="12">
        <f t="shared" si="62"/>
        <v>5252.779681955344</v>
      </c>
      <c r="AA233" s="12">
        <f t="shared" si="62"/>
        <v>5530.529402124489</v>
      </c>
      <c r="AB233" s="12">
        <f t="shared" si="62"/>
        <v>5791.1895993557655</v>
      </c>
      <c r="AC233" s="12">
        <f t="shared" si="62"/>
        <v>6080.749079323554</v>
      </c>
      <c r="AD233" s="12">
        <f t="shared" si="62"/>
        <v>6384.786533289734</v>
      </c>
      <c r="AE233" s="12">
        <f t="shared" si="62"/>
        <v>6722.3930540910815</v>
      </c>
      <c r="AF233" s="12">
        <f t="shared" si="62"/>
        <v>7039.227152951932</v>
      </c>
      <c r="AG233" s="12">
        <f t="shared" si="62"/>
        <v>7391.18851059953</v>
      </c>
      <c r="AH233" s="12">
        <f t="shared" si="62"/>
        <v>7760.747936129505</v>
      </c>
      <c r="AI233" s="12">
        <f t="shared" si="62"/>
        <v>8171.110772204299</v>
      </c>
      <c r="AJ233" s="12">
        <f t="shared" si="62"/>
        <v>8556.224599582783</v>
      </c>
      <c r="AK233" s="12">
        <f t="shared" si="62"/>
        <v>8984.03582956192</v>
      </c>
    </row>
    <row r="234" ht="11.25">
      <c r="A234" s="1" t="s">
        <v>124</v>
      </c>
    </row>
    <row r="235" spans="1:37" ht="11.25">
      <c r="A235" s="11" t="s">
        <v>131</v>
      </c>
      <c r="H235" s="12">
        <f>$B$101*H116*(SUM(H211:H216)+SUM(H218:H223))*H228/10^9</f>
        <v>17.24050575094833</v>
      </c>
      <c r="I235" s="12">
        <f aca="true" t="shared" si="63" ref="I235:AK235">$B$101*I116*(SUM(I211:I216)+SUM(I218:I223))*I228/10^9</f>
        <v>19.612390316855592</v>
      </c>
      <c r="J235" s="12">
        <f t="shared" si="63"/>
        <v>22.310916610283716</v>
      </c>
      <c r="K235" s="12">
        <f t="shared" si="63"/>
        <v>25.44941942183741</v>
      </c>
      <c r="L235" s="12">
        <f t="shared" si="63"/>
        <v>28.871690079875442</v>
      </c>
      <c r="M235" s="12">
        <f t="shared" si="63"/>
        <v>32.84333769770423</v>
      </c>
      <c r="N235" s="12">
        <f t="shared" si="63"/>
        <v>37.361512043047874</v>
      </c>
      <c r="O235" s="12">
        <f t="shared" si="63"/>
        <v>42.61875965680839</v>
      </c>
      <c r="P235" s="12">
        <f t="shared" si="63"/>
        <v>47.51845261737828</v>
      </c>
      <c r="Q235" s="12">
        <f t="shared" si="63"/>
        <v>53.12579167476589</v>
      </c>
      <c r="R235" s="12">
        <f t="shared" si="63"/>
        <v>59.39539235361146</v>
      </c>
      <c r="S235" s="12">
        <f t="shared" si="63"/>
        <v>66.58680431145584</v>
      </c>
      <c r="T235" s="12">
        <f t="shared" si="63"/>
        <v>74.24210819678136</v>
      </c>
      <c r="U235" s="12">
        <f t="shared" si="63"/>
        <v>79.68403561891817</v>
      </c>
      <c r="V235" s="12">
        <f t="shared" si="63"/>
        <v>85.58691154010992</v>
      </c>
      <c r="W235" s="12">
        <f t="shared" si="63"/>
        <v>92.24663280706594</v>
      </c>
      <c r="X235" s="12">
        <f t="shared" si="63"/>
        <v>98.95242595229726</v>
      </c>
      <c r="Y235" s="12">
        <f t="shared" si="63"/>
        <v>106.51384158774658</v>
      </c>
      <c r="Z235" s="12">
        <f t="shared" si="63"/>
        <v>111.8395336671339</v>
      </c>
      <c r="AA235" s="12">
        <f t="shared" si="63"/>
        <v>117.75324051583445</v>
      </c>
      <c r="AB235" s="12">
        <f t="shared" si="63"/>
        <v>123.30308586801515</v>
      </c>
      <c r="AC235" s="12">
        <f t="shared" si="63"/>
        <v>129.4682401614159</v>
      </c>
      <c r="AD235" s="12">
        <f t="shared" si="63"/>
        <v>135.9416521694867</v>
      </c>
      <c r="AE235" s="12">
        <f t="shared" si="63"/>
        <v>143.12979980475</v>
      </c>
      <c r="AF235" s="12">
        <f t="shared" si="63"/>
        <v>149.87567151685914</v>
      </c>
      <c r="AG235" s="12">
        <f t="shared" si="63"/>
        <v>157.3694550927021</v>
      </c>
      <c r="AH235" s="12">
        <f t="shared" si="63"/>
        <v>165.23792784733723</v>
      </c>
      <c r="AI235" s="12">
        <f t="shared" si="63"/>
        <v>173.97516622392246</v>
      </c>
      <c r="AJ235" s="12">
        <f t="shared" si="63"/>
        <v>182.1748154516893</v>
      </c>
      <c r="AK235" s="12">
        <f t="shared" si="63"/>
        <v>191.28355622427378</v>
      </c>
    </row>
    <row r="236" spans="1:37" ht="11.25">
      <c r="A236" s="11" t="s">
        <v>125</v>
      </c>
      <c r="H236" s="12">
        <f aca="true" t="shared" si="64" ref="H236:AK236">$B102*H$116</f>
        <v>4.348075335778946</v>
      </c>
      <c r="I236" s="12">
        <f t="shared" si="64"/>
        <v>4.565479102567894</v>
      </c>
      <c r="J236" s="12">
        <f t="shared" si="64"/>
        <v>4.793753057696288</v>
      </c>
      <c r="K236" s="12">
        <f t="shared" si="64"/>
        <v>5.033440710581103</v>
      </c>
      <c r="L236" s="12">
        <f t="shared" si="64"/>
        <v>5.2851127461101575</v>
      </c>
      <c r="M236" s="12">
        <f t="shared" si="64"/>
        <v>5.549368383415665</v>
      </c>
      <c r="N236" s="12">
        <f t="shared" si="64"/>
        <v>5.826836802586449</v>
      </c>
      <c r="O236" s="12">
        <f t="shared" si="64"/>
        <v>6.118178642715772</v>
      </c>
      <c r="P236" s="12">
        <f t="shared" si="64"/>
        <v>6.424087574851561</v>
      </c>
      <c r="Q236" s="12">
        <f t="shared" si="64"/>
        <v>6.74529195359414</v>
      </c>
      <c r="R236" s="12">
        <f t="shared" si="64"/>
        <v>7.082556551273847</v>
      </c>
      <c r="S236" s="12">
        <f t="shared" si="64"/>
        <v>7.43668437883754</v>
      </c>
      <c r="T236" s="12">
        <f t="shared" si="64"/>
        <v>7.8085185977794165</v>
      </c>
      <c r="U236" s="12">
        <f t="shared" si="64"/>
        <v>8.198944527668388</v>
      </c>
      <c r="V236" s="12">
        <f t="shared" si="64"/>
        <v>8.608891754051808</v>
      </c>
      <c r="W236" s="12">
        <f t="shared" si="64"/>
        <v>9.039336341754398</v>
      </c>
      <c r="X236" s="12">
        <f t="shared" si="64"/>
        <v>9.491303158842117</v>
      </c>
      <c r="Y236" s="12">
        <f t="shared" si="64"/>
        <v>9.965868316784224</v>
      </c>
      <c r="Z236" s="12">
        <f t="shared" si="64"/>
        <v>10.464161732623436</v>
      </c>
      <c r="AA236" s="12">
        <f t="shared" si="64"/>
        <v>10.987369819254608</v>
      </c>
      <c r="AB236" s="12">
        <f t="shared" si="64"/>
        <v>11.53673831021734</v>
      </c>
      <c r="AC236" s="12">
        <f t="shared" si="64"/>
        <v>12.113575225728205</v>
      </c>
      <c r="AD236" s="12">
        <f t="shared" si="64"/>
        <v>12.719253987014618</v>
      </c>
      <c r="AE236" s="12">
        <f t="shared" si="64"/>
        <v>13.355216686365349</v>
      </c>
      <c r="AF236" s="12">
        <f t="shared" si="64"/>
        <v>14.022977520683618</v>
      </c>
      <c r="AG236" s="12">
        <f t="shared" si="64"/>
        <v>14.7241263967178</v>
      </c>
      <c r="AH236" s="12">
        <f t="shared" si="64"/>
        <v>15.46033271655369</v>
      </c>
      <c r="AI236" s="12">
        <f t="shared" si="64"/>
        <v>16.233349352381378</v>
      </c>
      <c r="AJ236" s="12">
        <f t="shared" si="64"/>
        <v>17.045016820000445</v>
      </c>
      <c r="AK236" s="12">
        <f t="shared" si="64"/>
        <v>17.89726766100047</v>
      </c>
    </row>
    <row r="237" spans="1:37" ht="11.25">
      <c r="A237" s="11" t="s">
        <v>82</v>
      </c>
      <c r="O237" s="12">
        <f>$B103*O$116</f>
        <v>509.84822022631425</v>
      </c>
      <c r="W237" s="12">
        <f>$B103*W$116</f>
        <v>753.2780284795331</v>
      </c>
      <c r="AE237" s="12">
        <f>$B103*AE$116</f>
        <v>1112.934723863779</v>
      </c>
      <c r="AK237" s="12"/>
    </row>
    <row r="238" spans="8:61" ht="11.25">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row>
    <row r="239" ht="11.25">
      <c r="A239" s="1" t="s">
        <v>86</v>
      </c>
    </row>
    <row r="240" spans="1:61" ht="11.25">
      <c r="A240" s="2" t="s">
        <v>87</v>
      </c>
      <c r="H240" s="12">
        <f aca="true" t="shared" si="65" ref="H240:AK240">H233</f>
        <v>793.7770861549909</v>
      </c>
      <c r="I240" s="12">
        <f t="shared" si="65"/>
        <v>902.7070242367238</v>
      </c>
      <c r="J240" s="12">
        <f t="shared" si="65"/>
        <v>1026.6161556411637</v>
      </c>
      <c r="K240" s="12">
        <f t="shared" si="65"/>
        <v>1170.68619986408</v>
      </c>
      <c r="L240" s="12">
        <f t="shared" si="65"/>
        <v>1327.7268401854667</v>
      </c>
      <c r="M240" s="12">
        <f t="shared" si="65"/>
        <v>1509.9614808319427</v>
      </c>
      <c r="N240" s="12">
        <f t="shared" si="65"/>
        <v>1717.209555506763</v>
      </c>
      <c r="O240" s="12">
        <f t="shared" si="65"/>
        <v>1958.272955946569</v>
      </c>
      <c r="P240" s="12">
        <f t="shared" si="65"/>
        <v>2183.730069932704</v>
      </c>
      <c r="Q240" s="12">
        <f t="shared" si="65"/>
        <v>2441.7582083242473</v>
      </c>
      <c r="R240" s="12">
        <f t="shared" si="65"/>
        <v>2730.328145563324</v>
      </c>
      <c r="S240" s="12">
        <f t="shared" si="65"/>
        <v>3061.3174957434335</v>
      </c>
      <c r="T240" s="12">
        <f t="shared" si="65"/>
        <v>3413.7931711328556</v>
      </c>
      <c r="U240" s="12">
        <f t="shared" si="65"/>
        <v>3679.4664742641653</v>
      </c>
      <c r="V240" s="12">
        <f t="shared" si="65"/>
        <v>3968.8058788911385</v>
      </c>
      <c r="W240" s="12">
        <f t="shared" si="65"/>
        <v>4295.834834222852</v>
      </c>
      <c r="X240" s="12">
        <f t="shared" si="65"/>
        <v>4627.774741602367</v>
      </c>
      <c r="Y240" s="12">
        <f t="shared" si="65"/>
        <v>5002.647316147945</v>
      </c>
      <c r="Z240" s="12">
        <f t="shared" si="65"/>
        <v>5252.779681955344</v>
      </c>
      <c r="AA240" s="12">
        <f t="shared" si="65"/>
        <v>5530.529402124489</v>
      </c>
      <c r="AB240" s="12">
        <f t="shared" si="65"/>
        <v>5791.1895993557655</v>
      </c>
      <c r="AC240" s="12">
        <f t="shared" si="65"/>
        <v>6080.749079323554</v>
      </c>
      <c r="AD240" s="12">
        <f t="shared" si="65"/>
        <v>6384.786533289734</v>
      </c>
      <c r="AE240" s="12">
        <f t="shared" si="65"/>
        <v>6722.3930540910815</v>
      </c>
      <c r="AF240" s="12">
        <f t="shared" si="65"/>
        <v>7039.227152951932</v>
      </c>
      <c r="AG240" s="12">
        <f t="shared" si="65"/>
        <v>7391.18851059953</v>
      </c>
      <c r="AH240" s="12">
        <f t="shared" si="65"/>
        <v>7760.747936129505</v>
      </c>
      <c r="AI240" s="12">
        <f t="shared" si="65"/>
        <v>8171.110772204299</v>
      </c>
      <c r="AJ240" s="12">
        <f t="shared" si="65"/>
        <v>8556.224599582783</v>
      </c>
      <c r="AK240" s="12">
        <f t="shared" si="65"/>
        <v>8984.03582956192</v>
      </c>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row>
    <row r="241" spans="1:61" ht="11.25">
      <c r="A241" s="31" t="s">
        <v>130</v>
      </c>
      <c r="H241" s="12">
        <f>-H235</f>
        <v>-17.24050575094833</v>
      </c>
      <c r="I241" s="12">
        <f aca="true" t="shared" si="66" ref="I241:AK241">-I235</f>
        <v>-19.612390316855592</v>
      </c>
      <c r="J241" s="12">
        <f t="shared" si="66"/>
        <v>-22.310916610283716</v>
      </c>
      <c r="K241" s="12">
        <f t="shared" si="66"/>
        <v>-25.44941942183741</v>
      </c>
      <c r="L241" s="12">
        <f t="shared" si="66"/>
        <v>-28.871690079875442</v>
      </c>
      <c r="M241" s="12">
        <f t="shared" si="66"/>
        <v>-32.84333769770423</v>
      </c>
      <c r="N241" s="12">
        <f t="shared" si="66"/>
        <v>-37.361512043047874</v>
      </c>
      <c r="O241" s="12">
        <f t="shared" si="66"/>
        <v>-42.61875965680839</v>
      </c>
      <c r="P241" s="12">
        <f t="shared" si="66"/>
        <v>-47.51845261737828</v>
      </c>
      <c r="Q241" s="12">
        <f t="shared" si="66"/>
        <v>-53.12579167476589</v>
      </c>
      <c r="R241" s="12">
        <f t="shared" si="66"/>
        <v>-59.39539235361146</v>
      </c>
      <c r="S241" s="12">
        <f t="shared" si="66"/>
        <v>-66.58680431145584</v>
      </c>
      <c r="T241" s="12">
        <f t="shared" si="66"/>
        <v>-74.24210819678136</v>
      </c>
      <c r="U241" s="12">
        <f t="shared" si="66"/>
        <v>-79.68403561891817</v>
      </c>
      <c r="V241" s="12">
        <f t="shared" si="66"/>
        <v>-85.58691154010992</v>
      </c>
      <c r="W241" s="12">
        <f t="shared" si="66"/>
        <v>-92.24663280706594</v>
      </c>
      <c r="X241" s="12">
        <f t="shared" si="66"/>
        <v>-98.95242595229726</v>
      </c>
      <c r="Y241" s="12">
        <f t="shared" si="66"/>
        <v>-106.51384158774658</v>
      </c>
      <c r="Z241" s="12">
        <f t="shared" si="66"/>
        <v>-111.8395336671339</v>
      </c>
      <c r="AA241" s="12">
        <f t="shared" si="66"/>
        <v>-117.75324051583445</v>
      </c>
      <c r="AB241" s="12">
        <f t="shared" si="66"/>
        <v>-123.30308586801515</v>
      </c>
      <c r="AC241" s="12">
        <f t="shared" si="66"/>
        <v>-129.4682401614159</v>
      </c>
      <c r="AD241" s="12">
        <f t="shared" si="66"/>
        <v>-135.9416521694867</v>
      </c>
      <c r="AE241" s="12">
        <f t="shared" si="66"/>
        <v>-143.12979980475</v>
      </c>
      <c r="AF241" s="12">
        <f t="shared" si="66"/>
        <v>-149.87567151685914</v>
      </c>
      <c r="AG241" s="12">
        <f t="shared" si="66"/>
        <v>-157.3694550927021</v>
      </c>
      <c r="AH241" s="12">
        <f t="shared" si="66"/>
        <v>-165.23792784733723</v>
      </c>
      <c r="AI241" s="12">
        <f t="shared" si="66"/>
        <v>-173.97516622392246</v>
      </c>
      <c r="AJ241" s="12">
        <f t="shared" si="66"/>
        <v>-182.1748154516893</v>
      </c>
      <c r="AK241" s="12">
        <f t="shared" si="66"/>
        <v>-191.28355622427378</v>
      </c>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row>
    <row r="242" spans="1:61" ht="11.25">
      <c r="A242" s="31" t="s">
        <v>126</v>
      </c>
      <c r="H242" s="12">
        <f aca="true" t="shared" si="67" ref="H242:AK242">-H236</f>
        <v>-4.348075335778946</v>
      </c>
      <c r="I242" s="12">
        <f t="shared" si="67"/>
        <v>-4.565479102567894</v>
      </c>
      <c r="J242" s="12">
        <f t="shared" si="67"/>
        <v>-4.793753057696288</v>
      </c>
      <c r="K242" s="12">
        <f t="shared" si="67"/>
        <v>-5.033440710581103</v>
      </c>
      <c r="L242" s="12">
        <f t="shared" si="67"/>
        <v>-5.2851127461101575</v>
      </c>
      <c r="M242" s="12">
        <f t="shared" si="67"/>
        <v>-5.549368383415665</v>
      </c>
      <c r="N242" s="12">
        <f t="shared" si="67"/>
        <v>-5.826836802586449</v>
      </c>
      <c r="O242" s="12">
        <f t="shared" si="67"/>
        <v>-6.118178642715772</v>
      </c>
      <c r="P242" s="12">
        <f t="shared" si="67"/>
        <v>-6.424087574851561</v>
      </c>
      <c r="Q242" s="12">
        <f t="shared" si="67"/>
        <v>-6.74529195359414</v>
      </c>
      <c r="R242" s="12">
        <f t="shared" si="67"/>
        <v>-7.082556551273847</v>
      </c>
      <c r="S242" s="12">
        <f t="shared" si="67"/>
        <v>-7.43668437883754</v>
      </c>
      <c r="T242" s="12">
        <f t="shared" si="67"/>
        <v>-7.8085185977794165</v>
      </c>
      <c r="U242" s="12">
        <f t="shared" si="67"/>
        <v>-8.198944527668388</v>
      </c>
      <c r="V242" s="12">
        <f t="shared" si="67"/>
        <v>-8.608891754051808</v>
      </c>
      <c r="W242" s="12">
        <f t="shared" si="67"/>
        <v>-9.039336341754398</v>
      </c>
      <c r="X242" s="12">
        <f t="shared" si="67"/>
        <v>-9.491303158842117</v>
      </c>
      <c r="Y242" s="12">
        <f t="shared" si="67"/>
        <v>-9.965868316784224</v>
      </c>
      <c r="Z242" s="12">
        <f t="shared" si="67"/>
        <v>-10.464161732623436</v>
      </c>
      <c r="AA242" s="12">
        <f t="shared" si="67"/>
        <v>-10.987369819254608</v>
      </c>
      <c r="AB242" s="12">
        <f t="shared" si="67"/>
        <v>-11.53673831021734</v>
      </c>
      <c r="AC242" s="12">
        <f t="shared" si="67"/>
        <v>-12.113575225728205</v>
      </c>
      <c r="AD242" s="12">
        <f t="shared" si="67"/>
        <v>-12.719253987014618</v>
      </c>
      <c r="AE242" s="12">
        <f t="shared" si="67"/>
        <v>-13.355216686365349</v>
      </c>
      <c r="AF242" s="12">
        <f t="shared" si="67"/>
        <v>-14.022977520683618</v>
      </c>
      <c r="AG242" s="12">
        <f t="shared" si="67"/>
        <v>-14.7241263967178</v>
      </c>
      <c r="AH242" s="12">
        <f t="shared" si="67"/>
        <v>-15.46033271655369</v>
      </c>
      <c r="AI242" s="12">
        <f t="shared" si="67"/>
        <v>-16.233349352381378</v>
      </c>
      <c r="AJ242" s="12">
        <f t="shared" si="67"/>
        <v>-17.045016820000445</v>
      </c>
      <c r="AK242" s="12">
        <f t="shared" si="67"/>
        <v>-17.89726766100047</v>
      </c>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row>
    <row r="243" spans="1:61" ht="11.25">
      <c r="A243" s="31" t="s">
        <v>100</v>
      </c>
      <c r="H243" s="12">
        <f aca="true" t="shared" si="68" ref="H243:AK243">-H237</f>
        <v>0</v>
      </c>
      <c r="I243" s="12">
        <f t="shared" si="68"/>
        <v>0</v>
      </c>
      <c r="J243" s="12">
        <f t="shared" si="68"/>
        <v>0</v>
      </c>
      <c r="K243" s="12">
        <f t="shared" si="68"/>
        <v>0</v>
      </c>
      <c r="L243" s="12">
        <f t="shared" si="68"/>
        <v>0</v>
      </c>
      <c r="M243" s="12">
        <f t="shared" si="68"/>
        <v>0</v>
      </c>
      <c r="N243" s="12">
        <f t="shared" si="68"/>
        <v>0</v>
      </c>
      <c r="O243" s="12">
        <f t="shared" si="68"/>
        <v>-509.84822022631425</v>
      </c>
      <c r="P243" s="12">
        <f t="shared" si="68"/>
        <v>0</v>
      </c>
      <c r="Q243" s="12">
        <f t="shared" si="68"/>
        <v>0</v>
      </c>
      <c r="R243" s="12">
        <f t="shared" si="68"/>
        <v>0</v>
      </c>
      <c r="S243" s="12">
        <f t="shared" si="68"/>
        <v>0</v>
      </c>
      <c r="T243" s="12">
        <f t="shared" si="68"/>
        <v>0</v>
      </c>
      <c r="U243" s="12">
        <f t="shared" si="68"/>
        <v>0</v>
      </c>
      <c r="V243" s="12">
        <f t="shared" si="68"/>
        <v>0</v>
      </c>
      <c r="W243" s="12">
        <f t="shared" si="68"/>
        <v>-753.2780284795331</v>
      </c>
      <c r="X243" s="12">
        <f t="shared" si="68"/>
        <v>0</v>
      </c>
      <c r="Y243" s="12">
        <f t="shared" si="68"/>
        <v>0</v>
      </c>
      <c r="Z243" s="12">
        <f t="shared" si="68"/>
        <v>0</v>
      </c>
      <c r="AA243" s="12">
        <f t="shared" si="68"/>
        <v>0</v>
      </c>
      <c r="AB243" s="12">
        <f t="shared" si="68"/>
        <v>0</v>
      </c>
      <c r="AC243" s="12">
        <f t="shared" si="68"/>
        <v>0</v>
      </c>
      <c r="AD243" s="12">
        <f t="shared" si="68"/>
        <v>0</v>
      </c>
      <c r="AE243" s="12">
        <f t="shared" si="68"/>
        <v>-1112.934723863779</v>
      </c>
      <c r="AF243" s="12">
        <f t="shared" si="68"/>
        <v>0</v>
      </c>
      <c r="AG243" s="12">
        <f t="shared" si="68"/>
        <v>0</v>
      </c>
      <c r="AH243" s="12">
        <f t="shared" si="68"/>
        <v>0</v>
      </c>
      <c r="AI243" s="12">
        <f t="shared" si="68"/>
        <v>0</v>
      </c>
      <c r="AJ243" s="12">
        <f t="shared" si="68"/>
        <v>0</v>
      </c>
      <c r="AK243" s="12">
        <f t="shared" si="68"/>
        <v>0</v>
      </c>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row>
    <row r="244" spans="1:61" ht="11.25">
      <c r="A244" s="2" t="s">
        <v>88</v>
      </c>
      <c r="H244" s="12">
        <f>H240+H241+H242+H243</f>
        <v>772.1885050682636</v>
      </c>
      <c r="I244" s="12">
        <f aca="true" t="shared" si="69" ref="I244:AK244">I240+I241+I242+I243</f>
        <v>878.5291548173003</v>
      </c>
      <c r="J244" s="12">
        <f t="shared" si="69"/>
        <v>999.5114859731837</v>
      </c>
      <c r="K244" s="12">
        <f t="shared" si="69"/>
        <v>1140.2033397316616</v>
      </c>
      <c r="L244" s="12">
        <f t="shared" si="69"/>
        <v>1293.5700373594811</v>
      </c>
      <c r="M244" s="12">
        <f t="shared" si="69"/>
        <v>1471.5687747508227</v>
      </c>
      <c r="N244" s="12">
        <f t="shared" si="69"/>
        <v>1674.0212066611286</v>
      </c>
      <c r="O244" s="12">
        <f t="shared" si="69"/>
        <v>1399.6877974207307</v>
      </c>
      <c r="P244" s="12">
        <f t="shared" si="69"/>
        <v>2129.787529740474</v>
      </c>
      <c r="Q244" s="12">
        <f t="shared" si="69"/>
        <v>2381.8871246958875</v>
      </c>
      <c r="R244" s="12">
        <f t="shared" si="69"/>
        <v>2663.850196658439</v>
      </c>
      <c r="S244" s="12">
        <f t="shared" si="69"/>
        <v>2987.29400705314</v>
      </c>
      <c r="T244" s="12">
        <f t="shared" si="69"/>
        <v>3331.742544338295</v>
      </c>
      <c r="U244" s="12">
        <f t="shared" si="69"/>
        <v>3591.5834941175785</v>
      </c>
      <c r="V244" s="12">
        <f t="shared" si="69"/>
        <v>3874.6100755969765</v>
      </c>
      <c r="W244" s="12">
        <f t="shared" si="69"/>
        <v>3441.2708365944986</v>
      </c>
      <c r="X244" s="12">
        <f t="shared" si="69"/>
        <v>4519.331012491228</v>
      </c>
      <c r="Y244" s="12">
        <f t="shared" si="69"/>
        <v>4886.167606243414</v>
      </c>
      <c r="Z244" s="12">
        <f t="shared" si="69"/>
        <v>5130.475986555587</v>
      </c>
      <c r="AA244" s="12">
        <f t="shared" si="69"/>
        <v>5401.7887917893995</v>
      </c>
      <c r="AB244" s="12">
        <f t="shared" si="69"/>
        <v>5656.349775177533</v>
      </c>
      <c r="AC244" s="12">
        <f t="shared" si="69"/>
        <v>5939.167263936411</v>
      </c>
      <c r="AD244" s="12">
        <f t="shared" si="69"/>
        <v>6236.125627133232</v>
      </c>
      <c r="AE244" s="12">
        <f t="shared" si="69"/>
        <v>5452.973313736186</v>
      </c>
      <c r="AF244" s="12">
        <f t="shared" si="69"/>
        <v>6875.328503914389</v>
      </c>
      <c r="AG244" s="12">
        <f t="shared" si="69"/>
        <v>7219.09492911011</v>
      </c>
      <c r="AH244" s="12">
        <f t="shared" si="69"/>
        <v>7580.049675565615</v>
      </c>
      <c r="AI244" s="12">
        <f t="shared" si="69"/>
        <v>7980.9022566279955</v>
      </c>
      <c r="AJ244" s="12">
        <f t="shared" si="69"/>
        <v>8357.004767311093</v>
      </c>
      <c r="AK244" s="12">
        <f t="shared" si="69"/>
        <v>8774.855005676645</v>
      </c>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row>
    <row r="245" spans="1:61" ht="11.25">
      <c r="A245" s="31" t="s">
        <v>101</v>
      </c>
      <c r="H245" s="12">
        <f aca="true" t="shared" si="70" ref="H245:AK245">-H207</f>
        <v>-438.8220405637958</v>
      </c>
      <c r="I245" s="12">
        <f t="shared" si="70"/>
        <v>-438.8220405637958</v>
      </c>
      <c r="J245" s="12">
        <f t="shared" si="70"/>
        <v>-438.8220405637958</v>
      </c>
      <c r="K245" s="12">
        <f t="shared" si="70"/>
        <v>-438.8220405637958</v>
      </c>
      <c r="L245" s="12">
        <f t="shared" si="70"/>
        <v>-438.8220405637958</v>
      </c>
      <c r="M245" s="12">
        <f t="shared" si="70"/>
        <v>-438.8220405637958</v>
      </c>
      <c r="N245" s="12">
        <f t="shared" si="70"/>
        <v>-438.8220405637958</v>
      </c>
      <c r="O245" s="12">
        <f t="shared" si="70"/>
        <v>-438.8220405637958</v>
      </c>
      <c r="P245" s="12">
        <f t="shared" si="70"/>
        <v>-438.8220405637958</v>
      </c>
      <c r="Q245" s="12">
        <f t="shared" si="70"/>
        <v>-438.8220405637958</v>
      </c>
      <c r="R245" s="12">
        <f t="shared" si="70"/>
        <v>-438.8220405637958</v>
      </c>
      <c r="S245" s="12">
        <f t="shared" si="70"/>
        <v>-438.8220405637958</v>
      </c>
      <c r="T245" s="12">
        <f t="shared" si="70"/>
        <v>-438.8220405637958</v>
      </c>
      <c r="U245" s="12">
        <f t="shared" si="70"/>
        <v>-438.8220405637958</v>
      </c>
      <c r="V245" s="12">
        <f t="shared" si="70"/>
        <v>-438.8220405637958</v>
      </c>
      <c r="W245" s="12">
        <f t="shared" si="70"/>
        <v>-438.8220405637958</v>
      </c>
      <c r="X245" s="12">
        <f t="shared" si="70"/>
        <v>-438.8220405637958</v>
      </c>
      <c r="Y245" s="12">
        <f t="shared" si="70"/>
        <v>-438.8220405637958</v>
      </c>
      <c r="Z245" s="12">
        <f t="shared" si="70"/>
        <v>-438.8220405637958</v>
      </c>
      <c r="AA245" s="12">
        <f t="shared" si="70"/>
        <v>-438.8220405637958</v>
      </c>
      <c r="AB245" s="12">
        <f t="shared" si="70"/>
        <v>-438.8220405637958</v>
      </c>
      <c r="AC245" s="12">
        <f t="shared" si="70"/>
        <v>-438.8220405637958</v>
      </c>
      <c r="AD245" s="12">
        <f t="shared" si="70"/>
        <v>-438.8220405637958</v>
      </c>
      <c r="AE245" s="12">
        <f t="shared" si="70"/>
        <v>-438.8220405637958</v>
      </c>
      <c r="AF245" s="12">
        <f t="shared" si="70"/>
        <v>-438.8220405637958</v>
      </c>
      <c r="AG245" s="12">
        <f t="shared" si="70"/>
        <v>-438.8220405637958</v>
      </c>
      <c r="AH245" s="12">
        <f t="shared" si="70"/>
        <v>-438.8220405637958</v>
      </c>
      <c r="AI245" s="12">
        <f t="shared" si="70"/>
        <v>-438.8220405637958</v>
      </c>
      <c r="AJ245" s="12">
        <f t="shared" si="70"/>
        <v>-438.8220405637958</v>
      </c>
      <c r="AK245" s="12">
        <f t="shared" si="70"/>
        <v>-438.8220405637958</v>
      </c>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row>
    <row r="246" spans="1:61" ht="11.25">
      <c r="A246" s="2" t="s">
        <v>89</v>
      </c>
      <c r="H246" s="12">
        <f aca="true" t="shared" si="71" ref="H246:AK246">H244+H245</f>
        <v>333.3664645044678</v>
      </c>
      <c r="I246" s="12">
        <f t="shared" si="71"/>
        <v>439.7071142535045</v>
      </c>
      <c r="J246" s="12">
        <f t="shared" si="71"/>
        <v>560.6894454093879</v>
      </c>
      <c r="K246" s="12">
        <f t="shared" si="71"/>
        <v>701.3812991678658</v>
      </c>
      <c r="L246" s="12">
        <f t="shared" si="71"/>
        <v>854.7479967956854</v>
      </c>
      <c r="M246" s="12">
        <f t="shared" si="71"/>
        <v>1032.746734187027</v>
      </c>
      <c r="N246" s="12">
        <f t="shared" si="71"/>
        <v>1235.1991660973329</v>
      </c>
      <c r="O246" s="12">
        <f t="shared" si="71"/>
        <v>960.8657568569349</v>
      </c>
      <c r="P246" s="12">
        <f t="shared" si="71"/>
        <v>1690.9654891766781</v>
      </c>
      <c r="Q246" s="12">
        <f t="shared" si="71"/>
        <v>1943.0650841320917</v>
      </c>
      <c r="R246" s="12">
        <f t="shared" si="71"/>
        <v>2225.0281560946432</v>
      </c>
      <c r="S246" s="12">
        <f t="shared" si="71"/>
        <v>2548.471966489344</v>
      </c>
      <c r="T246" s="12">
        <f t="shared" si="71"/>
        <v>2892.920503774499</v>
      </c>
      <c r="U246" s="12">
        <f t="shared" si="71"/>
        <v>3152.7614535537828</v>
      </c>
      <c r="V246" s="12">
        <f t="shared" si="71"/>
        <v>3435.7880350331807</v>
      </c>
      <c r="W246" s="12">
        <f t="shared" si="71"/>
        <v>3002.448796030703</v>
      </c>
      <c r="X246" s="12">
        <f t="shared" si="71"/>
        <v>4080.508971927432</v>
      </c>
      <c r="Y246" s="12">
        <f t="shared" si="71"/>
        <v>4447.345565679619</v>
      </c>
      <c r="Z246" s="12">
        <f t="shared" si="71"/>
        <v>4691.653945991791</v>
      </c>
      <c r="AA246" s="12">
        <f t="shared" si="71"/>
        <v>4962.966751225604</v>
      </c>
      <c r="AB246" s="12">
        <f t="shared" si="71"/>
        <v>5217.527734613737</v>
      </c>
      <c r="AC246" s="12">
        <f t="shared" si="71"/>
        <v>5500.345223372615</v>
      </c>
      <c r="AD246" s="12">
        <f t="shared" si="71"/>
        <v>5797.303586569436</v>
      </c>
      <c r="AE246" s="12">
        <f t="shared" si="71"/>
        <v>5014.151273172391</v>
      </c>
      <c r="AF246" s="12">
        <f t="shared" si="71"/>
        <v>6436.506463350594</v>
      </c>
      <c r="AG246" s="12">
        <f t="shared" si="71"/>
        <v>6780.272888546314</v>
      </c>
      <c r="AH246" s="12">
        <f t="shared" si="71"/>
        <v>7141.227635001819</v>
      </c>
      <c r="AI246" s="12">
        <f t="shared" si="71"/>
        <v>7542.0802160642</v>
      </c>
      <c r="AJ246" s="12">
        <f t="shared" si="71"/>
        <v>7918.182726747297</v>
      </c>
      <c r="AK246" s="12">
        <f t="shared" si="71"/>
        <v>8336.032965112849</v>
      </c>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row>
    <row r="247" spans="1:61" ht="11.25">
      <c r="A247" s="31" t="s">
        <v>102</v>
      </c>
      <c r="H247" s="12">
        <f aca="true" t="shared" si="72" ref="H247:AK247">-H178-H168</f>
        <v>-497.02630062565675</v>
      </c>
      <c r="I247" s="12">
        <f t="shared" si="72"/>
        <v>-511.19144066110505</v>
      </c>
      <c r="J247" s="12">
        <f t="shared" si="72"/>
        <v>-524.9924193625926</v>
      </c>
      <c r="K247" s="12">
        <f t="shared" si="72"/>
        <v>-538.2748835804807</v>
      </c>
      <c r="L247" s="12">
        <f t="shared" si="72"/>
        <v>-550.8577517354573</v>
      </c>
      <c r="M247" s="12">
        <f t="shared" si="72"/>
        <v>-562.5291401477355</v>
      </c>
      <c r="N247" s="12">
        <f t="shared" si="72"/>
        <v>-569.981513858396</v>
      </c>
      <c r="O247" s="12">
        <f t="shared" si="72"/>
        <v>-575.4130618229358</v>
      </c>
      <c r="P247" s="12">
        <f t="shared" si="72"/>
        <v>-578.3995956931453</v>
      </c>
      <c r="Q247" s="12">
        <f t="shared" si="72"/>
        <v>-578.4496711286366</v>
      </c>
      <c r="R247" s="12">
        <f t="shared" si="72"/>
        <v>-574.9945548316749</v>
      </c>
      <c r="S247" s="12">
        <f t="shared" si="72"/>
        <v>-567.3767190746055</v>
      </c>
      <c r="T247" s="12">
        <f t="shared" si="72"/>
        <v>-554.8366485889347</v>
      </c>
      <c r="U247" s="12">
        <f t="shared" si="72"/>
        <v>-536.4977132956014</v>
      </c>
      <c r="V247" s="12">
        <f t="shared" si="72"/>
        <v>-511.3488243881341</v>
      </c>
      <c r="W247" s="12">
        <f t="shared" si="72"/>
        <v>-478.22455006653297</v>
      </c>
      <c r="X247" s="12">
        <f t="shared" si="72"/>
        <v>-435.7823199947731</v>
      </c>
      <c r="Y247" s="12">
        <f t="shared" si="72"/>
        <v>-382.47629344214005</v>
      </c>
      <c r="Z247" s="12">
        <f t="shared" si="72"/>
        <v>-316.5274040636979</v>
      </c>
      <c r="AA247" s="12">
        <f t="shared" si="72"/>
        <v>-235.88902322706255</v>
      </c>
      <c r="AB247" s="12">
        <f t="shared" si="72"/>
        <v>-138.2076023824762</v>
      </c>
      <c r="AC247" s="12">
        <f t="shared" si="72"/>
        <v>-120.38494300577581</v>
      </c>
      <c r="AD247" s="12">
        <f t="shared" si="72"/>
        <v>-98.38073185646724</v>
      </c>
      <c r="AE247" s="12">
        <f t="shared" si="72"/>
        <v>-71.51922538659348</v>
      </c>
      <c r="AF247" s="12">
        <f t="shared" si="72"/>
        <v>-39.023386867685</v>
      </c>
      <c r="AG247" s="12">
        <f t="shared" si="72"/>
        <v>0</v>
      </c>
      <c r="AH247" s="12">
        <f t="shared" si="72"/>
        <v>0</v>
      </c>
      <c r="AI247" s="12">
        <f t="shared" si="72"/>
        <v>0</v>
      </c>
      <c r="AJ247" s="12">
        <f t="shared" si="72"/>
        <v>0</v>
      </c>
      <c r="AK247" s="12">
        <f t="shared" si="72"/>
        <v>0</v>
      </c>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row>
    <row r="248" spans="1:61" ht="11.25">
      <c r="A248" s="2" t="s">
        <v>90</v>
      </c>
      <c r="H248" s="12">
        <f aca="true" t="shared" si="73" ref="H248:AK248">H246+H247</f>
        <v>-163.65983612118896</v>
      </c>
      <c r="I248" s="12">
        <f t="shared" si="73"/>
        <v>-71.48432640760052</v>
      </c>
      <c r="J248" s="12">
        <f t="shared" si="73"/>
        <v>35.69702604679526</v>
      </c>
      <c r="K248" s="12">
        <f t="shared" si="73"/>
        <v>163.10641558738507</v>
      </c>
      <c r="L248" s="12">
        <f t="shared" si="73"/>
        <v>303.89024506022804</v>
      </c>
      <c r="M248" s="12">
        <f t="shared" si="73"/>
        <v>470.2175940392915</v>
      </c>
      <c r="N248" s="12">
        <f t="shared" si="73"/>
        <v>665.2176522389368</v>
      </c>
      <c r="O248" s="12">
        <f t="shared" si="73"/>
        <v>385.45269503399913</v>
      </c>
      <c r="P248" s="12">
        <f t="shared" si="73"/>
        <v>1112.5658934835328</v>
      </c>
      <c r="Q248" s="12">
        <f t="shared" si="73"/>
        <v>1364.6154130034552</v>
      </c>
      <c r="R248" s="12">
        <f t="shared" si="73"/>
        <v>1650.0336012629682</v>
      </c>
      <c r="S248" s="12">
        <f t="shared" si="73"/>
        <v>1981.0952474147387</v>
      </c>
      <c r="T248" s="12">
        <f t="shared" si="73"/>
        <v>2338.0838551855645</v>
      </c>
      <c r="U248" s="12">
        <f t="shared" si="73"/>
        <v>2616.2637402581813</v>
      </c>
      <c r="V248" s="12">
        <f t="shared" si="73"/>
        <v>2924.4392106450464</v>
      </c>
      <c r="W248" s="12">
        <f t="shared" si="73"/>
        <v>2524.2242459641698</v>
      </c>
      <c r="X248" s="12">
        <f t="shared" si="73"/>
        <v>3644.726651932659</v>
      </c>
      <c r="Y248" s="12">
        <f t="shared" si="73"/>
        <v>4064.8692722374785</v>
      </c>
      <c r="Z248" s="12">
        <f t="shared" si="73"/>
        <v>4375.1265419280935</v>
      </c>
      <c r="AA248" s="12">
        <f t="shared" si="73"/>
        <v>4727.077727998541</v>
      </c>
      <c r="AB248" s="12">
        <f t="shared" si="73"/>
        <v>5079.320132231261</v>
      </c>
      <c r="AC248" s="12">
        <f t="shared" si="73"/>
        <v>5379.960280366839</v>
      </c>
      <c r="AD248" s="12">
        <f t="shared" si="73"/>
        <v>5698.92285471297</v>
      </c>
      <c r="AE248" s="12">
        <f t="shared" si="73"/>
        <v>4942.632047785797</v>
      </c>
      <c r="AF248" s="12">
        <f t="shared" si="73"/>
        <v>6397.4830764829085</v>
      </c>
      <c r="AG248" s="12">
        <f t="shared" si="73"/>
        <v>6780.272888546314</v>
      </c>
      <c r="AH248" s="12">
        <f t="shared" si="73"/>
        <v>7141.227635001819</v>
      </c>
      <c r="AI248" s="12">
        <f t="shared" si="73"/>
        <v>7542.0802160642</v>
      </c>
      <c r="AJ248" s="12">
        <f t="shared" si="73"/>
        <v>7918.182726747297</v>
      </c>
      <c r="AK248" s="12">
        <f t="shared" si="73"/>
        <v>8336.032965112849</v>
      </c>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row>
    <row r="249" spans="1:61" ht="11.25">
      <c r="A249" s="2" t="s">
        <v>132</v>
      </c>
      <c r="H249" s="12">
        <v>0</v>
      </c>
      <c r="I249" s="12">
        <v>0</v>
      </c>
      <c r="J249" s="12">
        <v>0</v>
      </c>
      <c r="K249" s="12">
        <v>0</v>
      </c>
      <c r="L249" s="12">
        <f>SUM(H248:L248)</f>
        <v>267.5495241656189</v>
      </c>
      <c r="M249" s="12">
        <f>M248</f>
        <v>470.2175940392915</v>
      </c>
      <c r="N249" s="12">
        <f aca="true" t="shared" si="74" ref="N249:AK249">N248</f>
        <v>665.2176522389368</v>
      </c>
      <c r="O249" s="12">
        <f t="shared" si="74"/>
        <v>385.45269503399913</v>
      </c>
      <c r="P249" s="12">
        <f t="shared" si="74"/>
        <v>1112.5658934835328</v>
      </c>
      <c r="Q249" s="12">
        <f t="shared" si="74"/>
        <v>1364.6154130034552</v>
      </c>
      <c r="R249" s="12">
        <f t="shared" si="74"/>
        <v>1650.0336012629682</v>
      </c>
      <c r="S249" s="12">
        <f t="shared" si="74"/>
        <v>1981.0952474147387</v>
      </c>
      <c r="T249" s="12">
        <f t="shared" si="74"/>
        <v>2338.0838551855645</v>
      </c>
      <c r="U249" s="12">
        <f t="shared" si="74"/>
        <v>2616.2637402581813</v>
      </c>
      <c r="V249" s="12">
        <f t="shared" si="74"/>
        <v>2924.4392106450464</v>
      </c>
      <c r="W249" s="12">
        <f t="shared" si="74"/>
        <v>2524.2242459641698</v>
      </c>
      <c r="X249" s="12">
        <f t="shared" si="74"/>
        <v>3644.726651932659</v>
      </c>
      <c r="Y249" s="12">
        <f t="shared" si="74"/>
        <v>4064.8692722374785</v>
      </c>
      <c r="Z249" s="12">
        <f t="shared" si="74"/>
        <v>4375.1265419280935</v>
      </c>
      <c r="AA249" s="12">
        <f t="shared" si="74"/>
        <v>4727.077727998541</v>
      </c>
      <c r="AB249" s="12">
        <f t="shared" si="74"/>
        <v>5079.320132231261</v>
      </c>
      <c r="AC249" s="12">
        <f t="shared" si="74"/>
        <v>5379.960280366839</v>
      </c>
      <c r="AD249" s="12">
        <f t="shared" si="74"/>
        <v>5698.92285471297</v>
      </c>
      <c r="AE249" s="12">
        <f t="shared" si="74"/>
        <v>4942.632047785797</v>
      </c>
      <c r="AF249" s="12">
        <f t="shared" si="74"/>
        <v>6397.4830764829085</v>
      </c>
      <c r="AG249" s="12">
        <f t="shared" si="74"/>
        <v>6780.272888546314</v>
      </c>
      <c r="AH249" s="12">
        <f t="shared" si="74"/>
        <v>7141.227635001819</v>
      </c>
      <c r="AI249" s="12">
        <f t="shared" si="74"/>
        <v>7542.0802160642</v>
      </c>
      <c r="AJ249" s="12">
        <f t="shared" si="74"/>
        <v>7918.182726747297</v>
      </c>
      <c r="AK249" s="12">
        <f t="shared" si="74"/>
        <v>8336.032965112849</v>
      </c>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row>
    <row r="250" spans="1:61" ht="11.25">
      <c r="A250" s="11" t="s">
        <v>91</v>
      </c>
      <c r="H250" s="12">
        <v>0</v>
      </c>
      <c r="I250" s="12">
        <v>0</v>
      </c>
      <c r="J250" s="12">
        <v>0</v>
      </c>
      <c r="K250" s="12">
        <v>0</v>
      </c>
      <c r="L250" s="12">
        <v>0</v>
      </c>
      <c r="M250" s="12">
        <v>0</v>
      </c>
      <c r="N250" s="12">
        <f>-N249*$B$108</f>
        <v>-83.1522065298671</v>
      </c>
      <c r="O250" s="12">
        <f>-O249*$B$108</f>
        <v>-48.18158687924989</v>
      </c>
      <c r="P250" s="12">
        <f>-P249*$B$108</f>
        <v>-139.0707366854416</v>
      </c>
      <c r="Q250" s="12">
        <f>-Q249*$B$104</f>
        <v>-341.1538532508638</v>
      </c>
      <c r="R250" s="12">
        <f>-R249*$B$104</f>
        <v>-412.50840031574205</v>
      </c>
      <c r="S250" s="12">
        <f aca="true" t="shared" si="75" ref="S250:AK250">-S249*$B$104</f>
        <v>-495.27381185368466</v>
      </c>
      <c r="T250" s="12">
        <f t="shared" si="75"/>
        <v>-584.5209637963911</v>
      </c>
      <c r="U250" s="12">
        <f t="shared" si="75"/>
        <v>-654.0659350645453</v>
      </c>
      <c r="V250" s="12">
        <f t="shared" si="75"/>
        <v>-731.1098026612616</v>
      </c>
      <c r="W250" s="12">
        <f t="shared" si="75"/>
        <v>-631.0560614910424</v>
      </c>
      <c r="X250" s="12">
        <f t="shared" si="75"/>
        <v>-911.1816629831648</v>
      </c>
      <c r="Y250" s="12">
        <f t="shared" si="75"/>
        <v>-1016.2173180593696</v>
      </c>
      <c r="Z250" s="12">
        <f t="shared" si="75"/>
        <v>-1093.7816354820234</v>
      </c>
      <c r="AA250" s="12">
        <f t="shared" si="75"/>
        <v>-1181.7694319996353</v>
      </c>
      <c r="AB250" s="12">
        <f t="shared" si="75"/>
        <v>-1269.8300330578152</v>
      </c>
      <c r="AC250" s="12">
        <f t="shared" si="75"/>
        <v>-1344.9900700917096</v>
      </c>
      <c r="AD250" s="12">
        <f t="shared" si="75"/>
        <v>-1424.7307136782424</v>
      </c>
      <c r="AE250" s="12">
        <f t="shared" si="75"/>
        <v>-1235.6580119464493</v>
      </c>
      <c r="AF250" s="12">
        <f t="shared" si="75"/>
        <v>-1599.3707691207271</v>
      </c>
      <c r="AG250" s="12">
        <f t="shared" si="75"/>
        <v>-1695.0682221365785</v>
      </c>
      <c r="AH250" s="12">
        <f t="shared" si="75"/>
        <v>-1785.3069087504548</v>
      </c>
      <c r="AI250" s="12">
        <f t="shared" si="75"/>
        <v>-1885.52005401605</v>
      </c>
      <c r="AJ250" s="12">
        <f t="shared" si="75"/>
        <v>-1979.5456816868243</v>
      </c>
      <c r="AK250" s="12">
        <f t="shared" si="75"/>
        <v>-2084.008241278212</v>
      </c>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row>
    <row r="251" spans="1:61" ht="11.25">
      <c r="A251" s="2" t="s">
        <v>92</v>
      </c>
      <c r="H251" s="12">
        <f aca="true" t="shared" si="76" ref="H251:AK251">H248+H250</f>
        <v>-163.65983612118896</v>
      </c>
      <c r="I251" s="12">
        <f t="shared" si="76"/>
        <v>-71.48432640760052</v>
      </c>
      <c r="J251" s="12">
        <f t="shared" si="76"/>
        <v>35.69702604679526</v>
      </c>
      <c r="K251" s="12">
        <f t="shared" si="76"/>
        <v>163.10641558738507</v>
      </c>
      <c r="L251" s="12">
        <f t="shared" si="76"/>
        <v>303.89024506022804</v>
      </c>
      <c r="M251" s="12">
        <f t="shared" si="76"/>
        <v>470.2175940392915</v>
      </c>
      <c r="N251" s="12">
        <f t="shared" si="76"/>
        <v>582.0654457090698</v>
      </c>
      <c r="O251" s="12">
        <f t="shared" si="76"/>
        <v>337.27110815474924</v>
      </c>
      <c r="P251" s="12">
        <f t="shared" si="76"/>
        <v>973.4951567980912</v>
      </c>
      <c r="Q251" s="12">
        <f t="shared" si="76"/>
        <v>1023.4615597525914</v>
      </c>
      <c r="R251" s="12">
        <f t="shared" si="76"/>
        <v>1237.525200947226</v>
      </c>
      <c r="S251" s="12">
        <f t="shared" si="76"/>
        <v>1485.821435561054</v>
      </c>
      <c r="T251" s="12">
        <f t="shared" si="76"/>
        <v>1753.5628913891733</v>
      </c>
      <c r="U251" s="12">
        <f t="shared" si="76"/>
        <v>1962.197805193636</v>
      </c>
      <c r="V251" s="12">
        <f t="shared" si="76"/>
        <v>2193.3294079837847</v>
      </c>
      <c r="W251" s="12">
        <f t="shared" si="76"/>
        <v>1893.1681844731274</v>
      </c>
      <c r="X251" s="12">
        <f t="shared" si="76"/>
        <v>2733.5449889494944</v>
      </c>
      <c r="Y251" s="12">
        <f t="shared" si="76"/>
        <v>3048.651954178109</v>
      </c>
      <c r="Z251" s="12">
        <f t="shared" si="76"/>
        <v>3281.34490644607</v>
      </c>
      <c r="AA251" s="12">
        <f t="shared" si="76"/>
        <v>3545.308295998906</v>
      </c>
      <c r="AB251" s="12">
        <f t="shared" si="76"/>
        <v>3809.4900991734457</v>
      </c>
      <c r="AC251" s="12">
        <f t="shared" si="76"/>
        <v>4034.970210275129</v>
      </c>
      <c r="AD251" s="12">
        <f t="shared" si="76"/>
        <v>4274.192141034728</v>
      </c>
      <c r="AE251" s="12">
        <f t="shared" si="76"/>
        <v>3706.974035839348</v>
      </c>
      <c r="AF251" s="12">
        <f t="shared" si="76"/>
        <v>4798.112307362181</v>
      </c>
      <c r="AG251" s="12">
        <f t="shared" si="76"/>
        <v>5085.204666409735</v>
      </c>
      <c r="AH251" s="12">
        <f t="shared" si="76"/>
        <v>5355.920726251365</v>
      </c>
      <c r="AI251" s="12">
        <f t="shared" si="76"/>
        <v>5656.56016204815</v>
      </c>
      <c r="AJ251" s="12">
        <f t="shared" si="76"/>
        <v>5938.637045060473</v>
      </c>
      <c r="AK251" s="12">
        <f t="shared" si="76"/>
        <v>6252.0247238346365</v>
      </c>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row>
    <row r="252" spans="8:61" ht="11.25">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row>
    <row r="253" spans="1:61" ht="11.25">
      <c r="A253" s="1" t="s">
        <v>94</v>
      </c>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row>
    <row r="254" spans="1:61" ht="11.25">
      <c r="A254" s="2" t="s">
        <v>87</v>
      </c>
      <c r="H254" s="12">
        <f aca="true" t="shared" si="77" ref="H254:AK254">H233</f>
        <v>793.7770861549909</v>
      </c>
      <c r="I254" s="12">
        <f t="shared" si="77"/>
        <v>902.7070242367238</v>
      </c>
      <c r="J254" s="12">
        <f t="shared" si="77"/>
        <v>1026.6161556411637</v>
      </c>
      <c r="K254" s="12">
        <f t="shared" si="77"/>
        <v>1170.68619986408</v>
      </c>
      <c r="L254" s="12">
        <f t="shared" si="77"/>
        <v>1327.7268401854667</v>
      </c>
      <c r="M254" s="12">
        <f t="shared" si="77"/>
        <v>1509.9614808319427</v>
      </c>
      <c r="N254" s="12">
        <f t="shared" si="77"/>
        <v>1717.209555506763</v>
      </c>
      <c r="O254" s="12">
        <f t="shared" si="77"/>
        <v>1958.272955946569</v>
      </c>
      <c r="P254" s="12">
        <f t="shared" si="77"/>
        <v>2183.730069932704</v>
      </c>
      <c r="Q254" s="12">
        <f t="shared" si="77"/>
        <v>2441.7582083242473</v>
      </c>
      <c r="R254" s="12">
        <f t="shared" si="77"/>
        <v>2730.328145563324</v>
      </c>
      <c r="S254" s="12">
        <f t="shared" si="77"/>
        <v>3061.3174957434335</v>
      </c>
      <c r="T254" s="12">
        <f t="shared" si="77"/>
        <v>3413.7931711328556</v>
      </c>
      <c r="U254" s="12">
        <f t="shared" si="77"/>
        <v>3679.4664742641653</v>
      </c>
      <c r="V254" s="12">
        <f t="shared" si="77"/>
        <v>3968.8058788911385</v>
      </c>
      <c r="W254" s="12">
        <f t="shared" si="77"/>
        <v>4295.834834222852</v>
      </c>
      <c r="X254" s="12">
        <f t="shared" si="77"/>
        <v>4627.774741602367</v>
      </c>
      <c r="Y254" s="12">
        <f t="shared" si="77"/>
        <v>5002.647316147945</v>
      </c>
      <c r="Z254" s="12">
        <f t="shared" si="77"/>
        <v>5252.779681955344</v>
      </c>
      <c r="AA254" s="12">
        <f t="shared" si="77"/>
        <v>5530.529402124489</v>
      </c>
      <c r="AB254" s="12">
        <f t="shared" si="77"/>
        <v>5791.1895993557655</v>
      </c>
      <c r="AC254" s="12">
        <f t="shared" si="77"/>
        <v>6080.749079323554</v>
      </c>
      <c r="AD254" s="12">
        <f t="shared" si="77"/>
        <v>6384.786533289734</v>
      </c>
      <c r="AE254" s="12">
        <f t="shared" si="77"/>
        <v>6722.3930540910815</v>
      </c>
      <c r="AF254" s="12">
        <f t="shared" si="77"/>
        <v>7039.227152951932</v>
      </c>
      <c r="AG254" s="12">
        <f t="shared" si="77"/>
        <v>7391.18851059953</v>
      </c>
      <c r="AH254" s="12">
        <f t="shared" si="77"/>
        <v>7760.747936129505</v>
      </c>
      <c r="AI254" s="12">
        <f t="shared" si="77"/>
        <v>8171.110772204299</v>
      </c>
      <c r="AJ254" s="12">
        <f t="shared" si="77"/>
        <v>8556.224599582783</v>
      </c>
      <c r="AK254" s="12">
        <f t="shared" si="77"/>
        <v>8984.03582956192</v>
      </c>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row>
    <row r="255" spans="1:61" ht="11.25">
      <c r="A255" s="15" t="s">
        <v>131</v>
      </c>
      <c r="H255" s="12">
        <f>H235</f>
        <v>17.24050575094833</v>
      </c>
      <c r="I255" s="12">
        <f aca="true" t="shared" si="78" ref="I255:AK255">I235</f>
        <v>19.612390316855592</v>
      </c>
      <c r="J255" s="12">
        <f t="shared" si="78"/>
        <v>22.310916610283716</v>
      </c>
      <c r="K255" s="12">
        <f t="shared" si="78"/>
        <v>25.44941942183741</v>
      </c>
      <c r="L255" s="12">
        <f t="shared" si="78"/>
        <v>28.871690079875442</v>
      </c>
      <c r="M255" s="12">
        <f t="shared" si="78"/>
        <v>32.84333769770423</v>
      </c>
      <c r="N255" s="12">
        <f t="shared" si="78"/>
        <v>37.361512043047874</v>
      </c>
      <c r="O255" s="12">
        <f t="shared" si="78"/>
        <v>42.61875965680839</v>
      </c>
      <c r="P255" s="12">
        <f t="shared" si="78"/>
        <v>47.51845261737828</v>
      </c>
      <c r="Q255" s="12">
        <f t="shared" si="78"/>
        <v>53.12579167476589</v>
      </c>
      <c r="R255" s="12">
        <f t="shared" si="78"/>
        <v>59.39539235361146</v>
      </c>
      <c r="S255" s="12">
        <f t="shared" si="78"/>
        <v>66.58680431145584</v>
      </c>
      <c r="T255" s="12">
        <f t="shared" si="78"/>
        <v>74.24210819678136</v>
      </c>
      <c r="U255" s="12">
        <f t="shared" si="78"/>
        <v>79.68403561891817</v>
      </c>
      <c r="V255" s="12">
        <f t="shared" si="78"/>
        <v>85.58691154010992</v>
      </c>
      <c r="W255" s="12">
        <f t="shared" si="78"/>
        <v>92.24663280706594</v>
      </c>
      <c r="X255" s="12">
        <f t="shared" si="78"/>
        <v>98.95242595229726</v>
      </c>
      <c r="Y255" s="12">
        <f t="shared" si="78"/>
        <v>106.51384158774658</v>
      </c>
      <c r="Z255" s="12">
        <f t="shared" si="78"/>
        <v>111.8395336671339</v>
      </c>
      <c r="AA255" s="12">
        <f t="shared" si="78"/>
        <v>117.75324051583445</v>
      </c>
      <c r="AB255" s="12">
        <f t="shared" si="78"/>
        <v>123.30308586801515</v>
      </c>
      <c r="AC255" s="12">
        <f t="shared" si="78"/>
        <v>129.4682401614159</v>
      </c>
      <c r="AD255" s="12">
        <f t="shared" si="78"/>
        <v>135.9416521694867</v>
      </c>
      <c r="AE255" s="12">
        <f t="shared" si="78"/>
        <v>143.12979980475</v>
      </c>
      <c r="AF255" s="12">
        <f t="shared" si="78"/>
        <v>149.87567151685914</v>
      </c>
      <c r="AG255" s="12">
        <f t="shared" si="78"/>
        <v>157.3694550927021</v>
      </c>
      <c r="AH255" s="12">
        <f t="shared" si="78"/>
        <v>165.23792784733723</v>
      </c>
      <c r="AI255" s="12">
        <f t="shared" si="78"/>
        <v>173.97516622392246</v>
      </c>
      <c r="AJ255" s="12">
        <f t="shared" si="78"/>
        <v>182.1748154516893</v>
      </c>
      <c r="AK255" s="12">
        <f t="shared" si="78"/>
        <v>191.28355622427378</v>
      </c>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row>
    <row r="256" spans="1:61" ht="11.25">
      <c r="A256" s="15" t="s">
        <v>125</v>
      </c>
      <c r="H256" s="12">
        <f aca="true" t="shared" si="79" ref="H256:AK256">H236</f>
        <v>4.348075335778946</v>
      </c>
      <c r="I256" s="12">
        <f t="shared" si="79"/>
        <v>4.565479102567894</v>
      </c>
      <c r="J256" s="12">
        <f t="shared" si="79"/>
        <v>4.793753057696288</v>
      </c>
      <c r="K256" s="12">
        <f t="shared" si="79"/>
        <v>5.033440710581103</v>
      </c>
      <c r="L256" s="12">
        <f t="shared" si="79"/>
        <v>5.2851127461101575</v>
      </c>
      <c r="M256" s="12">
        <f t="shared" si="79"/>
        <v>5.549368383415665</v>
      </c>
      <c r="N256" s="12">
        <f t="shared" si="79"/>
        <v>5.826836802586449</v>
      </c>
      <c r="O256" s="12">
        <f t="shared" si="79"/>
        <v>6.118178642715772</v>
      </c>
      <c r="P256" s="12">
        <f t="shared" si="79"/>
        <v>6.424087574851561</v>
      </c>
      <c r="Q256" s="12">
        <f t="shared" si="79"/>
        <v>6.74529195359414</v>
      </c>
      <c r="R256" s="12">
        <f t="shared" si="79"/>
        <v>7.082556551273847</v>
      </c>
      <c r="S256" s="12">
        <f t="shared" si="79"/>
        <v>7.43668437883754</v>
      </c>
      <c r="T256" s="12">
        <f t="shared" si="79"/>
        <v>7.8085185977794165</v>
      </c>
      <c r="U256" s="12">
        <f t="shared" si="79"/>
        <v>8.198944527668388</v>
      </c>
      <c r="V256" s="12">
        <f t="shared" si="79"/>
        <v>8.608891754051808</v>
      </c>
      <c r="W256" s="12">
        <f t="shared" si="79"/>
        <v>9.039336341754398</v>
      </c>
      <c r="X256" s="12">
        <f t="shared" si="79"/>
        <v>9.491303158842117</v>
      </c>
      <c r="Y256" s="12">
        <f t="shared" si="79"/>
        <v>9.965868316784224</v>
      </c>
      <c r="Z256" s="12">
        <f t="shared" si="79"/>
        <v>10.464161732623436</v>
      </c>
      <c r="AA256" s="12">
        <f t="shared" si="79"/>
        <v>10.987369819254608</v>
      </c>
      <c r="AB256" s="12">
        <f t="shared" si="79"/>
        <v>11.53673831021734</v>
      </c>
      <c r="AC256" s="12">
        <f t="shared" si="79"/>
        <v>12.113575225728205</v>
      </c>
      <c r="AD256" s="12">
        <f t="shared" si="79"/>
        <v>12.719253987014618</v>
      </c>
      <c r="AE256" s="12">
        <f t="shared" si="79"/>
        <v>13.355216686365349</v>
      </c>
      <c r="AF256" s="12">
        <f t="shared" si="79"/>
        <v>14.022977520683618</v>
      </c>
      <c r="AG256" s="12">
        <f t="shared" si="79"/>
        <v>14.7241263967178</v>
      </c>
      <c r="AH256" s="12">
        <f t="shared" si="79"/>
        <v>15.46033271655369</v>
      </c>
      <c r="AI256" s="12">
        <f t="shared" si="79"/>
        <v>16.233349352381378</v>
      </c>
      <c r="AJ256" s="12">
        <f t="shared" si="79"/>
        <v>17.045016820000445</v>
      </c>
      <c r="AK256" s="12">
        <f t="shared" si="79"/>
        <v>17.89726766100047</v>
      </c>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row>
    <row r="257" spans="1:61" ht="11.25">
      <c r="A257" s="15" t="s">
        <v>82</v>
      </c>
      <c r="H257" s="12">
        <f aca="true" t="shared" si="80" ref="H257:AK257">H237</f>
        <v>0</v>
      </c>
      <c r="I257" s="12">
        <f t="shared" si="80"/>
        <v>0</v>
      </c>
      <c r="J257" s="12">
        <f t="shared" si="80"/>
        <v>0</v>
      </c>
      <c r="K257" s="12">
        <f t="shared" si="80"/>
        <v>0</v>
      </c>
      <c r="L257" s="12">
        <f t="shared" si="80"/>
        <v>0</v>
      </c>
      <c r="M257" s="12">
        <f t="shared" si="80"/>
        <v>0</v>
      </c>
      <c r="N257" s="12">
        <f t="shared" si="80"/>
        <v>0</v>
      </c>
      <c r="O257" s="12">
        <f t="shared" si="80"/>
        <v>509.84822022631425</v>
      </c>
      <c r="P257" s="12">
        <f t="shared" si="80"/>
        <v>0</v>
      </c>
      <c r="Q257" s="12">
        <f t="shared" si="80"/>
        <v>0</v>
      </c>
      <c r="R257" s="12">
        <f t="shared" si="80"/>
        <v>0</v>
      </c>
      <c r="S257" s="12">
        <f t="shared" si="80"/>
        <v>0</v>
      </c>
      <c r="T257" s="12">
        <f t="shared" si="80"/>
        <v>0</v>
      </c>
      <c r="U257" s="12">
        <f t="shared" si="80"/>
        <v>0</v>
      </c>
      <c r="V257" s="12">
        <f t="shared" si="80"/>
        <v>0</v>
      </c>
      <c r="W257" s="12">
        <f t="shared" si="80"/>
        <v>753.2780284795331</v>
      </c>
      <c r="X257" s="12">
        <f t="shared" si="80"/>
        <v>0</v>
      </c>
      <c r="Y257" s="12">
        <f t="shared" si="80"/>
        <v>0</v>
      </c>
      <c r="Z257" s="12">
        <f t="shared" si="80"/>
        <v>0</v>
      </c>
      <c r="AA257" s="12">
        <f t="shared" si="80"/>
        <v>0</v>
      </c>
      <c r="AB257" s="12">
        <f t="shared" si="80"/>
        <v>0</v>
      </c>
      <c r="AC257" s="12">
        <f t="shared" si="80"/>
        <v>0</v>
      </c>
      <c r="AD257" s="12">
        <f t="shared" si="80"/>
        <v>0</v>
      </c>
      <c r="AE257" s="12">
        <f t="shared" si="80"/>
        <v>1112.934723863779</v>
      </c>
      <c r="AF257" s="12">
        <f t="shared" si="80"/>
        <v>0</v>
      </c>
      <c r="AG257" s="12">
        <f t="shared" si="80"/>
        <v>0</v>
      </c>
      <c r="AH257" s="12">
        <f t="shared" si="80"/>
        <v>0</v>
      </c>
      <c r="AI257" s="12">
        <f t="shared" si="80"/>
        <v>0</v>
      </c>
      <c r="AJ257" s="12">
        <f t="shared" si="80"/>
        <v>0</v>
      </c>
      <c r="AK257" s="12">
        <f t="shared" si="80"/>
        <v>0</v>
      </c>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row>
    <row r="258" spans="1:61" ht="11.25">
      <c r="A258" s="2" t="s">
        <v>93</v>
      </c>
      <c r="H258" s="12">
        <f>-H250</f>
        <v>0</v>
      </c>
      <c r="I258" s="12">
        <f aca="true" t="shared" si="81" ref="I258:AK258">-I250</f>
        <v>0</v>
      </c>
      <c r="J258" s="12">
        <f t="shared" si="81"/>
        <v>0</v>
      </c>
      <c r="K258" s="12">
        <f t="shared" si="81"/>
        <v>0</v>
      </c>
      <c r="L258" s="12">
        <f t="shared" si="81"/>
        <v>0</v>
      </c>
      <c r="M258" s="12">
        <f t="shared" si="81"/>
        <v>0</v>
      </c>
      <c r="N258" s="12">
        <f t="shared" si="81"/>
        <v>83.1522065298671</v>
      </c>
      <c r="O258" s="12">
        <f t="shared" si="81"/>
        <v>48.18158687924989</v>
      </c>
      <c r="P258" s="12">
        <f t="shared" si="81"/>
        <v>139.0707366854416</v>
      </c>
      <c r="Q258" s="12">
        <f t="shared" si="81"/>
        <v>341.1538532508638</v>
      </c>
      <c r="R258" s="12">
        <f t="shared" si="81"/>
        <v>412.50840031574205</v>
      </c>
      <c r="S258" s="12">
        <f t="shared" si="81"/>
        <v>495.27381185368466</v>
      </c>
      <c r="T258" s="12">
        <f t="shared" si="81"/>
        <v>584.5209637963911</v>
      </c>
      <c r="U258" s="12">
        <f t="shared" si="81"/>
        <v>654.0659350645453</v>
      </c>
      <c r="V258" s="12">
        <f t="shared" si="81"/>
        <v>731.1098026612616</v>
      </c>
      <c r="W258" s="12">
        <f t="shared" si="81"/>
        <v>631.0560614910424</v>
      </c>
      <c r="X258" s="12">
        <f t="shared" si="81"/>
        <v>911.1816629831648</v>
      </c>
      <c r="Y258" s="12">
        <f t="shared" si="81"/>
        <v>1016.2173180593696</v>
      </c>
      <c r="Z258" s="12">
        <f t="shared" si="81"/>
        <v>1093.7816354820234</v>
      </c>
      <c r="AA258" s="12">
        <f t="shared" si="81"/>
        <v>1181.7694319996353</v>
      </c>
      <c r="AB258" s="12">
        <f t="shared" si="81"/>
        <v>1269.8300330578152</v>
      </c>
      <c r="AC258" s="12">
        <f t="shared" si="81"/>
        <v>1344.9900700917096</v>
      </c>
      <c r="AD258" s="12">
        <f t="shared" si="81"/>
        <v>1424.7307136782424</v>
      </c>
      <c r="AE258" s="12">
        <f t="shared" si="81"/>
        <v>1235.6580119464493</v>
      </c>
      <c r="AF258" s="12">
        <f t="shared" si="81"/>
        <v>1599.3707691207271</v>
      </c>
      <c r="AG258" s="12">
        <f t="shared" si="81"/>
        <v>1695.0682221365785</v>
      </c>
      <c r="AH258" s="12">
        <f t="shared" si="81"/>
        <v>1785.3069087504548</v>
      </c>
      <c r="AI258" s="12">
        <f t="shared" si="81"/>
        <v>1885.52005401605</v>
      </c>
      <c r="AJ258" s="12">
        <f t="shared" si="81"/>
        <v>1979.5456816868243</v>
      </c>
      <c r="AK258" s="12">
        <f t="shared" si="81"/>
        <v>2084.008241278212</v>
      </c>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row>
    <row r="259" spans="1:61" ht="11.25">
      <c r="A259" s="2" t="s">
        <v>95</v>
      </c>
      <c r="C259" s="12">
        <f>C158</f>
        <v>1235.78543</v>
      </c>
      <c r="D259" s="12">
        <f>D158</f>
        <v>2823.037654512</v>
      </c>
      <c r="E259" s="12">
        <f>E158</f>
        <v>3531.1302560131203</v>
      </c>
      <c r="F259" s="12">
        <f>F158</f>
        <v>3582.6347621584805</v>
      </c>
      <c r="G259" s="12">
        <f>G158</f>
        <v>3730.5497488680617</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row>
    <row r="260" spans="3:61" ht="11.25">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row>
    <row r="261" spans="1:61" ht="11.25">
      <c r="A261" s="2" t="s">
        <v>97</v>
      </c>
      <c r="B261" s="2"/>
      <c r="C261" s="12">
        <f aca="true" t="shared" si="82" ref="C261:AK261">C169+C179</f>
        <v>1226.8740000000003</v>
      </c>
      <c r="D261" s="12">
        <f t="shared" si="82"/>
        <v>2823.0622000000003</v>
      </c>
      <c r="E261" s="12">
        <f t="shared" si="82"/>
        <v>3531.151285714286</v>
      </c>
      <c r="F261" s="12">
        <f t="shared" si="82"/>
        <v>3582.6441050170074</v>
      </c>
      <c r="G261" s="12">
        <f t="shared" si="82"/>
        <v>3730.5482148340498</v>
      </c>
      <c r="H261" s="12">
        <f t="shared" si="82"/>
        <v>-641.1207407861136</v>
      </c>
      <c r="I261" s="12">
        <f t="shared" si="82"/>
        <v>-676.2996533449618</v>
      </c>
      <c r="J261" s="12">
        <f t="shared" si="82"/>
        <v>-714.1789130628451</v>
      </c>
      <c r="K261" s="12">
        <f t="shared" si="82"/>
        <v>-755.0510742786869</v>
      </c>
      <c r="L261" s="12">
        <f t="shared" si="82"/>
        <v>-799.2471369104853</v>
      </c>
      <c r="M261" s="12">
        <f t="shared" si="82"/>
        <v>-1056.9824875159873</v>
      </c>
      <c r="N261" s="12">
        <f t="shared" si="82"/>
        <v>-1136.5426410511845</v>
      </c>
      <c r="O261" s="12">
        <f t="shared" si="82"/>
        <v>-1224.5976867313395</v>
      </c>
      <c r="P261" s="12">
        <f t="shared" si="82"/>
        <v>-1322.2569784006914</v>
      </c>
      <c r="Q261" s="12">
        <f t="shared" si="82"/>
        <v>-1430.786255481033</v>
      </c>
      <c r="R261" s="12">
        <f t="shared" si="82"/>
        <v>-1551.6302244021294</v>
      </c>
      <c r="S261" s="12">
        <f t="shared" si="82"/>
        <v>-1686.4384237907511</v>
      </c>
      <c r="T261" s="12">
        <f t="shared" si="82"/>
        <v>-1837.0948519095184</v>
      </c>
      <c r="U261" s="12">
        <f t="shared" si="82"/>
        <v>-2005.7519046004375</v>
      </c>
      <c r="V261" s="12">
        <f t="shared" si="82"/>
        <v>-2194.8692519249253</v>
      </c>
      <c r="W261" s="12">
        <f t="shared" si="82"/>
        <v>-2407.258373285773</v>
      </c>
      <c r="X261" s="12">
        <f t="shared" si="82"/>
        <v>-2646.1335757668194</v>
      </c>
      <c r="Y261" s="12">
        <f t="shared" si="82"/>
        <v>-2915.170440680943</v>
      </c>
      <c r="Z261" s="12">
        <f t="shared" si="82"/>
        <v>-3218.57278110816</v>
      </c>
      <c r="AA261" s="12">
        <f t="shared" si="82"/>
        <v>-3561.1493510905093</v>
      </c>
      <c r="AB261" s="12">
        <f t="shared" si="82"/>
        <v>-1755.2116807347215</v>
      </c>
      <c r="AC261" s="12">
        <f t="shared" si="82"/>
        <v>-1973.2021161177233</v>
      </c>
      <c r="AD261" s="12">
        <f t="shared" si="82"/>
        <v>-2221.4004093805743</v>
      </c>
      <c r="AE261" s="12">
        <f t="shared" si="82"/>
        <v>-2504.1459392162997</v>
      </c>
      <c r="AF261" s="12">
        <f t="shared" si="82"/>
        <v>-2826.40816313089</v>
      </c>
      <c r="AG261" s="12">
        <f t="shared" si="82"/>
        <v>0</v>
      </c>
      <c r="AH261" s="12">
        <f t="shared" si="82"/>
        <v>0</v>
      </c>
      <c r="AI261" s="12">
        <f t="shared" si="82"/>
        <v>0</v>
      </c>
      <c r="AJ261" s="12">
        <f t="shared" si="82"/>
        <v>0</v>
      </c>
      <c r="AK261" s="12">
        <f t="shared" si="82"/>
        <v>0</v>
      </c>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row>
    <row r="262" spans="2:61" ht="11.25">
      <c r="B262" s="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row>
    <row r="263" ht="11.25">
      <c r="A263" s="1" t="s">
        <v>111</v>
      </c>
    </row>
    <row r="264" spans="1:61" ht="11.25">
      <c r="A264" s="11" t="s">
        <v>96</v>
      </c>
      <c r="B264" s="2"/>
      <c r="C264" s="12">
        <f aca="true" t="shared" si="83" ref="C264:H264">C254-SUM(C255:C259)</f>
        <v>-1235.78543</v>
      </c>
      <c r="D264" s="12">
        <f t="shared" si="83"/>
        <v>-2823.037654512</v>
      </c>
      <c r="E264" s="12">
        <f t="shared" si="83"/>
        <v>-3531.1302560131203</v>
      </c>
      <c r="F264" s="12">
        <f t="shared" si="83"/>
        <v>-3582.6347621584805</v>
      </c>
      <c r="G264" s="12">
        <f t="shared" si="83"/>
        <v>-3730.5497488680617</v>
      </c>
      <c r="H264" s="12">
        <f t="shared" si="83"/>
        <v>772.1885050682637</v>
      </c>
      <c r="I264" s="12">
        <f aca="true" t="shared" si="84" ref="I264:AK264">I254-SUM(I255:I259)</f>
        <v>878.5291548173003</v>
      </c>
      <c r="J264" s="12">
        <f t="shared" si="84"/>
        <v>999.5114859731837</v>
      </c>
      <c r="K264" s="12">
        <f t="shared" si="84"/>
        <v>1140.2033397316616</v>
      </c>
      <c r="L264" s="12">
        <f t="shared" si="84"/>
        <v>1293.5700373594811</v>
      </c>
      <c r="M264" s="12">
        <f t="shared" si="84"/>
        <v>1471.5687747508227</v>
      </c>
      <c r="N264" s="12">
        <f t="shared" si="84"/>
        <v>1590.8690001312616</v>
      </c>
      <c r="O264" s="12">
        <f t="shared" si="84"/>
        <v>1351.5062105414806</v>
      </c>
      <c r="P264" s="12">
        <f t="shared" si="84"/>
        <v>1990.7167930550324</v>
      </c>
      <c r="Q264" s="12">
        <f t="shared" si="84"/>
        <v>2040.7332714450235</v>
      </c>
      <c r="R264" s="12">
        <f t="shared" si="84"/>
        <v>2251.341796342697</v>
      </c>
      <c r="S264" s="12">
        <f t="shared" si="84"/>
        <v>2492.0201951994554</v>
      </c>
      <c r="T264" s="12">
        <f t="shared" si="84"/>
        <v>2747.2215805419037</v>
      </c>
      <c r="U264" s="12">
        <f t="shared" si="84"/>
        <v>2937.5175590530334</v>
      </c>
      <c r="V264" s="12">
        <f t="shared" si="84"/>
        <v>3143.500272935715</v>
      </c>
      <c r="W264" s="12">
        <f t="shared" si="84"/>
        <v>2810.2147751034563</v>
      </c>
      <c r="X264" s="12">
        <f t="shared" si="84"/>
        <v>3608.1493495080626</v>
      </c>
      <c r="Y264" s="12">
        <f t="shared" si="84"/>
        <v>3869.950288184045</v>
      </c>
      <c r="Z264" s="12">
        <f t="shared" si="84"/>
        <v>4036.6943510735637</v>
      </c>
      <c r="AA264" s="12">
        <f t="shared" si="84"/>
        <v>4220.019359789765</v>
      </c>
      <c r="AB264" s="12">
        <f t="shared" si="84"/>
        <v>4386.519742119718</v>
      </c>
      <c r="AC264" s="12">
        <f t="shared" si="84"/>
        <v>4594.1771938447</v>
      </c>
      <c r="AD264" s="12">
        <f t="shared" si="84"/>
        <v>4811.394913454989</v>
      </c>
      <c r="AE264" s="12">
        <f t="shared" si="84"/>
        <v>4217.3153017897375</v>
      </c>
      <c r="AF264" s="12">
        <f t="shared" si="84"/>
        <v>5275.957734793662</v>
      </c>
      <c r="AG264" s="12">
        <f t="shared" si="84"/>
        <v>5524.026706973531</v>
      </c>
      <c r="AH264" s="12">
        <f t="shared" si="84"/>
        <v>5794.7427668151595</v>
      </c>
      <c r="AI264" s="12">
        <f t="shared" si="84"/>
        <v>6095.382202611945</v>
      </c>
      <c r="AJ264" s="12">
        <f t="shared" si="84"/>
        <v>6377.459085624269</v>
      </c>
      <c r="AK264" s="12">
        <f t="shared" si="84"/>
        <v>6690.846764398435</v>
      </c>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row>
    <row r="265" spans="1:61" ht="11.25">
      <c r="A265" s="11" t="s">
        <v>108</v>
      </c>
      <c r="B265" s="2"/>
      <c r="C265" s="12">
        <f aca="true" t="shared" si="85" ref="C265:AK265">C264+C261</f>
        <v>-8.911429999999655</v>
      </c>
      <c r="D265" s="12">
        <f t="shared" si="85"/>
        <v>0.024545488000512705</v>
      </c>
      <c r="E265" s="12">
        <f t="shared" si="85"/>
        <v>0.021029701165844017</v>
      </c>
      <c r="F265" s="12">
        <f t="shared" si="85"/>
        <v>0.009342858526906639</v>
      </c>
      <c r="G265" s="12">
        <f t="shared" si="85"/>
        <v>-0.0015340340119109896</v>
      </c>
      <c r="H265" s="12">
        <f t="shared" si="85"/>
        <v>131.06776428215005</v>
      </c>
      <c r="I265" s="12">
        <f t="shared" si="85"/>
        <v>202.22950147233848</v>
      </c>
      <c r="J265" s="12">
        <f t="shared" si="85"/>
        <v>285.3325729103385</v>
      </c>
      <c r="K265" s="12">
        <f t="shared" si="85"/>
        <v>385.1522654529747</v>
      </c>
      <c r="L265" s="12">
        <f t="shared" si="85"/>
        <v>494.3229004489958</v>
      </c>
      <c r="M265" s="12">
        <f t="shared" si="85"/>
        <v>414.5862872348355</v>
      </c>
      <c r="N265" s="12">
        <f t="shared" si="85"/>
        <v>454.32635908007705</v>
      </c>
      <c r="O265" s="12">
        <f t="shared" si="85"/>
        <v>126.9085238101411</v>
      </c>
      <c r="P265" s="12">
        <f t="shared" si="85"/>
        <v>668.459814654341</v>
      </c>
      <c r="Q265" s="12">
        <f t="shared" si="85"/>
        <v>609.9470159639905</v>
      </c>
      <c r="R265" s="12">
        <f t="shared" si="85"/>
        <v>699.7115719405674</v>
      </c>
      <c r="S265" s="12">
        <f t="shared" si="85"/>
        <v>805.5817714087043</v>
      </c>
      <c r="T265" s="12">
        <f t="shared" si="85"/>
        <v>910.1267286323853</v>
      </c>
      <c r="U265" s="12">
        <f t="shared" si="85"/>
        <v>931.765654452596</v>
      </c>
      <c r="V265" s="12">
        <f t="shared" si="85"/>
        <v>948.6310210107899</v>
      </c>
      <c r="W265" s="12">
        <f t="shared" si="85"/>
        <v>402.9564018176834</v>
      </c>
      <c r="X265" s="12">
        <f t="shared" si="85"/>
        <v>962.0157737412433</v>
      </c>
      <c r="Y265" s="12">
        <f t="shared" si="85"/>
        <v>954.7798475031018</v>
      </c>
      <c r="Z265" s="12">
        <f t="shared" si="85"/>
        <v>818.1215699654035</v>
      </c>
      <c r="AA265" s="12">
        <f t="shared" si="85"/>
        <v>658.8700086992558</v>
      </c>
      <c r="AB265" s="12">
        <f t="shared" si="85"/>
        <v>2631.3080613849966</v>
      </c>
      <c r="AC265" s="12">
        <f t="shared" si="85"/>
        <v>2620.9750777269765</v>
      </c>
      <c r="AD265" s="12">
        <f t="shared" si="85"/>
        <v>2589.994504074415</v>
      </c>
      <c r="AE265" s="12">
        <f t="shared" si="85"/>
        <v>1713.1693625734379</v>
      </c>
      <c r="AF265" s="12">
        <f t="shared" si="85"/>
        <v>2449.549571662772</v>
      </c>
      <c r="AG265" s="12">
        <f t="shared" si="85"/>
        <v>5524.026706973531</v>
      </c>
      <c r="AH265" s="12">
        <f t="shared" si="85"/>
        <v>5794.7427668151595</v>
      </c>
      <c r="AI265" s="12">
        <f t="shared" si="85"/>
        <v>6095.382202611945</v>
      </c>
      <c r="AJ265" s="12">
        <f t="shared" si="85"/>
        <v>6377.459085624269</v>
      </c>
      <c r="AK265" s="12">
        <f t="shared" si="85"/>
        <v>6690.846764398435</v>
      </c>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row>
    <row r="266" spans="1:61" ht="11.25">
      <c r="A266" s="11" t="s">
        <v>109</v>
      </c>
      <c r="C266" s="12">
        <f aca="true" t="shared" si="86" ref="C266:AK266">C232-C250</f>
        <v>0</v>
      </c>
      <c r="D266" s="12">
        <f t="shared" si="86"/>
        <v>0</v>
      </c>
      <c r="E266" s="12">
        <f t="shared" si="86"/>
        <v>0</v>
      </c>
      <c r="F266" s="12">
        <f t="shared" si="86"/>
        <v>0</v>
      </c>
      <c r="G266" s="12">
        <f t="shared" si="86"/>
        <v>0</v>
      </c>
      <c r="H266" s="12">
        <f t="shared" si="86"/>
        <v>79.3777086154991</v>
      </c>
      <c r="I266" s="12">
        <f t="shared" si="86"/>
        <v>90.27070242367239</v>
      </c>
      <c r="J266" s="12">
        <f t="shared" si="86"/>
        <v>102.66161556411637</v>
      </c>
      <c r="K266" s="12">
        <f t="shared" si="86"/>
        <v>117.06861998640801</v>
      </c>
      <c r="L266" s="12">
        <f t="shared" si="86"/>
        <v>132.77268401854667</v>
      </c>
      <c r="M266" s="12">
        <f t="shared" si="86"/>
        <v>150.99614808319427</v>
      </c>
      <c r="N266" s="12">
        <f t="shared" si="86"/>
        <v>254.8731620805434</v>
      </c>
      <c r="O266" s="12">
        <f t="shared" si="86"/>
        <v>244.0088824739068</v>
      </c>
      <c r="P266" s="12">
        <f t="shared" si="86"/>
        <v>357.443743678712</v>
      </c>
      <c r="Q266" s="12">
        <f t="shared" si="86"/>
        <v>585.3296740832885</v>
      </c>
      <c r="R266" s="12">
        <f t="shared" si="86"/>
        <v>685.5412148720745</v>
      </c>
      <c r="S266" s="12">
        <f t="shared" si="86"/>
        <v>801.405561428028</v>
      </c>
      <c r="T266" s="12">
        <f t="shared" si="86"/>
        <v>925.9002809096767</v>
      </c>
      <c r="U266" s="12">
        <f t="shared" si="86"/>
        <v>1022.0125824909619</v>
      </c>
      <c r="V266" s="12">
        <f t="shared" si="86"/>
        <v>1127.9903905503754</v>
      </c>
      <c r="W266" s="12">
        <f t="shared" si="86"/>
        <v>1060.6395449133277</v>
      </c>
      <c r="X266" s="12">
        <f t="shared" si="86"/>
        <v>1373.9591371434014</v>
      </c>
      <c r="Y266" s="12">
        <f t="shared" si="86"/>
        <v>1516.482049674164</v>
      </c>
      <c r="Z266" s="12">
        <f t="shared" si="86"/>
        <v>1619.0596036775578</v>
      </c>
      <c r="AA266" s="12">
        <f t="shared" si="86"/>
        <v>1734.8223722120842</v>
      </c>
      <c r="AB266" s="12">
        <f t="shared" si="86"/>
        <v>1848.9489929933916</v>
      </c>
      <c r="AC266" s="12">
        <f t="shared" si="86"/>
        <v>1953.064978024065</v>
      </c>
      <c r="AD266" s="12">
        <f t="shared" si="86"/>
        <v>2063.209367007216</v>
      </c>
      <c r="AE266" s="12">
        <f t="shared" si="86"/>
        <v>1907.8973173555573</v>
      </c>
      <c r="AF266" s="12">
        <f t="shared" si="86"/>
        <v>2303.2934844159204</v>
      </c>
      <c r="AG266" s="12">
        <f t="shared" si="86"/>
        <v>2434.1870731965314</v>
      </c>
      <c r="AH266" s="12">
        <f t="shared" si="86"/>
        <v>2561.3817023634056</v>
      </c>
      <c r="AI266" s="12">
        <f t="shared" si="86"/>
        <v>2702.6311312364796</v>
      </c>
      <c r="AJ266" s="12">
        <f t="shared" si="86"/>
        <v>2835.168141645103</v>
      </c>
      <c r="AK266" s="12">
        <f t="shared" si="86"/>
        <v>2982.4118242344043</v>
      </c>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row>
    <row r="267" ht="11.25">
      <c r="A267" s="1" t="s">
        <v>112</v>
      </c>
    </row>
    <row r="268" spans="1:37" ht="11.25">
      <c r="A268" s="11" t="s">
        <v>96</v>
      </c>
      <c r="C268" s="12">
        <f aca="true" t="shared" si="87" ref="C268:AK268">C264/C$116</f>
        <v>-1030.6800917431192</v>
      </c>
      <c r="D268" s="12">
        <f t="shared" si="87"/>
        <v>-2204.5818882401995</v>
      </c>
      <c r="E268" s="12">
        <f t="shared" si="87"/>
        <v>-2553.2864870725602</v>
      </c>
      <c r="F268" s="12">
        <f t="shared" si="87"/>
        <v>-2421.0545037531274</v>
      </c>
      <c r="G268" s="12">
        <f t="shared" si="87"/>
        <v>-2378.312955796496</v>
      </c>
      <c r="H268" s="12">
        <f t="shared" si="87"/>
        <v>468.8459826363636</v>
      </c>
      <c r="I268" s="12">
        <f t="shared" si="87"/>
        <v>508.01173690909087</v>
      </c>
      <c r="J268" s="12">
        <f t="shared" si="87"/>
        <v>550.447695409091</v>
      </c>
      <c r="K268" s="12">
        <f t="shared" si="87"/>
        <v>598.0276693363636</v>
      </c>
      <c r="L268" s="12">
        <f t="shared" si="87"/>
        <v>646.1593276590908</v>
      </c>
      <c r="M268" s="12">
        <f t="shared" si="87"/>
        <v>700.0691424545455</v>
      </c>
      <c r="N268" s="12">
        <f t="shared" si="87"/>
        <v>720.7845873566012</v>
      </c>
      <c r="O268" s="12">
        <f t="shared" si="87"/>
        <v>583.1762366202723</v>
      </c>
      <c r="P268" s="12">
        <f t="shared" si="87"/>
        <v>818.0916390740085</v>
      </c>
      <c r="Q268" s="12">
        <f t="shared" si="87"/>
        <v>798.7105485840661</v>
      </c>
      <c r="R268" s="12">
        <f t="shared" si="87"/>
        <v>839.1803580129173</v>
      </c>
      <c r="S268" s="12">
        <f t="shared" si="87"/>
        <v>884.6594772864281</v>
      </c>
      <c r="T268" s="12">
        <f t="shared" si="87"/>
        <v>928.8144584419811</v>
      </c>
      <c r="U268" s="12">
        <f t="shared" si="87"/>
        <v>945.8591078070614</v>
      </c>
      <c r="V268" s="12">
        <f t="shared" si="87"/>
        <v>963.9847912647302</v>
      </c>
      <c r="W268" s="12">
        <f t="shared" si="87"/>
        <v>820.7424445535364</v>
      </c>
      <c r="X268" s="12">
        <f t="shared" si="87"/>
        <v>1003.6044706703207</v>
      </c>
      <c r="Y268" s="12">
        <f t="shared" si="87"/>
        <v>1025.1659399913267</v>
      </c>
      <c r="Z268" s="12">
        <f t="shared" si="87"/>
        <v>1018.4163203068592</v>
      </c>
      <c r="AA268" s="12">
        <f t="shared" si="87"/>
        <v>1013.9688836468766</v>
      </c>
      <c r="AB268" s="12">
        <f t="shared" si="87"/>
        <v>1003.7856288150385</v>
      </c>
      <c r="AC268" s="12">
        <f t="shared" si="87"/>
        <v>1001.2426196016708</v>
      </c>
      <c r="AD268" s="12">
        <f t="shared" si="87"/>
        <v>998.6499667739181</v>
      </c>
      <c r="AE268" s="12">
        <f t="shared" si="87"/>
        <v>833.6601837461442</v>
      </c>
      <c r="AF268" s="12">
        <f t="shared" si="87"/>
        <v>993.2646899926182</v>
      </c>
      <c r="AG268" s="12">
        <f t="shared" si="87"/>
        <v>990.4445339222949</v>
      </c>
      <c r="AH268" s="12">
        <f t="shared" si="87"/>
        <v>989.5078705526184</v>
      </c>
      <c r="AI268" s="12">
        <f t="shared" si="87"/>
        <v>991.2808913050911</v>
      </c>
      <c r="AJ268" s="12">
        <f t="shared" si="87"/>
        <v>987.7662289128577</v>
      </c>
      <c r="AK268" s="12">
        <f t="shared" si="87"/>
        <v>986.9571038769641</v>
      </c>
    </row>
    <row r="269" spans="1:37" ht="11.25">
      <c r="A269" s="11" t="s">
        <v>108</v>
      </c>
      <c r="C269" s="12">
        <f aca="true" t="shared" si="88" ref="C269:AK269">C265/C$116</f>
        <v>-7.432385321100629</v>
      </c>
      <c r="D269" s="12">
        <f t="shared" si="88"/>
        <v>0.019168195719054815</v>
      </c>
      <c r="E269" s="12">
        <f t="shared" si="88"/>
        <v>0.01520613738971743</v>
      </c>
      <c r="F269" s="12">
        <f t="shared" si="88"/>
        <v>0.006313668910215032</v>
      </c>
      <c r="G269" s="12">
        <f t="shared" si="88"/>
        <v>-0.000977982659597932</v>
      </c>
      <c r="H269" s="12">
        <f t="shared" si="88"/>
        <v>79.57978438358586</v>
      </c>
      <c r="I269" s="12">
        <f t="shared" si="88"/>
        <v>116.93972787799748</v>
      </c>
      <c r="J269" s="12">
        <f t="shared" si="88"/>
        <v>157.13742101794728</v>
      </c>
      <c r="K269" s="12">
        <f t="shared" si="88"/>
        <v>202.00932905763085</v>
      </c>
      <c r="L269" s="12">
        <f t="shared" si="88"/>
        <v>246.92234960282315</v>
      </c>
      <c r="M269" s="12">
        <f t="shared" si="88"/>
        <v>197.23105814544797</v>
      </c>
      <c r="N269" s="12">
        <f t="shared" si="88"/>
        <v>205.84437639286506</v>
      </c>
      <c r="O269" s="12">
        <f t="shared" si="88"/>
        <v>54.76115073195276</v>
      </c>
      <c r="P269" s="12">
        <f t="shared" si="88"/>
        <v>274.70576795931015</v>
      </c>
      <c r="Q269" s="12">
        <f t="shared" si="88"/>
        <v>238.72356203750812</v>
      </c>
      <c r="R269" s="12">
        <f t="shared" si="88"/>
        <v>260.81522068339285</v>
      </c>
      <c r="S269" s="12">
        <f t="shared" si="88"/>
        <v>285.97904229618774</v>
      </c>
      <c r="T269" s="12">
        <f t="shared" si="88"/>
        <v>307.7068375392979</v>
      </c>
      <c r="U269" s="12">
        <f t="shared" si="88"/>
        <v>300.02170638595453</v>
      </c>
      <c r="V269" s="12">
        <f t="shared" si="88"/>
        <v>290.9068863933371</v>
      </c>
      <c r="W269" s="12">
        <f t="shared" si="88"/>
        <v>117.68617303073114</v>
      </c>
      <c r="X269" s="12">
        <f t="shared" si="88"/>
        <v>267.5840819930899</v>
      </c>
      <c r="Y269" s="12">
        <f t="shared" si="88"/>
        <v>252.92515587056639</v>
      </c>
      <c r="Z269" s="12">
        <f t="shared" si="88"/>
        <v>206.40362791556154</v>
      </c>
      <c r="AA269" s="12">
        <f t="shared" si="88"/>
        <v>158.3105740117919</v>
      </c>
      <c r="AB269" s="12">
        <f t="shared" si="88"/>
        <v>602.1332109010561</v>
      </c>
      <c r="AC269" s="12">
        <f t="shared" si="88"/>
        <v>571.2082581947445</v>
      </c>
      <c r="AD269" s="12">
        <f t="shared" si="88"/>
        <v>537.5775574367102</v>
      </c>
      <c r="AE269" s="12">
        <f t="shared" si="88"/>
        <v>338.65172115187573</v>
      </c>
      <c r="AF269" s="12">
        <f t="shared" si="88"/>
        <v>461.1581855316603</v>
      </c>
      <c r="AG269" s="12">
        <f t="shared" si="88"/>
        <v>990.4445339222949</v>
      </c>
      <c r="AH269" s="12">
        <f t="shared" si="88"/>
        <v>989.5078705526184</v>
      </c>
      <c r="AI269" s="12">
        <f t="shared" si="88"/>
        <v>991.2808913050911</v>
      </c>
      <c r="AJ269" s="12">
        <f t="shared" si="88"/>
        <v>987.7662289128577</v>
      </c>
      <c r="AK269" s="12">
        <f t="shared" si="88"/>
        <v>986.9571038769641</v>
      </c>
    </row>
    <row r="270" spans="1:37" ht="11.25">
      <c r="A270" s="11" t="s">
        <v>109</v>
      </c>
      <c r="C270" s="12">
        <f aca="true" t="shared" si="89" ref="C270:AK270">C266/C$116</f>
        <v>0</v>
      </c>
      <c r="D270" s="12">
        <f t="shared" si="89"/>
        <v>0</v>
      </c>
      <c r="E270" s="12">
        <f t="shared" si="89"/>
        <v>0</v>
      </c>
      <c r="F270" s="12">
        <f t="shared" si="89"/>
        <v>0</v>
      </c>
      <c r="G270" s="12">
        <f t="shared" si="89"/>
        <v>0</v>
      </c>
      <c r="H270" s="12">
        <f t="shared" si="89"/>
        <v>48.19538176363636</v>
      </c>
      <c r="I270" s="12">
        <f t="shared" si="89"/>
        <v>52.199265190909095</v>
      </c>
      <c r="J270" s="12">
        <f t="shared" si="89"/>
        <v>56.5374690409091</v>
      </c>
      <c r="K270" s="12">
        <f t="shared" si="89"/>
        <v>61.40156893363636</v>
      </c>
      <c r="L270" s="12">
        <f t="shared" si="89"/>
        <v>66.32212076590908</v>
      </c>
      <c r="M270" s="12">
        <f t="shared" si="89"/>
        <v>71.83336974545455</v>
      </c>
      <c r="N270" s="12">
        <f t="shared" si="89"/>
        <v>115.47691666839879</v>
      </c>
      <c r="O270" s="12">
        <f t="shared" si="89"/>
        <v>105.2900687197277</v>
      </c>
      <c r="P270" s="12">
        <f t="shared" si="89"/>
        <v>146.8926866759914</v>
      </c>
      <c r="Q270" s="12">
        <f t="shared" si="89"/>
        <v>229.08872591593385</v>
      </c>
      <c r="R270" s="12">
        <f t="shared" si="89"/>
        <v>255.5332660120824</v>
      </c>
      <c r="S270" s="12">
        <f t="shared" si="89"/>
        <v>284.4965006435718</v>
      </c>
      <c r="T270" s="12">
        <f t="shared" si="89"/>
        <v>313.0397540830187</v>
      </c>
      <c r="U270" s="12">
        <f t="shared" si="89"/>
        <v>329.0805552679386</v>
      </c>
      <c r="V270" s="12">
        <f t="shared" si="89"/>
        <v>345.90917346026964</v>
      </c>
      <c r="W270" s="12">
        <f t="shared" si="89"/>
        <v>309.76703296646343</v>
      </c>
      <c r="X270" s="12">
        <f t="shared" si="89"/>
        <v>382.1658692546792</v>
      </c>
      <c r="Y270" s="12">
        <f t="shared" si="89"/>
        <v>401.72240730867316</v>
      </c>
      <c r="Z270" s="12">
        <f t="shared" si="89"/>
        <v>408.47202699314096</v>
      </c>
      <c r="AA270" s="12">
        <f t="shared" si="89"/>
        <v>416.83597967312335</v>
      </c>
      <c r="AB270" s="12">
        <f t="shared" si="89"/>
        <v>423.10271848496126</v>
      </c>
      <c r="AC270" s="12">
        <f t="shared" si="89"/>
        <v>425.645727698329</v>
      </c>
      <c r="AD270" s="12">
        <f t="shared" si="89"/>
        <v>428.23838052608187</v>
      </c>
      <c r="AE270" s="12">
        <f t="shared" si="89"/>
        <v>377.1446795738558</v>
      </c>
      <c r="AF270" s="12">
        <f t="shared" si="89"/>
        <v>433.6236573073817</v>
      </c>
      <c r="AG270" s="12">
        <f t="shared" si="89"/>
        <v>436.44381337770494</v>
      </c>
      <c r="AH270" s="12">
        <f t="shared" si="89"/>
        <v>437.38047674738135</v>
      </c>
      <c r="AI270" s="12">
        <f t="shared" si="89"/>
        <v>439.52397201490857</v>
      </c>
      <c r="AJ270" s="12">
        <f t="shared" si="89"/>
        <v>439.12211838714256</v>
      </c>
      <c r="AK270" s="12">
        <f t="shared" si="89"/>
        <v>439.931243423036</v>
      </c>
    </row>
    <row r="271" spans="1:37" ht="11.25">
      <c r="A271" s="11"/>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row>
    <row r="272" spans="1:61" ht="11.25">
      <c r="A272" s="1" t="s">
        <v>98</v>
      </c>
      <c r="C272" s="12"/>
      <c r="D272" s="12"/>
      <c r="E272" s="12"/>
      <c r="F272" s="12"/>
      <c r="G272" s="12"/>
      <c r="H272" s="12">
        <f aca="true" t="shared" si="90" ref="H272:AF272">H264/-H261</f>
        <v>1.2044353831408428</v>
      </c>
      <c r="I272" s="12">
        <f t="shared" si="90"/>
        <v>1.2990235178624094</v>
      </c>
      <c r="J272" s="12">
        <f t="shared" si="90"/>
        <v>1.3995253397872731</v>
      </c>
      <c r="K272" s="12">
        <f t="shared" si="90"/>
        <v>1.510100943596322</v>
      </c>
      <c r="L272" s="12">
        <f t="shared" si="90"/>
        <v>1.618485669351055</v>
      </c>
      <c r="M272" s="12">
        <f t="shared" si="90"/>
        <v>1.3922357202049336</v>
      </c>
      <c r="N272" s="12">
        <f t="shared" si="90"/>
        <v>1.399744226630927</v>
      </c>
      <c r="O272" s="12">
        <f t="shared" si="90"/>
        <v>1.1036328299368927</v>
      </c>
      <c r="P272" s="12">
        <f t="shared" si="90"/>
        <v>1.5055445541780106</v>
      </c>
      <c r="Q272" s="12">
        <f t="shared" si="90"/>
        <v>1.4263019816044606</v>
      </c>
      <c r="R272" s="12">
        <f t="shared" si="90"/>
        <v>1.4509525278229087</v>
      </c>
      <c r="S272" s="12">
        <f t="shared" si="90"/>
        <v>1.4776822918905805</v>
      </c>
      <c r="T272" s="12">
        <f t="shared" si="90"/>
        <v>1.4954162969246683</v>
      </c>
      <c r="U272" s="12">
        <f t="shared" si="90"/>
        <v>1.4645468127516057</v>
      </c>
      <c r="V272" s="12">
        <f t="shared" si="90"/>
        <v>1.4322038864860993</v>
      </c>
      <c r="W272" s="12">
        <f t="shared" si="90"/>
        <v>1.1673922526511644</v>
      </c>
      <c r="X272" s="12">
        <f t="shared" si="90"/>
        <v>1.3635552575846297</v>
      </c>
      <c r="Y272" s="12">
        <f t="shared" si="90"/>
        <v>1.3275211062033403</v>
      </c>
      <c r="Z272" s="12">
        <f t="shared" si="90"/>
        <v>1.2541876867807609</v>
      </c>
      <c r="AA272" s="12">
        <f t="shared" si="90"/>
        <v>1.1850161124237863</v>
      </c>
      <c r="AB272" s="12">
        <f t="shared" si="90"/>
        <v>2.49914001272117</v>
      </c>
      <c r="AC272" s="12">
        <f t="shared" si="90"/>
        <v>2.328285154530316</v>
      </c>
      <c r="AD272" s="12">
        <f t="shared" si="90"/>
        <v>2.16592870566573</v>
      </c>
      <c r="AE272" s="12">
        <f t="shared" si="90"/>
        <v>1.6841331951721605</v>
      </c>
      <c r="AF272" s="12">
        <f t="shared" si="90"/>
        <v>1.8666651913959018</v>
      </c>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row>
    <row r="273" spans="1:61" ht="11.25">
      <c r="A273" s="2" t="s">
        <v>121</v>
      </c>
      <c r="B273" s="16">
        <f>MIN(O272:AF272)</f>
        <v>1.1036328299368927</v>
      </c>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row>
    <row r="274" spans="1:61" ht="11.25">
      <c r="A274" s="1" t="s">
        <v>115</v>
      </c>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row>
    <row r="275" spans="1:61" ht="11.25">
      <c r="A275" s="11" t="s">
        <v>113</v>
      </c>
      <c r="B275" s="23">
        <f>IRR(C261:AK261)</f>
        <v>0.07137763045414348</v>
      </c>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row>
    <row r="276" spans="1:61" ht="11.25">
      <c r="A276" s="11" t="s">
        <v>105</v>
      </c>
      <c r="B276" s="33">
        <f>B111</f>
        <v>0.12</v>
      </c>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row>
    <row r="277" spans="1:61" ht="11.25">
      <c r="A277" s="11" t="s">
        <v>114</v>
      </c>
      <c r="B277" s="23">
        <f>B275</f>
        <v>0.07137763045414348</v>
      </c>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row>
    <row r="278" spans="1:61" ht="11.25">
      <c r="A278" s="11" t="s">
        <v>103</v>
      </c>
      <c r="B278" s="33">
        <f>B110</f>
        <v>0.1</v>
      </c>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row>
    <row r="279" spans="3:61" ht="11.25">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row>
    <row r="280" spans="1:61" ht="11.25">
      <c r="A280" s="1" t="s">
        <v>117</v>
      </c>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row>
    <row r="281" spans="1:61" ht="11.25">
      <c r="A281" s="11" t="s">
        <v>116</v>
      </c>
      <c r="B281" s="23">
        <f>IRR(C264:AK264)</f>
        <v>0.10811094265983234</v>
      </c>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row>
    <row r="282" spans="1:61" ht="11.25">
      <c r="A282" s="11" t="s">
        <v>1</v>
      </c>
      <c r="B282" s="23">
        <f>IRR(C265:AK265)</f>
        <v>1.1134603140793797</v>
      </c>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row>
    <row r="283" spans="1:61" ht="11.25">
      <c r="A283" s="1" t="s">
        <v>118</v>
      </c>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row>
    <row r="284" spans="1:61" ht="11.25">
      <c r="A284" s="11" t="s">
        <v>116</v>
      </c>
      <c r="B284" s="23">
        <f>IRR(C268:AK268)</f>
        <v>0.0533156066023865</v>
      </c>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row>
    <row r="285" spans="1:61" ht="11.25">
      <c r="A285" s="11" t="s">
        <v>1</v>
      </c>
      <c r="B285" s="23">
        <f>IRR(C269:AK269)</f>
        <v>0.9901908121783889</v>
      </c>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row>
    <row r="286" spans="1:61" ht="11.25">
      <c r="A286" s="1" t="s">
        <v>119</v>
      </c>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row>
    <row r="287" spans="1:61" ht="11.25">
      <c r="A287" s="11" t="s">
        <v>106</v>
      </c>
      <c r="B287" s="12">
        <f>NPV(B277,C264:AK264)</f>
        <v>8639.259721829352</v>
      </c>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row>
    <row r="288" spans="1:61" ht="11.25">
      <c r="A288" s="11" t="s">
        <v>107</v>
      </c>
      <c r="B288" s="12">
        <f>NPV(B111,C265:AK265)</f>
        <v>3153.5862438482104</v>
      </c>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row>
    <row r="289" spans="1:61" ht="11.25">
      <c r="A289" s="11" t="s">
        <v>110</v>
      </c>
      <c r="B289" s="12">
        <f>NPV(B110,C266:AK266)</f>
        <v>3574.992993865402</v>
      </c>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row>
    <row r="291" spans="8:61" ht="11.25">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row>
    <row r="292" spans="8:61" ht="11.25">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row>
    <row r="293" spans="8:61" ht="11.25">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row>
    <row r="294" spans="8:61" ht="11.25">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row>
    <row r="295" spans="8:61" ht="11.25">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row>
    <row r="296" spans="8:61" ht="11.25">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row>
    <row r="297" spans="8:61" ht="11.25">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row>
    <row r="298" spans="8:61" ht="11.25">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row>
    <row r="299" spans="8:61" ht="11.25">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row>
    <row r="300" spans="8:61" ht="11.25">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row>
    <row r="301" spans="8:61" ht="11.25">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row>
    <row r="302" spans="8:61" ht="11.25">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row>
    <row r="303" spans="8:61" ht="11.25">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row>
    <row r="304" spans="8:61" ht="11.25">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row>
    <row r="305" spans="2:61" ht="11.25">
      <c r="B305" s="16"/>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row>
    <row r="306" spans="8:61" ht="11.25">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row>
    <row r="307" spans="8:61" ht="11.25">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row>
    <row r="308" spans="8:61" ht="11.25">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row>
    <row r="309" spans="8:61" ht="11.25">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row>
    <row r="310" spans="8:61" ht="11.25">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row>
    <row r="311" spans="8:61" ht="11.25">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row>
    <row r="312" spans="8:61" ht="11.25">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row>
    <row r="313" spans="8:61" ht="11.25">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row>
    <row r="314" spans="8:61" ht="11.25">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row>
    <row r="315" spans="8:61" ht="11.25">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row>
    <row r="316" spans="8:61" ht="11.25">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row>
    <row r="317" spans="8:61" ht="11.25">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row>
    <row r="318" spans="8:61" ht="11.25">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row>
    <row r="319" spans="8:61" ht="11.25">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row>
    <row r="320" spans="8:61" ht="11.25">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row>
    <row r="321" spans="8:61" ht="11.25">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row>
    <row r="322" spans="8:61" ht="11.25">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row>
    <row r="323" spans="8:61" ht="11.25">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row>
    <row r="324" spans="8:61" ht="11.25">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row>
    <row r="325" spans="8:61" ht="11.25">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row>
    <row r="326" spans="8:61" ht="11.25">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row>
    <row r="327" spans="8:61" ht="11.25">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row>
    <row r="328" spans="8:61" ht="11.25">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row>
    <row r="329" spans="8:61" ht="11.25">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row>
    <row r="330" spans="8:61" ht="11.25">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row>
    <row r="331" spans="8:61" ht="11.25">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row>
    <row r="332" spans="8:61" ht="11.25">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row>
    <row r="333" spans="8:61" ht="11.25">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row>
    <row r="334" spans="8:61" ht="11.25">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row>
    <row r="335" spans="8:61" ht="11.25">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row>
    <row r="336" spans="8:61" ht="11.25">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row>
    <row r="337" spans="8:61" ht="11.25">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row>
    <row r="338" spans="8:61" ht="11.25">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row>
    <row r="339" spans="8:61" ht="11.25">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row>
    <row r="340" spans="8:61" ht="11.25">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row>
    <row r="341" spans="8:61" ht="11.25">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row>
    <row r="342" spans="8:61" ht="11.25">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row>
    <row r="343" spans="8:61" ht="11.25">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row>
    <row r="344" spans="8:61" ht="11.25">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row>
    <row r="345" spans="8:61" ht="11.25">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row>
    <row r="346" spans="8:61" ht="11.25">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row>
    <row r="347" spans="8:61" ht="11.25">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row>
    <row r="348" spans="8:61" ht="11.25">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row>
    <row r="349" spans="8:61" ht="11.25">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row>
    <row r="350" spans="8:61" ht="11.25">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row>
    <row r="351" spans="8:61" ht="11.25">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row>
    <row r="352" spans="8:61" ht="11.25">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row>
    <row r="353" spans="8:61" ht="11.25">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row>
    <row r="354" spans="8:61" ht="11.25">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row>
    <row r="355" spans="8:61" ht="11.25">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row>
    <row r="356" spans="8:61" ht="11.25">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row>
    <row r="357" spans="8:61" ht="11.25">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row>
    <row r="358" spans="8:61" ht="11.25">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row>
    <row r="359" spans="8:61" ht="11.25">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row>
    <row r="360" spans="8:61" ht="11.25">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row>
    <row r="361" spans="8:61" ht="11.25">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row>
    <row r="362" spans="8:61" ht="11.25">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row>
    <row r="363" spans="8:61" ht="11.25">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row>
    <row r="364" spans="8:61" ht="11.25">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row>
    <row r="365" spans="8:61" ht="11.25">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row>
    <row r="366" spans="8:61" ht="11.25">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row>
    <row r="367" spans="8:61" ht="11.25">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row>
    <row r="368" spans="8:61" ht="11.25">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row>
    <row r="369" spans="8:61" ht="11.25">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row>
    <row r="370" spans="37:61" ht="11.25">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row>
    <row r="371" spans="37:61" ht="11.25">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row>
    <row r="372" spans="37:61" ht="11.25">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row>
    <row r="373" spans="37:61" ht="11.25">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row>
    <row r="374" spans="37:61" ht="11.25">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row>
    <row r="375" spans="37:61" ht="11.25">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row>
    <row r="376" spans="37:61" ht="11.25">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row>
    <row r="377" spans="37:61" ht="11.25">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row>
    <row r="378" spans="37:61" ht="11.25">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row>
    <row r="379" spans="37:61" ht="11.25">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row>
    <row r="380" spans="37:61" ht="11.25">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row>
    <row r="381" spans="37:61" ht="11.25">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row>
    <row r="382" spans="37:61" ht="11.25">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row>
    <row r="383" spans="37:61" ht="11.25">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row>
    <row r="384" spans="37:61" ht="11.25">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row>
    <row r="385" spans="37:61" ht="11.25">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row>
    <row r="386" spans="37:61" ht="11.25">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row>
    <row r="387" spans="37:61" ht="11.25">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row>
    <row r="388" spans="37:61" ht="11.25">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row>
    <row r="389" spans="37:61" ht="11.25">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row>
    <row r="390" spans="37:61" ht="11.25">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row>
    <row r="391" spans="37:61" ht="11.25">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row>
    <row r="392" spans="37:61" ht="11.25">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row>
    <row r="393" spans="37:61" ht="11.25">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row>
    <row r="394" spans="37:61" ht="11.25">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row>
    <row r="395" spans="37:61" ht="11.25">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row>
    <row r="396" spans="37:61" ht="11.25">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row>
    <row r="397" spans="37:61" ht="11.25">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row>
    <row r="398" spans="37:61" ht="11.25">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row>
    <row r="399" spans="37:61" ht="11.25">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row>
    <row r="400" spans="37:61" ht="11.25">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row>
    <row r="401" spans="37:61" ht="11.25">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row>
    <row r="402" spans="37:61" ht="11.25">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row>
    <row r="403" spans="37:61" ht="11.25">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row>
    <row r="404" spans="37:61" ht="11.25">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row>
    <row r="405" spans="37:61" ht="11.25">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row>
    <row r="406" spans="37:61" ht="11.25">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row>
    <row r="407" spans="37:61" ht="11.25">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row>
    <row r="408" spans="37:61" ht="11.25">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row>
    <row r="409" spans="37:61" ht="11.25">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row>
    <row r="410" spans="37:61" ht="11.25">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row>
    <row r="411" spans="37:61" ht="11.25">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row>
    <row r="412" spans="37:61" ht="11.25">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row>
    <row r="413" spans="37:61" ht="11.25">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row>
    <row r="414" spans="37:61" ht="11.25">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row>
    <row r="415" spans="37:61" ht="11.25">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row>
    <row r="416" spans="37:61" ht="11.25">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row>
    <row r="417" spans="37:61" ht="11.25">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row>
    <row r="418" spans="37:61" ht="11.25">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row>
    <row r="419" spans="37:61" ht="11.25">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row>
    <row r="420" spans="37:61" ht="11.25">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row>
    <row r="421" spans="37:61" ht="11.25">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row>
    <row r="422" spans="37:61" ht="11.25">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row>
    <row r="423" spans="37:61" ht="11.25">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row>
    <row r="424" spans="37:61" ht="11.25">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row>
    <row r="425" spans="37:61" ht="11.25">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row>
    <row r="426" spans="37:61" ht="11.25">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row>
    <row r="427" spans="37:61" ht="11.25">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row>
    <row r="428" spans="37:61" ht="11.25">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row>
    <row r="429" spans="37:61" ht="11.25">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row>
    <row r="430" spans="37:61" ht="11.25">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row>
    <row r="431" spans="37:61" ht="11.25">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row>
    <row r="432" spans="37:61" ht="11.25">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row>
    <row r="433" spans="37:61" ht="11.25">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row>
    <row r="434" spans="37:61" ht="11.25">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row>
    <row r="435" spans="37:61" ht="11.25">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row>
    <row r="436" spans="37:61" ht="11.25">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row>
    <row r="437" spans="37:61" ht="11.25">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row>
    <row r="438" spans="37:61" ht="11.25">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row>
    <row r="439" spans="37:61" ht="11.25">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row>
    <row r="440" spans="37:61" ht="11.25">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row>
    <row r="441" spans="37:61" ht="11.25">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row>
    <row r="442" spans="37:61" ht="11.25">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row>
    <row r="443" spans="37:61" ht="11.25">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row>
    <row r="444" spans="37:61" ht="11.25">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row>
    <row r="445" spans="37:61" ht="11.25">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row>
    <row r="446" spans="37:61" ht="11.25">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row>
    <row r="447" spans="37:61" ht="11.25">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row>
    <row r="448" spans="37:61" ht="11.25">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row>
    <row r="449" spans="37:61" ht="11.25">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row>
    <row r="450" spans="37:61" ht="11.25">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row>
    <row r="451" spans="37:61" ht="11.25">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row>
    <row r="452" spans="37:61" ht="11.25">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row>
    <row r="453" spans="37:61" ht="11.25">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row>
    <row r="454" spans="37:61" ht="11.25">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row>
    <row r="455" spans="37:61" ht="11.25">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row>
    <row r="456" spans="37:61" ht="11.25">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row>
    <row r="457" spans="37:61" ht="11.25">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row>
    <row r="458" spans="37:61" ht="11.25">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row>
    <row r="459" spans="37:61" ht="11.25">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row>
    <row r="460" spans="37:61" ht="11.25">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row>
    <row r="461" spans="37:61" ht="11.25">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row>
    <row r="462" spans="37:61" ht="11.25">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row>
    <row r="463" spans="37:61" ht="11.25">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row>
    <row r="464" spans="37:61" ht="11.25">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row>
    <row r="465" spans="37:61" ht="11.25">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row>
    <row r="466" spans="37:61" ht="11.25">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row>
    <row r="467" spans="37:61" ht="11.25">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row>
    <row r="468" spans="37:61" ht="11.25">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row>
    <row r="469" spans="37:61" ht="11.25">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row>
    <row r="470" spans="37:61" ht="11.25">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row>
    <row r="471" spans="37:61" ht="11.25">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row>
    <row r="472" spans="37:61" ht="11.25">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row>
    <row r="473" spans="37:61" ht="11.25">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row>
    <row r="474" spans="37:61" ht="11.25">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row>
    <row r="475" spans="37:61" ht="11.25">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row>
    <row r="476" spans="37:61" ht="11.25">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row>
    <row r="477" spans="37:61" ht="11.25">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row>
    <row r="478" spans="37:61" ht="11.25">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row>
    <row r="479" spans="37:61" ht="11.25">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row>
    <row r="480" spans="37:61" ht="11.25">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row>
  </sheetData>
  <sheetProtection/>
  <conditionalFormatting sqref="H272:AF272">
    <cfRule type="cellIs" priority="1" dxfId="0" operator="lessThan" stopIfTrue="1">
      <formula>$B$112</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I480"/>
  <sheetViews>
    <sheetView zoomScalePageLayoutView="0" workbookViewId="0" topLeftCell="A1">
      <pane xSplit="1" ySplit="3" topLeftCell="B268" activePane="bottomRight" state="frozen"/>
      <selection pane="topLeft" activeCell="A1" sqref="A1"/>
      <selection pane="topRight" activeCell="B1" sqref="B1"/>
      <selection pane="bottomLeft" activeCell="A4" sqref="A4"/>
      <selection pane="bottomRight" activeCell="N250" sqref="N250"/>
    </sheetView>
  </sheetViews>
  <sheetFormatPr defaultColWidth="9.140625" defaultRowHeight="12.75"/>
  <cols>
    <col min="1" max="1" width="37.7109375" style="2" customWidth="1"/>
    <col min="2" max="2" width="9.28125" style="18" bestFit="1" customWidth="1"/>
    <col min="3" max="4" width="9.28125" style="2" bestFit="1" customWidth="1"/>
    <col min="5" max="7" width="10.00390625" style="2" bestFit="1" customWidth="1"/>
    <col min="8" max="8" width="9.57421875" style="2" bestFit="1" customWidth="1"/>
    <col min="9" max="16384" width="9.140625" style="2" customWidth="1"/>
  </cols>
  <sheetData>
    <row r="1" spans="1:2" ht="11.25">
      <c r="A1" s="1" t="s">
        <v>2</v>
      </c>
      <c r="B1" s="17"/>
    </row>
    <row r="2" spans="2:37" ht="11.25">
      <c r="B2" s="18">
        <v>2007</v>
      </c>
      <c r="C2" s="2">
        <v>2008</v>
      </c>
      <c r="D2" s="2">
        <v>2009</v>
      </c>
      <c r="E2" s="2">
        <v>2010</v>
      </c>
      <c r="F2" s="2">
        <v>2011</v>
      </c>
      <c r="G2" s="2">
        <v>2012</v>
      </c>
      <c r="H2" s="2">
        <v>2013</v>
      </c>
      <c r="I2" s="2">
        <v>2014</v>
      </c>
      <c r="J2" s="2">
        <v>2015</v>
      </c>
      <c r="K2" s="2">
        <v>2016</v>
      </c>
      <c r="L2" s="2">
        <v>2017</v>
      </c>
      <c r="M2" s="2">
        <v>2018</v>
      </c>
      <c r="N2" s="2">
        <v>2019</v>
      </c>
      <c r="O2" s="2">
        <v>2020</v>
      </c>
      <c r="P2" s="2">
        <v>2021</v>
      </c>
      <c r="Q2" s="2">
        <v>2022</v>
      </c>
      <c r="R2" s="2">
        <v>2023</v>
      </c>
      <c r="S2" s="2">
        <v>2024</v>
      </c>
      <c r="T2" s="2">
        <v>2025</v>
      </c>
      <c r="U2" s="2">
        <v>2026</v>
      </c>
      <c r="V2" s="2">
        <v>2027</v>
      </c>
      <c r="W2" s="2">
        <v>2028</v>
      </c>
      <c r="X2" s="2">
        <v>2029</v>
      </c>
      <c r="Y2" s="2">
        <v>2030</v>
      </c>
      <c r="Z2" s="2">
        <v>2031</v>
      </c>
      <c r="AA2" s="2">
        <v>2032</v>
      </c>
      <c r="AB2" s="2">
        <v>2033</v>
      </c>
      <c r="AC2" s="2">
        <v>2034</v>
      </c>
      <c r="AD2" s="2">
        <v>2035</v>
      </c>
      <c r="AE2" s="2">
        <v>2036</v>
      </c>
      <c r="AF2" s="2">
        <v>2037</v>
      </c>
      <c r="AG2" s="2">
        <v>2038</v>
      </c>
      <c r="AH2" s="2">
        <v>2039</v>
      </c>
      <c r="AI2" s="2">
        <v>2040</v>
      </c>
      <c r="AJ2" s="2">
        <v>2041</v>
      </c>
      <c r="AK2" s="2">
        <v>2042</v>
      </c>
    </row>
    <row r="3" spans="1:37" ht="11.25">
      <c r="A3" s="1" t="s">
        <v>15</v>
      </c>
      <c r="B3" s="18">
        <v>0</v>
      </c>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c r="AG3" s="2">
        <v>31</v>
      </c>
      <c r="AH3" s="2">
        <v>32</v>
      </c>
      <c r="AI3" s="2">
        <v>33</v>
      </c>
      <c r="AJ3" s="2">
        <v>34</v>
      </c>
      <c r="AK3" s="2">
        <v>35</v>
      </c>
    </row>
    <row r="4" spans="1:7" ht="11.25">
      <c r="A4" s="1" t="s">
        <v>16</v>
      </c>
      <c r="B4" s="17"/>
      <c r="C4" s="6"/>
      <c r="D4" s="6"/>
      <c r="E4" s="6"/>
      <c r="F4" s="6"/>
      <c r="G4" s="6"/>
    </row>
    <row r="5" spans="1:37" ht="11.25">
      <c r="A5" s="2" t="s">
        <v>18</v>
      </c>
      <c r="B5" s="23">
        <v>0.1085</v>
      </c>
      <c r="C5" s="6">
        <v>0.199</v>
      </c>
      <c r="D5" s="6">
        <v>0.068</v>
      </c>
      <c r="E5" s="6">
        <v>0.08</v>
      </c>
      <c r="F5" s="6">
        <v>0.07</v>
      </c>
      <c r="G5" s="6">
        <v>0.06</v>
      </c>
      <c r="H5" s="6">
        <v>0.05</v>
      </c>
      <c r="I5" s="6">
        <f aca="true" t="shared" si="0" ref="I5:AK5">$H$5</f>
        <v>0.05</v>
      </c>
      <c r="J5" s="6">
        <f t="shared" si="0"/>
        <v>0.05</v>
      </c>
      <c r="K5" s="6">
        <f t="shared" si="0"/>
        <v>0.05</v>
      </c>
      <c r="L5" s="6">
        <f t="shared" si="0"/>
        <v>0.05</v>
      </c>
      <c r="M5" s="6">
        <f t="shared" si="0"/>
        <v>0.05</v>
      </c>
      <c r="N5" s="6">
        <f t="shared" si="0"/>
        <v>0.05</v>
      </c>
      <c r="O5" s="6">
        <f t="shared" si="0"/>
        <v>0.05</v>
      </c>
      <c r="P5" s="6">
        <f t="shared" si="0"/>
        <v>0.05</v>
      </c>
      <c r="Q5" s="6">
        <f t="shared" si="0"/>
        <v>0.05</v>
      </c>
      <c r="R5" s="6">
        <f t="shared" si="0"/>
        <v>0.05</v>
      </c>
      <c r="S5" s="6">
        <f t="shared" si="0"/>
        <v>0.05</v>
      </c>
      <c r="T5" s="6">
        <f t="shared" si="0"/>
        <v>0.05</v>
      </c>
      <c r="U5" s="6">
        <f t="shared" si="0"/>
        <v>0.05</v>
      </c>
      <c r="V5" s="6">
        <f t="shared" si="0"/>
        <v>0.05</v>
      </c>
      <c r="W5" s="6">
        <f t="shared" si="0"/>
        <v>0.05</v>
      </c>
      <c r="X5" s="6">
        <f t="shared" si="0"/>
        <v>0.05</v>
      </c>
      <c r="Y5" s="6">
        <f t="shared" si="0"/>
        <v>0.05</v>
      </c>
      <c r="Z5" s="6">
        <f t="shared" si="0"/>
        <v>0.05</v>
      </c>
      <c r="AA5" s="6">
        <f t="shared" si="0"/>
        <v>0.05</v>
      </c>
      <c r="AB5" s="6">
        <f t="shared" si="0"/>
        <v>0.05</v>
      </c>
      <c r="AC5" s="6">
        <f t="shared" si="0"/>
        <v>0.05</v>
      </c>
      <c r="AD5" s="6">
        <f t="shared" si="0"/>
        <v>0.05</v>
      </c>
      <c r="AE5" s="6">
        <f t="shared" si="0"/>
        <v>0.05</v>
      </c>
      <c r="AF5" s="6">
        <f t="shared" si="0"/>
        <v>0.05</v>
      </c>
      <c r="AG5" s="6">
        <f t="shared" si="0"/>
        <v>0.05</v>
      </c>
      <c r="AH5" s="6">
        <f t="shared" si="0"/>
        <v>0.05</v>
      </c>
      <c r="AI5" s="6">
        <f t="shared" si="0"/>
        <v>0.05</v>
      </c>
      <c r="AJ5" s="6">
        <f t="shared" si="0"/>
        <v>0.05</v>
      </c>
      <c r="AK5" s="6">
        <f t="shared" si="0"/>
        <v>0.05</v>
      </c>
    </row>
    <row r="6" spans="1:37" ht="11.25">
      <c r="A6" s="2" t="s">
        <v>17</v>
      </c>
      <c r="C6" s="5">
        <v>0.008</v>
      </c>
      <c r="D6" s="5">
        <f aca="true" t="shared" si="1" ref="D6:AK6">$C$6</f>
        <v>0.008</v>
      </c>
      <c r="E6" s="5">
        <f t="shared" si="1"/>
        <v>0.008</v>
      </c>
      <c r="F6" s="5">
        <f t="shared" si="1"/>
        <v>0.008</v>
      </c>
      <c r="G6" s="5">
        <f t="shared" si="1"/>
        <v>0.008</v>
      </c>
      <c r="H6" s="5">
        <f t="shared" si="1"/>
        <v>0.008</v>
      </c>
      <c r="I6" s="5">
        <f t="shared" si="1"/>
        <v>0.008</v>
      </c>
      <c r="J6" s="5">
        <f t="shared" si="1"/>
        <v>0.008</v>
      </c>
      <c r="K6" s="5">
        <f t="shared" si="1"/>
        <v>0.008</v>
      </c>
      <c r="L6" s="5">
        <f t="shared" si="1"/>
        <v>0.008</v>
      </c>
      <c r="M6" s="5">
        <f t="shared" si="1"/>
        <v>0.008</v>
      </c>
      <c r="N6" s="5">
        <f t="shared" si="1"/>
        <v>0.008</v>
      </c>
      <c r="O6" s="5">
        <f t="shared" si="1"/>
        <v>0.008</v>
      </c>
      <c r="P6" s="5">
        <f t="shared" si="1"/>
        <v>0.008</v>
      </c>
      <c r="Q6" s="5">
        <f t="shared" si="1"/>
        <v>0.008</v>
      </c>
      <c r="R6" s="5">
        <f t="shared" si="1"/>
        <v>0.008</v>
      </c>
      <c r="S6" s="5">
        <f t="shared" si="1"/>
        <v>0.008</v>
      </c>
      <c r="T6" s="5">
        <f t="shared" si="1"/>
        <v>0.008</v>
      </c>
      <c r="U6" s="5">
        <f t="shared" si="1"/>
        <v>0.008</v>
      </c>
      <c r="V6" s="5">
        <f t="shared" si="1"/>
        <v>0.008</v>
      </c>
      <c r="W6" s="5">
        <f t="shared" si="1"/>
        <v>0.008</v>
      </c>
      <c r="X6" s="5">
        <f t="shared" si="1"/>
        <v>0.008</v>
      </c>
      <c r="Y6" s="5">
        <f t="shared" si="1"/>
        <v>0.008</v>
      </c>
      <c r="Z6" s="5">
        <f t="shared" si="1"/>
        <v>0.008</v>
      </c>
      <c r="AA6" s="5">
        <f t="shared" si="1"/>
        <v>0.008</v>
      </c>
      <c r="AB6" s="5">
        <f t="shared" si="1"/>
        <v>0.008</v>
      </c>
      <c r="AC6" s="5">
        <f t="shared" si="1"/>
        <v>0.008</v>
      </c>
      <c r="AD6" s="5">
        <f t="shared" si="1"/>
        <v>0.008</v>
      </c>
      <c r="AE6" s="5">
        <f t="shared" si="1"/>
        <v>0.008</v>
      </c>
      <c r="AF6" s="5">
        <f t="shared" si="1"/>
        <v>0.008</v>
      </c>
      <c r="AG6" s="5">
        <f t="shared" si="1"/>
        <v>0.008</v>
      </c>
      <c r="AH6" s="5">
        <f t="shared" si="1"/>
        <v>0.008</v>
      </c>
      <c r="AI6" s="5">
        <f t="shared" si="1"/>
        <v>0.008</v>
      </c>
      <c r="AJ6" s="5">
        <f t="shared" si="1"/>
        <v>0.008</v>
      </c>
      <c r="AK6" s="5">
        <f t="shared" si="1"/>
        <v>0.008</v>
      </c>
    </row>
    <row r="7" spans="1:25" ht="11.25">
      <c r="A7" s="2" t="s">
        <v>19</v>
      </c>
      <c r="B7" s="20">
        <v>16000</v>
      </c>
      <c r="C7" s="7">
        <v>16500</v>
      </c>
      <c r="D7" s="7">
        <v>17800</v>
      </c>
      <c r="E7" s="5"/>
      <c r="F7" s="5"/>
      <c r="G7" s="5"/>
      <c r="H7" s="5"/>
      <c r="I7" s="5"/>
      <c r="J7" s="5"/>
      <c r="K7" s="5"/>
      <c r="L7" s="5"/>
      <c r="M7" s="5"/>
      <c r="N7" s="5"/>
      <c r="O7" s="5"/>
      <c r="P7" s="5"/>
      <c r="Q7" s="5"/>
      <c r="R7" s="5"/>
      <c r="S7" s="5"/>
      <c r="T7" s="5"/>
      <c r="U7" s="5"/>
      <c r="V7" s="5"/>
      <c r="W7" s="5"/>
      <c r="X7" s="5"/>
      <c r="Y7" s="5"/>
    </row>
    <row r="8" spans="1:14" ht="11.25">
      <c r="A8" s="1" t="s">
        <v>24</v>
      </c>
      <c r="B8" s="16"/>
      <c r="C8" s="12"/>
      <c r="D8" s="12"/>
      <c r="E8" s="12"/>
      <c r="F8" s="12"/>
      <c r="G8" s="12"/>
      <c r="H8" s="12"/>
      <c r="I8" s="12"/>
      <c r="J8" s="12"/>
      <c r="K8" s="12"/>
      <c r="L8" s="12"/>
      <c r="M8" s="12"/>
      <c r="N8" s="12"/>
    </row>
    <row r="9" spans="1:14" ht="11.25">
      <c r="A9" s="2" t="s">
        <v>22</v>
      </c>
      <c r="B9" s="16"/>
      <c r="C9" s="12"/>
      <c r="D9" s="12"/>
      <c r="E9" s="12"/>
      <c r="F9" s="12"/>
      <c r="G9" s="12"/>
      <c r="H9" s="12"/>
      <c r="I9" s="12"/>
      <c r="J9" s="12"/>
      <c r="K9" s="12"/>
      <c r="L9" s="12"/>
      <c r="M9" s="12"/>
      <c r="N9" s="12"/>
    </row>
    <row r="10" spans="1:15" ht="11.25">
      <c r="A10" s="11" t="s">
        <v>3</v>
      </c>
      <c r="B10" s="16"/>
      <c r="C10" s="12">
        <v>0</v>
      </c>
      <c r="D10" s="12">
        <v>0.97</v>
      </c>
      <c r="E10" s="12">
        <v>2.92</v>
      </c>
      <c r="F10" s="12">
        <v>2.92</v>
      </c>
      <c r="G10" s="12">
        <v>2.92</v>
      </c>
      <c r="H10" s="12"/>
      <c r="I10" s="12"/>
      <c r="J10" s="12"/>
      <c r="K10" s="12"/>
      <c r="L10" s="12"/>
      <c r="M10" s="12"/>
      <c r="N10" s="12"/>
      <c r="O10" s="12"/>
    </row>
    <row r="11" spans="1:14" ht="11.25">
      <c r="A11" s="11" t="s">
        <v>4</v>
      </c>
      <c r="B11" s="16"/>
      <c r="C11" s="12">
        <v>3.02</v>
      </c>
      <c r="D11" s="12">
        <v>4.54</v>
      </c>
      <c r="E11" s="12">
        <v>0</v>
      </c>
      <c r="F11" s="12">
        <v>0</v>
      </c>
      <c r="G11" s="12">
        <v>0</v>
      </c>
      <c r="H11" s="12"/>
      <c r="I11" s="12"/>
      <c r="J11" s="12"/>
      <c r="K11" s="12"/>
      <c r="L11" s="12"/>
      <c r="M11" s="12"/>
      <c r="N11" s="12"/>
    </row>
    <row r="12" spans="1:14" ht="11.25">
      <c r="A12" s="11" t="s">
        <v>5</v>
      </c>
      <c r="B12" s="16"/>
      <c r="C12" s="12">
        <v>0.31</v>
      </c>
      <c r="D12" s="12">
        <v>0.31</v>
      </c>
      <c r="E12" s="12">
        <v>0.42</v>
      </c>
      <c r="F12" s="12">
        <v>0</v>
      </c>
      <c r="G12" s="12">
        <v>0</v>
      </c>
      <c r="H12" s="12"/>
      <c r="I12" s="12"/>
      <c r="J12" s="12"/>
      <c r="K12" s="12"/>
      <c r="L12" s="12"/>
      <c r="M12" s="12"/>
      <c r="N12" s="12"/>
    </row>
    <row r="13" spans="1:14" ht="11.25">
      <c r="A13" s="11" t="s">
        <v>6</v>
      </c>
      <c r="B13" s="16"/>
      <c r="C13" s="12">
        <v>0</v>
      </c>
      <c r="D13" s="12">
        <v>0</v>
      </c>
      <c r="E13" s="12">
        <v>0</v>
      </c>
      <c r="F13" s="12">
        <v>0</v>
      </c>
      <c r="G13" s="12">
        <v>0</v>
      </c>
      <c r="H13" s="12"/>
      <c r="I13" s="12"/>
      <c r="J13" s="12"/>
      <c r="K13" s="12"/>
      <c r="L13" s="12"/>
      <c r="M13" s="12"/>
      <c r="N13" s="12"/>
    </row>
    <row r="14" spans="1:14" ht="11.25">
      <c r="A14" s="11" t="s">
        <v>7</v>
      </c>
      <c r="B14" s="16"/>
      <c r="C14" s="12">
        <v>1.19</v>
      </c>
      <c r="D14" s="12">
        <v>1.79</v>
      </c>
      <c r="E14" s="12">
        <v>3.58</v>
      </c>
      <c r="F14" s="12">
        <v>3.58</v>
      </c>
      <c r="G14" s="12">
        <v>1.79</v>
      </c>
      <c r="H14" s="12"/>
      <c r="I14" s="12"/>
      <c r="J14" s="12"/>
      <c r="K14" s="12"/>
      <c r="L14" s="12"/>
      <c r="M14" s="12"/>
      <c r="N14" s="12"/>
    </row>
    <row r="15" spans="1:14" ht="11.25">
      <c r="A15" s="11" t="s">
        <v>8</v>
      </c>
      <c r="B15" s="16"/>
      <c r="C15" s="12">
        <v>0</v>
      </c>
      <c r="D15" s="12">
        <v>0</v>
      </c>
      <c r="E15" s="12">
        <v>0</v>
      </c>
      <c r="F15" s="12">
        <v>0</v>
      </c>
      <c r="G15" s="12">
        <v>0</v>
      </c>
      <c r="H15" s="12"/>
      <c r="I15" s="12"/>
      <c r="J15" s="12"/>
      <c r="K15" s="12"/>
      <c r="L15" s="12"/>
      <c r="M15" s="12"/>
      <c r="N15" s="12"/>
    </row>
    <row r="16" spans="1:14" ht="11.25">
      <c r="A16" s="11" t="s">
        <v>9</v>
      </c>
      <c r="B16" s="16"/>
      <c r="C16" s="12">
        <v>1.63</v>
      </c>
      <c r="D16" s="12">
        <v>0</v>
      </c>
      <c r="E16" s="12">
        <v>0</v>
      </c>
      <c r="F16" s="12">
        <v>0</v>
      </c>
      <c r="G16" s="12">
        <v>0</v>
      </c>
      <c r="H16" s="12"/>
      <c r="I16" s="12"/>
      <c r="J16" s="12"/>
      <c r="K16" s="12"/>
      <c r="L16" s="12"/>
      <c r="M16" s="12"/>
      <c r="N16" s="12"/>
    </row>
    <row r="17" spans="1:14" ht="11.25">
      <c r="A17" s="11" t="s">
        <v>25</v>
      </c>
      <c r="B17" s="16"/>
      <c r="C17" s="12">
        <f>SUM(C10:C16)</f>
        <v>6.1499999999999995</v>
      </c>
      <c r="D17" s="12">
        <f>SUM(D10:D16)</f>
        <v>7.609999999999999</v>
      </c>
      <c r="E17" s="12">
        <f>SUM(E10:E16)</f>
        <v>6.92</v>
      </c>
      <c r="F17" s="12">
        <f>SUM(F10:F16)</f>
        <v>6.5</v>
      </c>
      <c r="G17" s="12">
        <f>SUM(G10:G16)</f>
        <v>4.71</v>
      </c>
      <c r="H17" s="12"/>
      <c r="I17" s="12"/>
      <c r="J17" s="12"/>
      <c r="K17" s="12"/>
      <c r="L17" s="12"/>
      <c r="M17" s="12"/>
      <c r="N17" s="12"/>
    </row>
    <row r="18" spans="1:14" ht="11.25">
      <c r="A18" s="2" t="s">
        <v>23</v>
      </c>
      <c r="B18" s="16"/>
      <c r="C18" s="12"/>
      <c r="D18" s="12"/>
      <c r="E18" s="12"/>
      <c r="F18" s="12"/>
      <c r="G18" s="12"/>
      <c r="H18" s="12"/>
      <c r="I18" s="12"/>
      <c r="J18" s="12"/>
      <c r="K18" s="12"/>
      <c r="L18" s="12"/>
      <c r="M18" s="12"/>
      <c r="N18" s="12"/>
    </row>
    <row r="19" spans="1:14" ht="11.25">
      <c r="A19" s="11" t="s">
        <v>3</v>
      </c>
      <c r="B19" s="16"/>
      <c r="C19" s="12">
        <v>0</v>
      </c>
      <c r="D19" s="12">
        <v>753.88</v>
      </c>
      <c r="E19" s="12">
        <v>2261.64</v>
      </c>
      <c r="F19" s="12">
        <v>2261.64</v>
      </c>
      <c r="G19" s="12">
        <v>2261.64</v>
      </c>
      <c r="H19" s="12"/>
      <c r="I19" s="12"/>
      <c r="J19" s="12"/>
      <c r="K19" s="12"/>
      <c r="L19" s="12"/>
      <c r="M19" s="12"/>
      <c r="N19" s="12"/>
    </row>
    <row r="20" spans="1:14" ht="11.25">
      <c r="A20" s="11" t="s">
        <v>4</v>
      </c>
      <c r="B20" s="16"/>
      <c r="C20" s="12">
        <v>798.89</v>
      </c>
      <c r="D20" s="12">
        <v>1198.34</v>
      </c>
      <c r="E20" s="12">
        <v>0</v>
      </c>
      <c r="F20" s="12">
        <v>0</v>
      </c>
      <c r="G20" s="12">
        <v>0</v>
      </c>
      <c r="H20" s="12"/>
      <c r="I20" s="12"/>
      <c r="J20" s="12"/>
      <c r="K20" s="12"/>
      <c r="L20" s="12"/>
      <c r="M20" s="12"/>
      <c r="N20" s="12"/>
    </row>
    <row r="21" spans="1:14" ht="11.25">
      <c r="A21" s="11" t="s">
        <v>5</v>
      </c>
      <c r="B21" s="16"/>
      <c r="C21" s="12">
        <v>94.73</v>
      </c>
      <c r="D21" s="12">
        <v>94.73</v>
      </c>
      <c r="E21" s="12">
        <v>126.3</v>
      </c>
      <c r="F21" s="12">
        <v>0</v>
      </c>
      <c r="G21" s="12">
        <v>0</v>
      </c>
      <c r="H21" s="12"/>
      <c r="I21" s="12"/>
      <c r="J21" s="12"/>
      <c r="K21" s="12"/>
      <c r="L21" s="12"/>
      <c r="M21" s="12"/>
      <c r="N21" s="12"/>
    </row>
    <row r="22" spans="1:14" ht="11.25">
      <c r="A22" s="11" t="s">
        <v>6</v>
      </c>
      <c r="B22" s="16"/>
      <c r="C22" s="12">
        <v>7.43</v>
      </c>
      <c r="D22" s="12">
        <v>0</v>
      </c>
      <c r="E22" s="12">
        <v>0</v>
      </c>
      <c r="F22" s="12">
        <v>0</v>
      </c>
      <c r="G22" s="12">
        <v>0</v>
      </c>
      <c r="H22" s="12"/>
      <c r="I22" s="12"/>
      <c r="J22" s="12"/>
      <c r="K22" s="12"/>
      <c r="L22" s="12"/>
      <c r="M22" s="12"/>
      <c r="N22" s="12"/>
    </row>
    <row r="23" spans="1:14" ht="11.25">
      <c r="A23" s="11" t="s">
        <v>7</v>
      </c>
      <c r="B23" s="16"/>
      <c r="C23" s="12">
        <v>11.64</v>
      </c>
      <c r="D23" s="12">
        <v>17.47</v>
      </c>
      <c r="E23" s="12">
        <v>34.93</v>
      </c>
      <c r="F23" s="12">
        <v>34.93</v>
      </c>
      <c r="G23" s="12">
        <v>17.47</v>
      </c>
      <c r="H23" s="12"/>
      <c r="I23" s="12"/>
      <c r="J23" s="12"/>
      <c r="K23" s="12"/>
      <c r="L23" s="12"/>
      <c r="M23" s="12"/>
      <c r="N23" s="12"/>
    </row>
    <row r="24" spans="1:14" ht="11.25">
      <c r="A24" s="11" t="s">
        <v>8</v>
      </c>
      <c r="B24" s="16"/>
      <c r="C24" s="12">
        <v>32.68</v>
      </c>
      <c r="D24" s="12">
        <v>32.68</v>
      </c>
      <c r="E24" s="12">
        <v>32.68</v>
      </c>
      <c r="F24" s="12">
        <v>32.68</v>
      </c>
      <c r="G24" s="12">
        <v>32.68</v>
      </c>
      <c r="H24" s="12"/>
      <c r="I24" s="12"/>
      <c r="J24" s="12"/>
      <c r="K24" s="12"/>
      <c r="L24" s="12"/>
      <c r="M24" s="12"/>
      <c r="N24" s="12"/>
    </row>
    <row r="25" spans="1:14" ht="11.25">
      <c r="A25" s="11" t="s">
        <v>9</v>
      </c>
      <c r="B25" s="16"/>
      <c r="C25" s="12">
        <v>0</v>
      </c>
      <c r="D25" s="12">
        <v>0</v>
      </c>
      <c r="E25" s="12">
        <v>0</v>
      </c>
      <c r="F25" s="12">
        <v>0</v>
      </c>
      <c r="G25" s="12">
        <v>0</v>
      </c>
      <c r="H25" s="12"/>
      <c r="I25" s="12"/>
      <c r="J25" s="12"/>
      <c r="K25" s="12"/>
      <c r="L25" s="12"/>
      <c r="M25" s="12"/>
      <c r="N25" s="12"/>
    </row>
    <row r="26" spans="1:14" ht="11.25">
      <c r="A26" s="11" t="s">
        <v>25</v>
      </c>
      <c r="B26" s="16"/>
      <c r="C26" s="12">
        <f>SUM(C19:C25)</f>
        <v>945.3699999999999</v>
      </c>
      <c r="D26" s="12">
        <f>SUM(D19:D25)</f>
        <v>2097.0999999999995</v>
      </c>
      <c r="E26" s="12">
        <f>SUM(E19:E25)</f>
        <v>2455.5499999999997</v>
      </c>
      <c r="F26" s="12">
        <f>SUM(F19:F25)</f>
        <v>2329.2499999999995</v>
      </c>
      <c r="G26" s="12">
        <f>SUM(G19:G25)</f>
        <v>2311.7899999999995</v>
      </c>
      <c r="H26" s="12"/>
      <c r="I26" s="12"/>
      <c r="J26" s="12"/>
      <c r="K26" s="12"/>
      <c r="L26" s="12"/>
      <c r="M26" s="12"/>
      <c r="N26" s="12"/>
    </row>
    <row r="27" spans="1:7" ht="11.25">
      <c r="A27" s="1" t="s">
        <v>14</v>
      </c>
      <c r="B27" s="16"/>
      <c r="D27" s="10"/>
      <c r="E27" s="10"/>
      <c r="F27" s="10"/>
      <c r="G27" s="10"/>
    </row>
    <row r="28" spans="1:7" ht="11.25">
      <c r="A28" s="2" t="s">
        <v>28</v>
      </c>
      <c r="C28" s="12"/>
      <c r="D28" s="10"/>
      <c r="E28" s="10"/>
      <c r="F28" s="10"/>
      <c r="G28" s="10"/>
    </row>
    <row r="29" spans="1:6" ht="11.25">
      <c r="A29" s="2" t="s">
        <v>12</v>
      </c>
      <c r="B29" s="19"/>
      <c r="C29" s="3"/>
      <c r="D29" s="3"/>
      <c r="E29" s="3"/>
      <c r="F29" s="3"/>
    </row>
    <row r="30" spans="1:14" ht="11.25">
      <c r="A30" s="11" t="s">
        <v>3</v>
      </c>
      <c r="B30" s="36">
        <f aca="true" t="shared" si="2" ref="B30:B37">SUM(C30:G30)</f>
        <v>133.514</v>
      </c>
      <c r="C30" s="10">
        <v>0</v>
      </c>
      <c r="D30" s="10">
        <v>13.348</v>
      </c>
      <c r="E30" s="10">
        <v>40.055</v>
      </c>
      <c r="F30" s="10">
        <v>40.056</v>
      </c>
      <c r="G30" s="10">
        <v>40.055</v>
      </c>
      <c r="I30" s="36"/>
      <c r="J30" s="10"/>
      <c r="K30" s="10"/>
      <c r="L30" s="10"/>
      <c r="M30" s="10"/>
      <c r="N30" s="10"/>
    </row>
    <row r="31" spans="1:14" ht="11.25">
      <c r="A31" s="11" t="s">
        <v>4</v>
      </c>
      <c r="B31" s="36">
        <f t="shared" si="2"/>
        <v>151.919</v>
      </c>
      <c r="C31" s="10">
        <v>61.097</v>
      </c>
      <c r="D31" s="10">
        <v>90.822</v>
      </c>
      <c r="E31" s="10">
        <v>0</v>
      </c>
      <c r="F31" s="10">
        <v>0</v>
      </c>
      <c r="G31" s="10">
        <v>0</v>
      </c>
      <c r="I31" s="36"/>
      <c r="J31" s="10"/>
      <c r="K31" s="10"/>
      <c r="L31" s="10"/>
      <c r="M31" s="10"/>
      <c r="N31" s="10"/>
    </row>
    <row r="32" spans="1:14" ht="11.25">
      <c r="A32" s="11" t="s">
        <v>5</v>
      </c>
      <c r="B32" s="36">
        <f t="shared" si="2"/>
        <v>23.915</v>
      </c>
      <c r="C32" s="10">
        <v>7.196</v>
      </c>
      <c r="D32" s="10">
        <v>7.13</v>
      </c>
      <c r="E32" s="10">
        <v>9.589</v>
      </c>
      <c r="F32" s="10">
        <v>0</v>
      </c>
      <c r="G32" s="10">
        <v>0</v>
      </c>
      <c r="I32" s="36"/>
      <c r="J32" s="10"/>
      <c r="K32" s="10"/>
      <c r="L32" s="10"/>
      <c r="M32" s="10"/>
      <c r="N32" s="10"/>
    </row>
    <row r="33" spans="1:14" ht="11.25">
      <c r="A33" s="11" t="s">
        <v>6</v>
      </c>
      <c r="B33" s="36">
        <f t="shared" si="2"/>
        <v>0</v>
      </c>
      <c r="C33" s="10">
        <v>0</v>
      </c>
      <c r="D33" s="10">
        <v>0</v>
      </c>
      <c r="E33" s="10">
        <v>0</v>
      </c>
      <c r="F33" s="10">
        <v>0</v>
      </c>
      <c r="G33" s="10">
        <v>0</v>
      </c>
      <c r="I33" s="36"/>
      <c r="J33" s="10"/>
      <c r="K33" s="10"/>
      <c r="L33" s="10"/>
      <c r="M33" s="10"/>
      <c r="N33" s="10"/>
    </row>
    <row r="34" spans="1:14" ht="11.25">
      <c r="A34" s="11" t="s">
        <v>7</v>
      </c>
      <c r="B34" s="36">
        <f t="shared" si="2"/>
        <v>13.933</v>
      </c>
      <c r="C34" s="10">
        <v>1.378</v>
      </c>
      <c r="D34" s="10">
        <v>2.068</v>
      </c>
      <c r="E34" s="10">
        <v>4.168</v>
      </c>
      <c r="F34" s="10">
        <v>4.201</v>
      </c>
      <c r="G34" s="10">
        <v>2.118</v>
      </c>
      <c r="I34" s="36"/>
      <c r="J34" s="10"/>
      <c r="K34" s="10"/>
      <c r="L34" s="10"/>
      <c r="M34" s="10"/>
      <c r="N34" s="10"/>
    </row>
    <row r="35" spans="1:14" ht="11.25">
      <c r="A35" s="11" t="s">
        <v>8</v>
      </c>
      <c r="B35" s="36">
        <f t="shared" si="2"/>
        <v>11.892999999999999</v>
      </c>
      <c r="C35" s="10">
        <v>2.375</v>
      </c>
      <c r="D35" s="10">
        <v>2.351</v>
      </c>
      <c r="E35" s="10">
        <v>2.37</v>
      </c>
      <c r="F35" s="10">
        <v>2.389</v>
      </c>
      <c r="G35" s="10">
        <v>2.408</v>
      </c>
      <c r="I35" s="36"/>
      <c r="J35" s="10"/>
      <c r="K35" s="10"/>
      <c r="L35" s="10"/>
      <c r="M35" s="10"/>
      <c r="N35" s="10"/>
    </row>
    <row r="36" spans="1:14" ht="11.25">
      <c r="A36" s="11" t="s">
        <v>9</v>
      </c>
      <c r="B36" s="36">
        <f t="shared" si="2"/>
        <v>0.617</v>
      </c>
      <c r="C36" s="10">
        <v>0.617</v>
      </c>
      <c r="D36" s="10">
        <v>0</v>
      </c>
      <c r="E36" s="10">
        <v>0</v>
      </c>
      <c r="F36" s="10">
        <v>0</v>
      </c>
      <c r="G36" s="10">
        <v>0</v>
      </c>
      <c r="I36" s="36"/>
      <c r="J36" s="10"/>
      <c r="K36" s="10"/>
      <c r="L36" s="10"/>
      <c r="M36" s="10"/>
      <c r="N36" s="10"/>
    </row>
    <row r="37" spans="1:14" ht="11.25">
      <c r="A37" s="11" t="s">
        <v>25</v>
      </c>
      <c r="B37" s="36">
        <f t="shared" si="2"/>
        <v>335.791</v>
      </c>
      <c r="C37" s="10">
        <f>SUM(C30:C36)</f>
        <v>72.66300000000001</v>
      </c>
      <c r="D37" s="10">
        <f>SUM(D30:D36)</f>
        <v>115.719</v>
      </c>
      <c r="E37" s="10">
        <f>SUM(E30:E36)</f>
        <v>56.181999999999995</v>
      </c>
      <c r="F37" s="10">
        <f>SUM(F30:F36)</f>
        <v>46.646</v>
      </c>
      <c r="G37" s="10">
        <f>SUM(G30:G36)</f>
        <v>44.581</v>
      </c>
      <c r="I37" s="36"/>
      <c r="J37" s="10"/>
      <c r="K37" s="10"/>
      <c r="L37" s="10"/>
      <c r="M37" s="10"/>
      <c r="N37" s="10"/>
    </row>
    <row r="38" spans="1:14" ht="11.25">
      <c r="A38" s="2" t="s">
        <v>13</v>
      </c>
      <c r="B38" s="36"/>
      <c r="C38" s="10"/>
      <c r="D38" s="10"/>
      <c r="E38" s="10"/>
      <c r="F38" s="10"/>
      <c r="G38" s="10"/>
      <c r="I38" s="10"/>
      <c r="J38" s="10"/>
      <c r="K38" s="10"/>
      <c r="L38" s="10"/>
      <c r="M38" s="10"/>
      <c r="N38" s="10"/>
    </row>
    <row r="39" spans="1:14" ht="11.25">
      <c r="A39" s="11" t="s">
        <v>3</v>
      </c>
      <c r="B39" s="36">
        <f aca="true" t="shared" si="3" ref="B39:B46">SUM(C39:G39)</f>
        <v>426.709</v>
      </c>
      <c r="C39" s="10">
        <v>0</v>
      </c>
      <c r="D39" s="10">
        <v>41.872</v>
      </c>
      <c r="E39" s="10">
        <v>126.94</v>
      </c>
      <c r="F39" s="10">
        <v>128.275</v>
      </c>
      <c r="G39" s="10">
        <v>129.622</v>
      </c>
      <c r="I39" s="10"/>
      <c r="J39" s="10"/>
      <c r="K39" s="10"/>
      <c r="L39" s="10"/>
      <c r="M39" s="10"/>
      <c r="N39" s="10"/>
    </row>
    <row r="40" spans="1:14" ht="11.25">
      <c r="A40" s="11" t="s">
        <v>4</v>
      </c>
      <c r="B40" s="36">
        <f t="shared" si="3"/>
        <v>0</v>
      </c>
      <c r="C40" s="10">
        <v>0</v>
      </c>
      <c r="D40" s="10">
        <v>0</v>
      </c>
      <c r="E40" s="10">
        <v>0</v>
      </c>
      <c r="F40" s="10">
        <v>0</v>
      </c>
      <c r="G40" s="10">
        <v>0</v>
      </c>
      <c r="I40" s="10"/>
      <c r="J40" s="10"/>
      <c r="K40" s="10"/>
      <c r="L40" s="10"/>
      <c r="M40" s="10"/>
      <c r="N40" s="10"/>
    </row>
    <row r="41" spans="1:14" ht="11.25">
      <c r="A41" s="11" t="s">
        <v>5</v>
      </c>
      <c r="B41" s="36">
        <f t="shared" si="3"/>
        <v>0</v>
      </c>
      <c r="C41" s="10">
        <v>0</v>
      </c>
      <c r="D41" s="10">
        <v>0</v>
      </c>
      <c r="E41" s="10">
        <v>0</v>
      </c>
      <c r="F41" s="10">
        <v>0</v>
      </c>
      <c r="G41" s="10">
        <v>0</v>
      </c>
      <c r="I41" s="10"/>
      <c r="J41" s="10"/>
      <c r="K41" s="10"/>
      <c r="L41" s="10"/>
      <c r="M41" s="10"/>
      <c r="N41" s="10"/>
    </row>
    <row r="42" spans="1:14" ht="11.25">
      <c r="A42" s="11" t="s">
        <v>6</v>
      </c>
      <c r="B42" s="36">
        <f t="shared" si="3"/>
        <v>0</v>
      </c>
      <c r="C42" s="10">
        <v>0</v>
      </c>
      <c r="D42" s="10">
        <v>0</v>
      </c>
      <c r="E42" s="10">
        <v>0</v>
      </c>
      <c r="F42" s="10">
        <v>0</v>
      </c>
      <c r="G42" s="10">
        <v>0</v>
      </c>
      <c r="I42" s="10"/>
      <c r="J42" s="10"/>
      <c r="K42" s="10"/>
      <c r="L42" s="10"/>
      <c r="M42" s="10"/>
      <c r="N42" s="10"/>
    </row>
    <row r="43" spans="1:14" ht="11.25">
      <c r="A43" s="11" t="s">
        <v>7</v>
      </c>
      <c r="B43" s="36">
        <f t="shared" si="3"/>
        <v>6.787</v>
      </c>
      <c r="C43" s="10">
        <v>0.667</v>
      </c>
      <c r="D43" s="10">
        <v>1.008</v>
      </c>
      <c r="E43" s="10">
        <v>2.032</v>
      </c>
      <c r="F43" s="10">
        <v>2.048</v>
      </c>
      <c r="G43" s="10">
        <v>1.032</v>
      </c>
      <c r="I43" s="10"/>
      <c r="J43" s="10"/>
      <c r="K43" s="10"/>
      <c r="L43" s="10"/>
      <c r="M43" s="10"/>
      <c r="N43" s="10"/>
    </row>
    <row r="44" spans="1:14" ht="11.25">
      <c r="A44" s="11" t="s">
        <v>8</v>
      </c>
      <c r="B44" s="36">
        <f t="shared" si="3"/>
        <v>0</v>
      </c>
      <c r="C44" s="10">
        <v>0</v>
      </c>
      <c r="D44" s="10">
        <v>0</v>
      </c>
      <c r="E44" s="10">
        <v>0</v>
      </c>
      <c r="F44" s="10">
        <v>0</v>
      </c>
      <c r="G44" s="10">
        <v>0</v>
      </c>
      <c r="I44" s="10"/>
      <c r="J44" s="10"/>
      <c r="K44" s="10"/>
      <c r="L44" s="10"/>
      <c r="M44" s="10"/>
      <c r="N44" s="10"/>
    </row>
    <row r="45" spans="1:14" ht="11.25">
      <c r="A45" s="11" t="s">
        <v>9</v>
      </c>
      <c r="B45" s="36">
        <f t="shared" si="3"/>
        <v>1.026</v>
      </c>
      <c r="C45" s="10">
        <v>1.026</v>
      </c>
      <c r="D45" s="10">
        <v>0</v>
      </c>
      <c r="E45" s="10">
        <v>0</v>
      </c>
      <c r="F45" s="10">
        <v>0</v>
      </c>
      <c r="G45" s="10">
        <v>0</v>
      </c>
      <c r="I45" s="10"/>
      <c r="J45" s="10"/>
      <c r="K45" s="10"/>
      <c r="L45" s="10"/>
      <c r="M45" s="10"/>
      <c r="N45" s="10"/>
    </row>
    <row r="46" spans="1:14" ht="11.25">
      <c r="A46" s="11" t="s">
        <v>25</v>
      </c>
      <c r="B46" s="36">
        <f t="shared" si="3"/>
        <v>434.52200000000005</v>
      </c>
      <c r="C46" s="10">
        <f>SUM(C39:C45)</f>
        <v>1.693</v>
      </c>
      <c r="D46" s="10">
        <f>SUM(D39:D45)</f>
        <v>42.88</v>
      </c>
      <c r="E46" s="10">
        <f>SUM(E39:E45)</f>
        <v>128.972</v>
      </c>
      <c r="F46" s="10">
        <f>SUM(F39:F45)</f>
        <v>130.323</v>
      </c>
      <c r="G46" s="10">
        <f>SUM(G39:G45)</f>
        <v>130.65400000000002</v>
      </c>
      <c r="I46" s="10"/>
      <c r="J46" s="10"/>
      <c r="K46" s="10"/>
      <c r="L46" s="10"/>
      <c r="M46" s="10"/>
      <c r="N46" s="10"/>
    </row>
    <row r="47" spans="1:7" ht="11.25">
      <c r="A47" s="11"/>
      <c r="B47" s="36"/>
      <c r="C47" s="10"/>
      <c r="D47" s="36"/>
      <c r="E47" s="10"/>
      <c r="F47" s="10"/>
      <c r="G47" s="10"/>
    </row>
    <row r="48" spans="1:14" ht="11.25">
      <c r="A48" s="13" t="s">
        <v>29</v>
      </c>
      <c r="C48" s="12"/>
      <c r="D48" s="12"/>
      <c r="E48" s="12"/>
      <c r="F48" s="12"/>
      <c r="G48" s="12"/>
      <c r="J48" s="10"/>
      <c r="K48" s="10"/>
      <c r="L48" s="10"/>
      <c r="M48" s="10"/>
      <c r="N48" s="10"/>
    </row>
    <row r="49" spans="1:14" ht="11.25">
      <c r="A49" s="2" t="s">
        <v>133</v>
      </c>
      <c r="B49" s="36">
        <f>B37</f>
        <v>335.791</v>
      </c>
      <c r="E49" s="12"/>
      <c r="F49" s="12"/>
      <c r="G49" s="12"/>
      <c r="J49" s="10"/>
      <c r="K49" s="10"/>
      <c r="L49" s="10"/>
      <c r="M49" s="10"/>
      <c r="N49" s="10"/>
    </row>
    <row r="50" spans="1:14" ht="11.25">
      <c r="A50" s="2" t="s">
        <v>38</v>
      </c>
      <c r="B50" s="20">
        <v>25</v>
      </c>
      <c r="E50" s="12"/>
      <c r="F50" s="12"/>
      <c r="G50" s="12"/>
      <c r="J50" s="10"/>
      <c r="K50" s="10"/>
      <c r="L50" s="10"/>
      <c r="M50" s="10"/>
      <c r="N50" s="10"/>
    </row>
    <row r="51" spans="1:14" ht="11.25">
      <c r="A51" s="2" t="s">
        <v>39</v>
      </c>
      <c r="B51" s="18">
        <v>5</v>
      </c>
      <c r="E51" s="12"/>
      <c r="F51" s="12"/>
      <c r="G51" s="12"/>
      <c r="J51" s="10"/>
      <c r="K51" s="10"/>
      <c r="L51" s="10"/>
      <c r="M51" s="10"/>
      <c r="N51" s="10"/>
    </row>
    <row r="52" spans="1:14" ht="11.25">
      <c r="A52" s="2" t="s">
        <v>40</v>
      </c>
      <c r="B52" s="20">
        <v>1</v>
      </c>
      <c r="E52" s="12"/>
      <c r="F52" s="12"/>
      <c r="G52" s="12"/>
      <c r="J52" s="10"/>
      <c r="K52" s="10"/>
      <c r="L52" s="10"/>
      <c r="M52" s="10"/>
      <c r="N52" s="10"/>
    </row>
    <row r="53" spans="1:14" ht="11.25">
      <c r="A53" s="2" t="s">
        <v>41</v>
      </c>
      <c r="B53" s="20">
        <f>COUPNUM(B54,B55,B52,1)+1</f>
        <v>20</v>
      </c>
      <c r="E53" s="12"/>
      <c r="F53" s="12"/>
      <c r="G53" s="12"/>
      <c r="J53" s="10"/>
      <c r="K53" s="10"/>
      <c r="L53" s="10"/>
      <c r="M53" s="10"/>
      <c r="N53" s="10"/>
    </row>
    <row r="54" spans="1:14" ht="11.25">
      <c r="A54" s="2" t="s">
        <v>42</v>
      </c>
      <c r="B54" s="21">
        <v>41639</v>
      </c>
      <c r="E54" s="12"/>
      <c r="F54" s="12"/>
      <c r="G54" s="12"/>
      <c r="J54" s="10"/>
      <c r="K54" s="10"/>
      <c r="L54" s="10"/>
      <c r="M54" s="10"/>
      <c r="N54" s="10"/>
    </row>
    <row r="55" spans="1:10" ht="11.25">
      <c r="A55" s="2" t="s">
        <v>43</v>
      </c>
      <c r="B55" s="21">
        <v>48579</v>
      </c>
      <c r="J55" s="10"/>
    </row>
    <row r="56" spans="1:2" ht="11.25">
      <c r="A56" s="2" t="s">
        <v>44</v>
      </c>
      <c r="B56" s="18">
        <v>2008</v>
      </c>
    </row>
    <row r="57" spans="1:2" ht="11.25">
      <c r="A57" s="2" t="s">
        <v>0</v>
      </c>
      <c r="B57" s="22">
        <v>0.1</v>
      </c>
    </row>
    <row r="58" spans="1:27" ht="11.25">
      <c r="A58" s="2" t="s">
        <v>31</v>
      </c>
      <c r="B58" s="23">
        <v>0.0416</v>
      </c>
      <c r="C58" s="5"/>
      <c r="D58" s="5"/>
      <c r="E58" s="5"/>
      <c r="F58" s="5"/>
      <c r="G58" s="5"/>
      <c r="H58" s="5"/>
      <c r="I58" s="5"/>
      <c r="J58" s="5"/>
      <c r="K58" s="5"/>
      <c r="L58" s="5"/>
      <c r="M58" s="5"/>
      <c r="N58" s="5"/>
      <c r="O58" s="5"/>
      <c r="P58" s="5"/>
      <c r="Q58" s="5"/>
      <c r="R58" s="5"/>
      <c r="S58" s="5"/>
      <c r="T58" s="5"/>
      <c r="U58" s="5"/>
      <c r="V58" s="5"/>
      <c r="W58" s="5"/>
      <c r="X58" s="5"/>
      <c r="Y58" s="5"/>
      <c r="Z58" s="5"/>
      <c r="AA58" s="5"/>
    </row>
    <row r="59" spans="1:2" ht="11.25">
      <c r="A59" s="2" t="s">
        <v>30</v>
      </c>
      <c r="B59" s="23">
        <v>0.002</v>
      </c>
    </row>
    <row r="60" spans="1:2" ht="11.25">
      <c r="A60" s="13" t="s">
        <v>45</v>
      </c>
      <c r="B60" s="16"/>
    </row>
    <row r="61" spans="1:2" ht="11.25">
      <c r="A61" s="2" t="s">
        <v>133</v>
      </c>
      <c r="B61" s="36">
        <f>B46</f>
        <v>434.52200000000005</v>
      </c>
    </row>
    <row r="62" spans="1:2" ht="11.25">
      <c r="A62" s="2" t="s">
        <v>38</v>
      </c>
      <c r="B62" s="20">
        <v>30</v>
      </c>
    </row>
    <row r="63" spans="1:2" ht="11.25">
      <c r="A63" s="2" t="s">
        <v>39</v>
      </c>
      <c r="B63" s="18">
        <v>10</v>
      </c>
    </row>
    <row r="64" spans="1:2" ht="11.25">
      <c r="A64" s="2" t="s">
        <v>40</v>
      </c>
      <c r="B64" s="20">
        <v>1</v>
      </c>
    </row>
    <row r="65" spans="1:2" ht="11.25">
      <c r="A65" s="2" t="s">
        <v>41</v>
      </c>
      <c r="B65" s="20">
        <f>COUPNUM(B66,B67,B64,1)+1</f>
        <v>20</v>
      </c>
    </row>
    <row r="66" spans="1:2" ht="11.25">
      <c r="A66" s="2" t="s">
        <v>42</v>
      </c>
      <c r="B66" s="21">
        <v>43465</v>
      </c>
    </row>
    <row r="67" spans="1:2" ht="11.25">
      <c r="A67" s="2" t="s">
        <v>43</v>
      </c>
      <c r="B67" s="21">
        <v>50405</v>
      </c>
    </row>
    <row r="68" spans="1:2" ht="11.25">
      <c r="A68" s="2" t="s">
        <v>44</v>
      </c>
      <c r="B68" s="18">
        <v>2008</v>
      </c>
    </row>
    <row r="69" spans="1:2" ht="11.25">
      <c r="A69" s="2" t="s">
        <v>0</v>
      </c>
      <c r="B69" s="22">
        <v>0.1</v>
      </c>
    </row>
    <row r="70" spans="1:2" ht="11.25">
      <c r="A70" s="2" t="s">
        <v>32</v>
      </c>
      <c r="B70" s="23">
        <v>0.014</v>
      </c>
    </row>
    <row r="71" spans="1:14" ht="11.25">
      <c r="A71" s="13" t="s">
        <v>58</v>
      </c>
      <c r="B71" s="16"/>
      <c r="C71" s="12"/>
      <c r="D71" s="12"/>
      <c r="E71" s="12"/>
      <c r="F71" s="12"/>
      <c r="G71" s="12"/>
      <c r="H71" s="12"/>
      <c r="I71" s="12"/>
      <c r="J71" s="12"/>
      <c r="K71" s="12"/>
      <c r="L71" s="12"/>
      <c r="M71" s="12"/>
      <c r="N71" s="12"/>
    </row>
    <row r="72" spans="1:14" ht="11.25">
      <c r="A72" s="15" t="s">
        <v>57</v>
      </c>
      <c r="B72" s="20">
        <v>30</v>
      </c>
      <c r="C72" s="12"/>
      <c r="D72" s="12"/>
      <c r="E72" s="12"/>
      <c r="F72" s="12"/>
      <c r="G72" s="12"/>
      <c r="H72" s="12"/>
      <c r="I72" s="12"/>
      <c r="J72" s="12"/>
      <c r="K72" s="12"/>
      <c r="L72" s="12"/>
      <c r="M72" s="12"/>
      <c r="N72" s="12"/>
    </row>
    <row r="73" spans="1:14" ht="11.25">
      <c r="A73" s="13" t="s">
        <v>61</v>
      </c>
      <c r="B73" s="24">
        <f>B74+B75</f>
        <v>55</v>
      </c>
      <c r="C73" s="12"/>
      <c r="D73" s="12"/>
      <c r="E73" s="12"/>
      <c r="F73" s="12"/>
      <c r="G73" s="12"/>
      <c r="H73" s="12"/>
      <c r="I73" s="12"/>
      <c r="J73" s="12"/>
      <c r="K73" s="12"/>
      <c r="L73" s="12"/>
      <c r="M73" s="12"/>
      <c r="N73" s="12"/>
    </row>
    <row r="74" spans="1:14" ht="11.25">
      <c r="A74" s="15" t="s">
        <v>60</v>
      </c>
      <c r="B74" s="24">
        <v>23.9</v>
      </c>
      <c r="C74" s="12"/>
      <c r="D74" s="12"/>
      <c r="E74" s="12"/>
      <c r="F74" s="12"/>
      <c r="G74" s="12"/>
      <c r="H74" s="12"/>
      <c r="I74" s="12"/>
      <c r="J74" s="12"/>
      <c r="K74" s="12"/>
      <c r="L74" s="12"/>
      <c r="M74" s="12"/>
      <c r="N74" s="12"/>
    </row>
    <row r="75" spans="1:14" ht="11.25">
      <c r="A75" s="15" t="s">
        <v>62</v>
      </c>
      <c r="B75" s="24">
        <f>55-23.9</f>
        <v>31.1</v>
      </c>
      <c r="C75" s="12"/>
      <c r="D75" s="12"/>
      <c r="E75" s="12"/>
      <c r="F75" s="12"/>
      <c r="G75" s="12"/>
      <c r="H75" s="12"/>
      <c r="I75" s="12"/>
      <c r="J75" s="12"/>
      <c r="K75" s="12"/>
      <c r="L75" s="12"/>
      <c r="M75" s="12"/>
      <c r="N75" s="12"/>
    </row>
    <row r="76" spans="1:14" ht="11.25">
      <c r="A76" s="13" t="s">
        <v>59</v>
      </c>
      <c r="B76" s="16"/>
      <c r="C76" s="12"/>
      <c r="D76" s="12"/>
      <c r="E76" s="12"/>
      <c r="F76" s="12"/>
      <c r="G76" s="12"/>
      <c r="H76" s="12"/>
      <c r="I76" s="12"/>
      <c r="J76" s="12"/>
      <c r="K76" s="12"/>
      <c r="L76" s="12"/>
      <c r="M76" s="12"/>
      <c r="N76" s="12"/>
    </row>
    <row r="77" spans="1:14" ht="11.25">
      <c r="A77" s="15" t="s">
        <v>65</v>
      </c>
      <c r="B77" s="16"/>
      <c r="C77" s="12"/>
      <c r="D77" s="41" t="s">
        <v>67</v>
      </c>
      <c r="E77" s="41" t="s">
        <v>68</v>
      </c>
      <c r="F77" s="41" t="s">
        <v>72</v>
      </c>
      <c r="G77" s="41" t="s">
        <v>71</v>
      </c>
      <c r="H77" s="18"/>
      <c r="I77" s="18"/>
      <c r="J77" s="18"/>
      <c r="K77" s="18"/>
      <c r="L77" s="12"/>
      <c r="M77" s="12"/>
      <c r="N77" s="12"/>
    </row>
    <row r="78" spans="1:14" ht="11.25">
      <c r="A78" s="38" t="s">
        <v>63</v>
      </c>
      <c r="B78" s="16"/>
      <c r="C78" s="6"/>
      <c r="D78" s="6">
        <v>0.085</v>
      </c>
      <c r="E78" s="6">
        <v>0.064</v>
      </c>
      <c r="F78" s="6">
        <v>0</v>
      </c>
      <c r="G78" s="6">
        <v>0</v>
      </c>
      <c r="H78" s="7">
        <v>3913</v>
      </c>
      <c r="I78" s="7"/>
      <c r="J78" s="7"/>
      <c r="K78" s="7"/>
      <c r="L78" s="12"/>
      <c r="M78" s="12"/>
      <c r="N78" s="12"/>
    </row>
    <row r="79" spans="1:14" ht="11.25">
      <c r="A79" s="38" t="s">
        <v>134</v>
      </c>
      <c r="B79" s="16"/>
      <c r="C79" s="6"/>
      <c r="D79" s="6">
        <f>$D$78</f>
        <v>0.085</v>
      </c>
      <c r="E79" s="6">
        <f>$E$78</f>
        <v>0.064</v>
      </c>
      <c r="F79" s="6">
        <f>$F$78</f>
        <v>0</v>
      </c>
      <c r="G79" s="6">
        <f>$G$78</f>
        <v>0</v>
      </c>
      <c r="H79" s="7">
        <v>4534</v>
      </c>
      <c r="I79" s="7"/>
      <c r="J79" s="7"/>
      <c r="K79" s="7"/>
      <c r="L79" s="12"/>
      <c r="M79" s="12"/>
      <c r="N79" s="12"/>
    </row>
    <row r="80" spans="1:14" ht="11.25">
      <c r="A80" s="38" t="s">
        <v>135</v>
      </c>
      <c r="B80" s="16"/>
      <c r="C80" s="6"/>
      <c r="D80" s="6">
        <f>$D$78</f>
        <v>0.085</v>
      </c>
      <c r="E80" s="6">
        <f>$E$78</f>
        <v>0.064</v>
      </c>
      <c r="F80" s="6">
        <f>$F$78</f>
        <v>0</v>
      </c>
      <c r="G80" s="6">
        <f>$G$78</f>
        <v>0</v>
      </c>
      <c r="H80" s="7">
        <v>1828</v>
      </c>
      <c r="I80" s="7"/>
      <c r="J80" s="7"/>
      <c r="K80" s="7"/>
      <c r="L80" s="12"/>
      <c r="M80" s="12"/>
      <c r="N80" s="12"/>
    </row>
    <row r="81" spans="1:14" ht="11.25">
      <c r="A81" s="38" t="s">
        <v>136</v>
      </c>
      <c r="B81" s="16"/>
      <c r="C81" s="6"/>
      <c r="D81" s="6">
        <f>$D$78</f>
        <v>0.085</v>
      </c>
      <c r="E81" s="6">
        <f>$E$78</f>
        <v>0.064</v>
      </c>
      <c r="F81" s="6">
        <f>$F$78</f>
        <v>0</v>
      </c>
      <c r="G81" s="6">
        <f>$G$78</f>
        <v>0</v>
      </c>
      <c r="H81" s="7">
        <v>2795</v>
      </c>
      <c r="I81" s="7"/>
      <c r="J81" s="7"/>
      <c r="K81" s="7"/>
      <c r="L81" s="12"/>
      <c r="M81" s="12"/>
      <c r="N81" s="12"/>
    </row>
    <row r="82" spans="1:14" ht="11.25">
      <c r="A82" s="38" t="s">
        <v>137</v>
      </c>
      <c r="B82" s="16"/>
      <c r="C82" s="6"/>
      <c r="D82" s="6">
        <f>$D$78</f>
        <v>0.085</v>
      </c>
      <c r="E82" s="6">
        <f>$E$78</f>
        <v>0.064</v>
      </c>
      <c r="F82" s="6">
        <f>$F$78</f>
        <v>0</v>
      </c>
      <c r="G82" s="6">
        <f>$G$78</f>
        <v>0</v>
      </c>
      <c r="H82" s="7">
        <v>2301</v>
      </c>
      <c r="I82" s="7"/>
      <c r="J82" s="7"/>
      <c r="K82" s="7"/>
      <c r="L82" s="12"/>
      <c r="M82" s="12"/>
      <c r="N82" s="12"/>
    </row>
    <row r="83" spans="1:14" ht="11.25">
      <c r="A83" s="38" t="s">
        <v>138</v>
      </c>
      <c r="B83" s="16"/>
      <c r="C83" s="6"/>
      <c r="D83" s="6">
        <f>$D$78</f>
        <v>0.085</v>
      </c>
      <c r="E83" s="6">
        <f>$E$78</f>
        <v>0.064</v>
      </c>
      <c r="F83" s="6">
        <f>$F$78</f>
        <v>0</v>
      </c>
      <c r="G83" s="6">
        <f>$G$78</f>
        <v>0</v>
      </c>
      <c r="H83" s="7">
        <v>1830</v>
      </c>
      <c r="I83" s="7"/>
      <c r="J83" s="7"/>
      <c r="K83" s="7"/>
      <c r="L83" s="12"/>
      <c r="M83" s="12"/>
      <c r="N83" s="12"/>
    </row>
    <row r="84" spans="1:14" ht="11.25">
      <c r="A84" s="15" t="s">
        <v>66</v>
      </c>
      <c r="B84" s="16"/>
      <c r="C84" s="12"/>
      <c r="D84" s="6"/>
      <c r="E84" s="6"/>
      <c r="F84" s="6"/>
      <c r="G84" s="6"/>
      <c r="H84" s="12"/>
      <c r="I84" s="12"/>
      <c r="J84" s="12"/>
      <c r="K84" s="12"/>
      <c r="L84" s="12"/>
      <c r="M84" s="12"/>
      <c r="N84" s="12"/>
    </row>
    <row r="85" spans="1:14" ht="11.25">
      <c r="A85" s="38" t="s">
        <v>63</v>
      </c>
      <c r="B85" s="16"/>
      <c r="C85" s="6"/>
      <c r="D85" s="6">
        <v>0.081</v>
      </c>
      <c r="E85" s="6">
        <v>0.066</v>
      </c>
      <c r="F85" s="6">
        <v>0.056</v>
      </c>
      <c r="G85" s="6">
        <v>0</v>
      </c>
      <c r="H85" s="7">
        <v>1874</v>
      </c>
      <c r="I85" s="7"/>
      <c r="J85" s="7"/>
      <c r="K85" s="7"/>
      <c r="L85" s="12"/>
      <c r="M85" s="12"/>
      <c r="N85" s="12"/>
    </row>
    <row r="86" spans="1:14" ht="11.25">
      <c r="A86" s="38" t="s">
        <v>134</v>
      </c>
      <c r="B86" s="16"/>
      <c r="C86" s="6"/>
      <c r="D86" s="6">
        <f>$D$85</f>
        <v>0.081</v>
      </c>
      <c r="E86" s="6">
        <f>$E$85</f>
        <v>0.066</v>
      </c>
      <c r="F86" s="6">
        <f>$F$85</f>
        <v>0.056</v>
      </c>
      <c r="G86" s="6">
        <f>$G$85</f>
        <v>0</v>
      </c>
      <c r="H86" s="7">
        <v>2770</v>
      </c>
      <c r="I86" s="7"/>
      <c r="J86" s="7"/>
      <c r="K86" s="7"/>
      <c r="L86" s="12"/>
      <c r="M86" s="12"/>
      <c r="N86" s="12"/>
    </row>
    <row r="87" spans="1:14" ht="11.25">
      <c r="A87" s="38" t="s">
        <v>135</v>
      </c>
      <c r="B87" s="16"/>
      <c r="C87" s="6"/>
      <c r="D87" s="6">
        <f>$D$85</f>
        <v>0.081</v>
      </c>
      <c r="E87" s="6">
        <f>$E$85</f>
        <v>0.066</v>
      </c>
      <c r="F87" s="6">
        <f>$F$85</f>
        <v>0.056</v>
      </c>
      <c r="G87" s="6">
        <f>$G$85</f>
        <v>0</v>
      </c>
      <c r="H87" s="7">
        <v>1273</v>
      </c>
      <c r="I87" s="7"/>
      <c r="J87" s="7"/>
      <c r="K87" s="7"/>
      <c r="L87" s="12"/>
      <c r="M87" s="12"/>
      <c r="N87" s="12"/>
    </row>
    <row r="88" spans="1:14" ht="11.25">
      <c r="A88" s="38" t="s">
        <v>136</v>
      </c>
      <c r="B88" s="16"/>
      <c r="C88" s="6"/>
      <c r="D88" s="6">
        <f>$D$85</f>
        <v>0.081</v>
      </c>
      <c r="E88" s="6">
        <f>$E$85</f>
        <v>0.066</v>
      </c>
      <c r="F88" s="6">
        <f>$F$85</f>
        <v>0.056</v>
      </c>
      <c r="G88" s="6">
        <f>$G$85</f>
        <v>0</v>
      </c>
      <c r="H88" s="7">
        <v>2075</v>
      </c>
      <c r="I88" s="7"/>
      <c r="J88" s="7"/>
      <c r="K88" s="7"/>
      <c r="L88" s="12"/>
      <c r="M88" s="12"/>
      <c r="N88" s="12"/>
    </row>
    <row r="89" spans="1:14" ht="11.25">
      <c r="A89" s="38" t="s">
        <v>137</v>
      </c>
      <c r="B89" s="16"/>
      <c r="C89" s="6"/>
      <c r="D89" s="6">
        <f>$D$85</f>
        <v>0.081</v>
      </c>
      <c r="E89" s="6">
        <f>$E$85</f>
        <v>0.066</v>
      </c>
      <c r="F89" s="6">
        <f>$F$85</f>
        <v>0.056</v>
      </c>
      <c r="G89" s="6">
        <f>$G$85</f>
        <v>0</v>
      </c>
      <c r="H89" s="7">
        <v>2149</v>
      </c>
      <c r="I89" s="7"/>
      <c r="J89" s="7"/>
      <c r="K89" s="7"/>
      <c r="L89" s="12"/>
      <c r="M89" s="12"/>
      <c r="N89" s="12"/>
    </row>
    <row r="90" spans="1:14" ht="11.25">
      <c r="A90" s="38" t="s">
        <v>138</v>
      </c>
      <c r="B90" s="16"/>
      <c r="C90" s="6"/>
      <c r="D90" s="6">
        <f>$D$85</f>
        <v>0.081</v>
      </c>
      <c r="E90" s="6">
        <f>$E$85</f>
        <v>0.066</v>
      </c>
      <c r="F90" s="6">
        <f>$F$85</f>
        <v>0.056</v>
      </c>
      <c r="G90" s="6">
        <f>$G$85</f>
        <v>0</v>
      </c>
      <c r="H90" s="7">
        <v>1337</v>
      </c>
      <c r="I90" s="7"/>
      <c r="J90" s="7"/>
      <c r="K90" s="7"/>
      <c r="L90" s="12"/>
      <c r="M90" s="12"/>
      <c r="N90" s="12"/>
    </row>
    <row r="91" spans="1:14" ht="11.25">
      <c r="A91" s="39" t="s">
        <v>64</v>
      </c>
      <c r="B91" s="16"/>
      <c r="C91" s="12"/>
      <c r="D91" s="12"/>
      <c r="E91" s="12"/>
      <c r="F91" s="12"/>
      <c r="G91" s="12"/>
      <c r="H91" s="12"/>
      <c r="I91" s="12"/>
      <c r="J91" s="12"/>
      <c r="K91" s="12"/>
      <c r="L91" s="12"/>
      <c r="M91" s="12"/>
      <c r="N91" s="12"/>
    </row>
    <row r="92" spans="1:14" ht="11.25">
      <c r="A92" s="38" t="s">
        <v>63</v>
      </c>
      <c r="B92" s="16">
        <v>1</v>
      </c>
      <c r="C92" s="12"/>
      <c r="D92" s="12"/>
      <c r="E92" s="12"/>
      <c r="F92" s="12"/>
      <c r="G92" s="12"/>
      <c r="H92" s="12"/>
      <c r="I92" s="12"/>
      <c r="J92" s="12"/>
      <c r="K92" s="12"/>
      <c r="L92" s="12"/>
      <c r="M92" s="12"/>
      <c r="N92" s="12"/>
    </row>
    <row r="93" spans="1:14" ht="11.25">
      <c r="A93" s="38" t="s">
        <v>134</v>
      </c>
      <c r="B93" s="16">
        <v>2</v>
      </c>
      <c r="C93" s="12"/>
      <c r="D93" s="12"/>
      <c r="E93" s="12"/>
      <c r="F93" s="12"/>
      <c r="G93" s="12"/>
      <c r="H93" s="12"/>
      <c r="I93" s="12"/>
      <c r="J93" s="12"/>
      <c r="K93" s="12"/>
      <c r="L93" s="12"/>
      <c r="M93" s="12"/>
      <c r="N93" s="12"/>
    </row>
    <row r="94" spans="1:14" ht="11.25">
      <c r="A94" s="38" t="s">
        <v>135</v>
      </c>
      <c r="B94" s="16">
        <v>3</v>
      </c>
      <c r="C94" s="12"/>
      <c r="D94" s="12"/>
      <c r="E94" s="12"/>
      <c r="F94" s="12"/>
      <c r="G94" s="12"/>
      <c r="H94" s="12"/>
      <c r="I94" s="12"/>
      <c r="J94" s="12"/>
      <c r="K94" s="12"/>
      <c r="L94" s="12"/>
      <c r="M94" s="12"/>
      <c r="N94" s="12"/>
    </row>
    <row r="95" spans="1:14" ht="11.25">
      <c r="A95" s="38" t="s">
        <v>136</v>
      </c>
      <c r="B95" s="16">
        <v>2</v>
      </c>
      <c r="C95" s="12"/>
      <c r="D95" s="12"/>
      <c r="E95" s="12"/>
      <c r="F95" s="12"/>
      <c r="G95" s="12"/>
      <c r="H95" s="12"/>
      <c r="I95" s="12"/>
      <c r="J95" s="12"/>
      <c r="K95" s="12"/>
      <c r="L95" s="12"/>
      <c r="M95" s="12"/>
      <c r="N95" s="12"/>
    </row>
    <row r="96" spans="1:14" ht="11.25">
      <c r="A96" s="38" t="s">
        <v>137</v>
      </c>
      <c r="B96" s="16">
        <v>2.5</v>
      </c>
      <c r="C96" s="12"/>
      <c r="D96" s="12"/>
      <c r="E96" s="12"/>
      <c r="F96" s="12"/>
      <c r="G96" s="12"/>
      <c r="H96" s="12"/>
      <c r="I96" s="12"/>
      <c r="J96" s="12"/>
      <c r="K96" s="12"/>
      <c r="L96" s="12"/>
      <c r="M96" s="12"/>
      <c r="N96" s="12"/>
    </row>
    <row r="97" spans="1:14" ht="11.25">
      <c r="A97" s="38" t="s">
        <v>138</v>
      </c>
      <c r="B97" s="16">
        <v>3</v>
      </c>
      <c r="C97" s="12"/>
      <c r="D97" s="12"/>
      <c r="E97" s="12"/>
      <c r="F97" s="12"/>
      <c r="G97" s="12"/>
      <c r="H97" s="12"/>
      <c r="I97" s="12"/>
      <c r="J97" s="12"/>
      <c r="K97" s="12"/>
      <c r="L97" s="12"/>
      <c r="M97" s="12"/>
      <c r="N97" s="12"/>
    </row>
    <row r="98" spans="1:14" ht="11.25">
      <c r="A98" s="39" t="s">
        <v>74</v>
      </c>
      <c r="B98" s="20">
        <v>900</v>
      </c>
      <c r="C98" s="12"/>
      <c r="D98" s="12"/>
      <c r="E98" s="12"/>
      <c r="F98" s="12"/>
      <c r="G98" s="12"/>
      <c r="H98" s="12"/>
      <c r="I98" s="12"/>
      <c r="J98" s="12"/>
      <c r="K98" s="12"/>
      <c r="L98" s="12"/>
      <c r="M98" s="12"/>
      <c r="N98" s="12"/>
    </row>
    <row r="99" spans="1:14" ht="11.25">
      <c r="A99" s="39" t="s">
        <v>75</v>
      </c>
      <c r="B99" s="28">
        <v>0.1</v>
      </c>
      <c r="C99" s="12"/>
      <c r="D99" s="12"/>
      <c r="E99" s="12"/>
      <c r="F99" s="12"/>
      <c r="G99" s="12"/>
      <c r="H99" s="12"/>
      <c r="I99" s="12"/>
      <c r="J99" s="12"/>
      <c r="K99" s="12"/>
      <c r="L99" s="12"/>
      <c r="M99" s="12"/>
      <c r="N99" s="12"/>
    </row>
    <row r="100" spans="1:14" ht="11.25">
      <c r="A100" s="40" t="s">
        <v>81</v>
      </c>
      <c r="B100" s="16"/>
      <c r="C100" s="12"/>
      <c r="D100" s="12"/>
      <c r="E100" s="12"/>
      <c r="F100" s="12"/>
      <c r="G100" s="12"/>
      <c r="H100" s="12"/>
      <c r="I100" s="12"/>
      <c r="J100" s="12"/>
      <c r="K100" s="12"/>
      <c r="L100" s="12"/>
      <c r="M100" s="12"/>
      <c r="N100" s="12"/>
    </row>
    <row r="101" spans="1:14" ht="11.25">
      <c r="A101" s="38" t="s">
        <v>129</v>
      </c>
      <c r="B101" s="16">
        <v>1000</v>
      </c>
      <c r="C101" s="12"/>
      <c r="D101" s="12"/>
      <c r="E101" s="12"/>
      <c r="F101" s="12"/>
      <c r="G101" s="12"/>
      <c r="H101" s="12"/>
      <c r="I101" s="12"/>
      <c r="J101" s="12"/>
      <c r="K101" s="12"/>
      <c r="L101" s="12"/>
      <c r="M101" s="12"/>
      <c r="N101" s="12"/>
    </row>
    <row r="102" spans="1:14" ht="11.25">
      <c r="A102" s="11" t="s">
        <v>127</v>
      </c>
      <c r="B102" s="16">
        <f>3000*B73*$B$7/10^9</f>
        <v>2.64</v>
      </c>
      <c r="C102" s="12"/>
      <c r="D102" s="12"/>
      <c r="E102" s="12"/>
      <c r="F102" s="12"/>
      <c r="G102" s="12"/>
      <c r="H102" s="12"/>
      <c r="I102" s="12"/>
      <c r="J102" s="12"/>
      <c r="K102" s="12"/>
      <c r="L102" s="12"/>
      <c r="M102" s="12"/>
      <c r="N102" s="12"/>
    </row>
    <row r="103" spans="1:14" ht="11.25">
      <c r="A103" s="11" t="s">
        <v>128</v>
      </c>
      <c r="B103" s="16">
        <f>0.25*B73*$B$7/1000</f>
        <v>220</v>
      </c>
      <c r="C103" s="12"/>
      <c r="D103" s="12"/>
      <c r="E103" s="12"/>
      <c r="F103" s="12"/>
      <c r="G103" s="12"/>
      <c r="H103" s="12"/>
      <c r="I103" s="12"/>
      <c r="J103" s="12"/>
      <c r="K103" s="12"/>
      <c r="L103" s="12"/>
      <c r="M103" s="12"/>
      <c r="N103" s="12"/>
    </row>
    <row r="104" spans="1:14" ht="11.25">
      <c r="A104" s="15" t="s">
        <v>93</v>
      </c>
      <c r="B104" s="28">
        <v>0.25</v>
      </c>
      <c r="C104" s="12"/>
      <c r="D104" s="12"/>
      <c r="E104" s="12"/>
      <c r="F104" s="12"/>
      <c r="G104" s="12"/>
      <c r="H104" s="12"/>
      <c r="I104" s="12"/>
      <c r="J104" s="12"/>
      <c r="K104" s="12"/>
      <c r="L104" s="12"/>
      <c r="M104" s="12"/>
      <c r="N104" s="12"/>
    </row>
    <row r="105" spans="1:14" ht="11.25">
      <c r="A105" s="2" t="s">
        <v>140</v>
      </c>
      <c r="B105" s="2">
        <v>2</v>
      </c>
      <c r="C105" s="12"/>
      <c r="D105" s="12"/>
      <c r="E105" s="12"/>
      <c r="F105" s="12"/>
      <c r="G105" s="12"/>
      <c r="H105" s="12"/>
      <c r="I105" s="12"/>
      <c r="J105" s="12"/>
      <c r="K105" s="12"/>
      <c r="L105" s="12"/>
      <c r="M105" s="12"/>
      <c r="N105" s="12"/>
    </row>
    <row r="106" spans="1:14" ht="11.25">
      <c r="A106" s="2" t="s">
        <v>142</v>
      </c>
      <c r="B106" s="42">
        <v>0</v>
      </c>
      <c r="C106" s="12"/>
      <c r="D106" s="12"/>
      <c r="E106" s="12"/>
      <c r="F106" s="12"/>
      <c r="G106" s="12"/>
      <c r="H106" s="12"/>
      <c r="I106" s="12"/>
      <c r="J106" s="12"/>
      <c r="K106" s="12"/>
      <c r="L106" s="12"/>
      <c r="M106" s="12"/>
      <c r="N106" s="12"/>
    </row>
    <row r="107" spans="1:14" ht="11.25">
      <c r="A107" s="15" t="s">
        <v>141</v>
      </c>
      <c r="B107" s="20">
        <v>3</v>
      </c>
      <c r="C107" s="12"/>
      <c r="D107" s="12"/>
      <c r="E107" s="12"/>
      <c r="F107" s="12"/>
      <c r="G107" s="12"/>
      <c r="H107" s="12"/>
      <c r="I107" s="12"/>
      <c r="J107" s="12"/>
      <c r="K107" s="12"/>
      <c r="L107" s="12"/>
      <c r="M107" s="12"/>
      <c r="N107" s="12"/>
    </row>
    <row r="108" spans="1:14" ht="11.25">
      <c r="A108" s="15" t="s">
        <v>143</v>
      </c>
      <c r="B108" s="32">
        <f>B104*0.5</f>
        <v>0.125</v>
      </c>
      <c r="C108" s="12"/>
      <c r="D108" s="12"/>
      <c r="E108" s="12"/>
      <c r="F108" s="12"/>
      <c r="G108" s="12"/>
      <c r="H108" s="12"/>
      <c r="I108" s="12"/>
      <c r="J108" s="12"/>
      <c r="K108" s="12"/>
      <c r="L108" s="12"/>
      <c r="M108" s="12"/>
      <c r="N108" s="12"/>
    </row>
    <row r="109" spans="1:14" ht="11.25">
      <c r="A109" s="15" t="s">
        <v>139</v>
      </c>
      <c r="B109" s="20">
        <v>5</v>
      </c>
      <c r="C109" s="12"/>
      <c r="D109" s="12"/>
      <c r="E109" s="12"/>
      <c r="F109" s="12"/>
      <c r="G109" s="12"/>
      <c r="H109" s="12"/>
      <c r="I109" s="12"/>
      <c r="J109" s="12"/>
      <c r="K109" s="12"/>
      <c r="L109" s="12"/>
      <c r="M109" s="12"/>
      <c r="N109" s="12"/>
    </row>
    <row r="110" spans="1:14" ht="11.25">
      <c r="A110" s="15" t="s">
        <v>104</v>
      </c>
      <c r="B110" s="32">
        <v>0.1</v>
      </c>
      <c r="C110" s="12"/>
      <c r="D110" s="12"/>
      <c r="E110" s="12"/>
      <c r="F110" s="12"/>
      <c r="G110" s="12"/>
      <c r="H110" s="12"/>
      <c r="I110" s="12"/>
      <c r="J110" s="12"/>
      <c r="K110" s="12"/>
      <c r="L110" s="12"/>
      <c r="M110" s="12"/>
      <c r="N110" s="12"/>
    </row>
    <row r="111" spans="1:14" ht="11.25">
      <c r="A111" s="15" t="s">
        <v>105</v>
      </c>
      <c r="B111" s="32">
        <v>0.12</v>
      </c>
      <c r="C111" s="12"/>
      <c r="D111" s="12"/>
      <c r="E111" s="12"/>
      <c r="F111" s="12"/>
      <c r="G111" s="12"/>
      <c r="H111" s="12"/>
      <c r="I111" s="12"/>
      <c r="J111" s="12"/>
      <c r="K111" s="12"/>
      <c r="L111" s="12"/>
      <c r="M111" s="12"/>
      <c r="N111" s="12"/>
    </row>
    <row r="112" spans="1:14" ht="11.25">
      <c r="A112" s="15" t="s">
        <v>120</v>
      </c>
      <c r="B112" s="16">
        <v>1.2</v>
      </c>
      <c r="C112" s="12"/>
      <c r="D112" s="12"/>
      <c r="E112" s="12"/>
      <c r="F112" s="12"/>
      <c r="G112" s="12"/>
      <c r="H112" s="12"/>
      <c r="I112" s="12"/>
      <c r="J112" s="12"/>
      <c r="K112" s="12"/>
      <c r="L112" s="12"/>
      <c r="M112" s="12"/>
      <c r="N112" s="12"/>
    </row>
    <row r="113" spans="1:14" ht="11.25">
      <c r="A113" s="11"/>
      <c r="B113" s="16"/>
      <c r="C113" s="12"/>
      <c r="D113" s="12"/>
      <c r="E113" s="12"/>
      <c r="F113" s="12"/>
      <c r="G113" s="12"/>
      <c r="H113" s="12"/>
      <c r="I113" s="12"/>
      <c r="J113" s="12"/>
      <c r="K113" s="12"/>
      <c r="L113" s="12"/>
      <c r="M113" s="12"/>
      <c r="N113" s="12"/>
    </row>
    <row r="114" spans="1:14" s="27" customFormat="1" ht="11.25">
      <c r="A114" s="34" t="s">
        <v>46</v>
      </c>
      <c r="B114" s="35"/>
      <c r="C114" s="35"/>
      <c r="D114" s="35"/>
      <c r="E114" s="35"/>
      <c r="F114" s="35"/>
      <c r="G114" s="35"/>
      <c r="H114" s="35"/>
      <c r="I114" s="35"/>
      <c r="J114" s="35"/>
      <c r="K114" s="35"/>
      <c r="L114" s="35"/>
      <c r="M114" s="35"/>
      <c r="N114" s="35"/>
    </row>
    <row r="115" spans="1:14" ht="11.25">
      <c r="A115" s="13" t="s">
        <v>16</v>
      </c>
      <c r="B115" s="16"/>
      <c r="C115" s="12"/>
      <c r="D115" s="12"/>
      <c r="E115" s="12"/>
      <c r="F115" s="12"/>
      <c r="G115" s="12"/>
      <c r="H115" s="12"/>
      <c r="I115" s="12"/>
      <c r="J115" s="12"/>
      <c r="K115" s="12"/>
      <c r="L115" s="12"/>
      <c r="M115" s="12"/>
      <c r="N115" s="12"/>
    </row>
    <row r="116" spans="1:37" ht="11.25">
      <c r="A116" s="11" t="s">
        <v>20</v>
      </c>
      <c r="B116" s="25">
        <v>1</v>
      </c>
      <c r="C116" s="9">
        <f aca="true" t="shared" si="4" ref="C116:AK117">B116*(1+C5)</f>
        <v>1.199</v>
      </c>
      <c r="D116" s="9">
        <f t="shared" si="4"/>
        <v>1.2805320000000002</v>
      </c>
      <c r="E116" s="9">
        <f t="shared" si="4"/>
        <v>1.3829745600000003</v>
      </c>
      <c r="F116" s="9">
        <f t="shared" si="4"/>
        <v>1.4797827792000005</v>
      </c>
      <c r="G116" s="9">
        <f t="shared" si="4"/>
        <v>1.5685697459520005</v>
      </c>
      <c r="H116" s="9">
        <f t="shared" si="4"/>
        <v>1.6469982332496005</v>
      </c>
      <c r="I116" s="9">
        <f t="shared" si="4"/>
        <v>1.7293481449120807</v>
      </c>
      <c r="J116" s="9">
        <f t="shared" si="4"/>
        <v>1.8158155521576849</v>
      </c>
      <c r="K116" s="9">
        <f t="shared" si="4"/>
        <v>1.906606329765569</v>
      </c>
      <c r="L116" s="9">
        <f t="shared" si="4"/>
        <v>2.0019366462538475</v>
      </c>
      <c r="M116" s="9">
        <f t="shared" si="4"/>
        <v>2.1020334785665398</v>
      </c>
      <c r="N116" s="9">
        <f t="shared" si="4"/>
        <v>2.207135152494867</v>
      </c>
      <c r="O116" s="9">
        <f t="shared" si="4"/>
        <v>2.3174919101196103</v>
      </c>
      <c r="P116" s="9">
        <f t="shared" si="4"/>
        <v>2.433366505625591</v>
      </c>
      <c r="Q116" s="9">
        <f t="shared" si="4"/>
        <v>2.555034830906871</v>
      </c>
      <c r="R116" s="9">
        <f t="shared" si="4"/>
        <v>2.6827865724522146</v>
      </c>
      <c r="S116" s="9">
        <f t="shared" si="4"/>
        <v>2.8169259010748253</v>
      </c>
      <c r="T116" s="9">
        <f t="shared" si="4"/>
        <v>2.9577721961285666</v>
      </c>
      <c r="U116" s="9">
        <f t="shared" si="4"/>
        <v>3.105660805934995</v>
      </c>
      <c r="V116" s="9">
        <f t="shared" si="4"/>
        <v>3.260943846231745</v>
      </c>
      <c r="W116" s="9">
        <f t="shared" si="4"/>
        <v>3.423991038543332</v>
      </c>
      <c r="X116" s="9">
        <f t="shared" si="4"/>
        <v>3.595190590470499</v>
      </c>
      <c r="Y116" s="9">
        <f t="shared" si="4"/>
        <v>3.774950119994024</v>
      </c>
      <c r="Z116" s="9">
        <f t="shared" si="4"/>
        <v>3.9636976259937255</v>
      </c>
      <c r="AA116" s="9">
        <f t="shared" si="4"/>
        <v>4.161882507293412</v>
      </c>
      <c r="AB116" s="9">
        <f t="shared" si="4"/>
        <v>4.369976632658083</v>
      </c>
      <c r="AC116" s="9">
        <f t="shared" si="4"/>
        <v>4.588475464290987</v>
      </c>
      <c r="AD116" s="9">
        <f t="shared" si="4"/>
        <v>4.817899237505537</v>
      </c>
      <c r="AE116" s="9">
        <f t="shared" si="4"/>
        <v>5.058794199380814</v>
      </c>
      <c r="AF116" s="9">
        <f t="shared" si="4"/>
        <v>5.311733909349855</v>
      </c>
      <c r="AG116" s="9">
        <f t="shared" si="4"/>
        <v>5.5773206048173485</v>
      </c>
      <c r="AH116" s="9">
        <f t="shared" si="4"/>
        <v>5.856186635058216</v>
      </c>
      <c r="AI116" s="9">
        <f t="shared" si="4"/>
        <v>6.148995966811127</v>
      </c>
      <c r="AJ116" s="9">
        <f t="shared" si="4"/>
        <v>6.456445765151684</v>
      </c>
      <c r="AK116" s="9">
        <f t="shared" si="4"/>
        <v>6.779268053409268</v>
      </c>
    </row>
    <row r="117" spans="1:37" ht="11.25">
      <c r="A117" s="11" t="s">
        <v>21</v>
      </c>
      <c r="B117" s="25">
        <v>1</v>
      </c>
      <c r="C117" s="9">
        <f t="shared" si="4"/>
        <v>1.008</v>
      </c>
      <c r="D117" s="9">
        <f t="shared" si="4"/>
        <v>1.016064</v>
      </c>
      <c r="E117" s="9">
        <f t="shared" si="4"/>
        <v>1.0241925120000002</v>
      </c>
      <c r="F117" s="9">
        <f t="shared" si="4"/>
        <v>1.0323860520960002</v>
      </c>
      <c r="G117" s="9">
        <f t="shared" si="4"/>
        <v>1.0406451405127681</v>
      </c>
      <c r="H117" s="9">
        <f t="shared" si="4"/>
        <v>1.0489703016368703</v>
      </c>
      <c r="I117" s="9">
        <f t="shared" si="4"/>
        <v>1.0573620640499652</v>
      </c>
      <c r="J117" s="9">
        <f t="shared" si="4"/>
        <v>1.065820960562365</v>
      </c>
      <c r="K117" s="9">
        <f t="shared" si="4"/>
        <v>1.074347528246864</v>
      </c>
      <c r="L117" s="9">
        <f t="shared" si="4"/>
        <v>1.082942308472839</v>
      </c>
      <c r="M117" s="9">
        <f t="shared" si="4"/>
        <v>1.0916058469406216</v>
      </c>
      <c r="N117" s="9">
        <f t="shared" si="4"/>
        <v>1.1003386937161466</v>
      </c>
      <c r="O117" s="9">
        <f t="shared" si="4"/>
        <v>1.1091414032658757</v>
      </c>
      <c r="P117" s="9">
        <f t="shared" si="4"/>
        <v>1.1180145344920027</v>
      </c>
      <c r="Q117" s="9">
        <f t="shared" si="4"/>
        <v>1.1269586507679388</v>
      </c>
      <c r="R117" s="9">
        <f t="shared" si="4"/>
        <v>1.1359743199740824</v>
      </c>
      <c r="S117" s="9">
        <f t="shared" si="4"/>
        <v>1.145062114533875</v>
      </c>
      <c r="T117" s="9">
        <f t="shared" si="4"/>
        <v>1.1542226114501462</v>
      </c>
      <c r="U117" s="9">
        <f t="shared" si="4"/>
        <v>1.1634563923417474</v>
      </c>
      <c r="V117" s="9">
        <f t="shared" si="4"/>
        <v>1.1727640434804814</v>
      </c>
      <c r="W117" s="9">
        <f t="shared" si="4"/>
        <v>1.1821461558283253</v>
      </c>
      <c r="X117" s="9">
        <f t="shared" si="4"/>
        <v>1.1916033250749518</v>
      </c>
      <c r="Y117" s="9">
        <f t="shared" si="4"/>
        <v>1.2011361516755514</v>
      </c>
      <c r="Z117" s="9">
        <f t="shared" si="4"/>
        <v>1.2107452408889559</v>
      </c>
      <c r="AA117" s="9">
        <f t="shared" si="4"/>
        <v>1.2204312028160675</v>
      </c>
      <c r="AB117" s="9">
        <f t="shared" si="4"/>
        <v>1.230194652438596</v>
      </c>
      <c r="AC117" s="9">
        <f t="shared" si="4"/>
        <v>1.2400362096581048</v>
      </c>
      <c r="AD117" s="9">
        <f t="shared" si="4"/>
        <v>1.2499564993353696</v>
      </c>
      <c r="AE117" s="9">
        <f t="shared" si="4"/>
        <v>1.2599561513300526</v>
      </c>
      <c r="AF117" s="9">
        <f t="shared" si="4"/>
        <v>1.270035800540693</v>
      </c>
      <c r="AG117" s="9">
        <f t="shared" si="4"/>
        <v>1.2801960869450186</v>
      </c>
      <c r="AH117" s="9">
        <f t="shared" si="4"/>
        <v>1.2904376556405788</v>
      </c>
      <c r="AI117" s="9">
        <f t="shared" si="4"/>
        <v>1.3007611568857034</v>
      </c>
      <c r="AJ117" s="9">
        <f t="shared" si="4"/>
        <v>1.311167246140789</v>
      </c>
      <c r="AK117" s="9">
        <f t="shared" si="4"/>
        <v>1.3216565841099153</v>
      </c>
    </row>
    <row r="118" spans="1:37" ht="11.25">
      <c r="A118" s="11" t="s">
        <v>19</v>
      </c>
      <c r="B118" s="20">
        <f>B7</f>
        <v>16000</v>
      </c>
      <c r="C118" s="20">
        <f>C7</f>
        <v>16500</v>
      </c>
      <c r="D118" s="20">
        <f>D7</f>
        <v>17800</v>
      </c>
      <c r="E118" s="7">
        <f aca="true" t="shared" si="5" ref="E118:AK118">D118*(1+E5)/(1+E6)</f>
        <v>19071.428571428572</v>
      </c>
      <c r="F118" s="7">
        <f t="shared" si="5"/>
        <v>20244.472789115647</v>
      </c>
      <c r="G118" s="7">
        <f t="shared" si="5"/>
        <v>21288.83051236368</v>
      </c>
      <c r="H118" s="7">
        <f t="shared" si="5"/>
        <v>22175.8651170455</v>
      </c>
      <c r="I118" s="7">
        <f t="shared" si="5"/>
        <v>23099.8594969224</v>
      </c>
      <c r="J118" s="7">
        <f t="shared" si="5"/>
        <v>24062.353642627502</v>
      </c>
      <c r="K118" s="7">
        <f t="shared" si="5"/>
        <v>25064.951711070313</v>
      </c>
      <c r="L118" s="7">
        <f t="shared" si="5"/>
        <v>26109.324699031575</v>
      </c>
      <c r="M118" s="7">
        <f t="shared" si="5"/>
        <v>27197.21322815789</v>
      </c>
      <c r="N118" s="7">
        <f t="shared" si="5"/>
        <v>28330.4304459978</v>
      </c>
      <c r="O118" s="7">
        <f t="shared" si="5"/>
        <v>29510.86504791438</v>
      </c>
      <c r="P118" s="7">
        <f t="shared" si="5"/>
        <v>30740.484424910814</v>
      </c>
      <c r="Q118" s="7">
        <f t="shared" si="5"/>
        <v>32021.33794261543</v>
      </c>
      <c r="R118" s="7">
        <f t="shared" si="5"/>
        <v>33355.560356891074</v>
      </c>
      <c r="S118" s="7">
        <f t="shared" si="5"/>
        <v>34745.37537176153</v>
      </c>
      <c r="T118" s="7">
        <f t="shared" si="5"/>
        <v>36193.09934558493</v>
      </c>
      <c r="U118" s="7">
        <f t="shared" si="5"/>
        <v>37701.14515165097</v>
      </c>
      <c r="V118" s="7">
        <f t="shared" si="5"/>
        <v>39272.02619963643</v>
      </c>
      <c r="W118" s="7">
        <f t="shared" si="5"/>
        <v>40908.36062462128</v>
      </c>
      <c r="X118" s="7">
        <f t="shared" si="5"/>
        <v>42612.87565064717</v>
      </c>
      <c r="Y118" s="7">
        <f t="shared" si="5"/>
        <v>44388.4121360908</v>
      </c>
      <c r="Z118" s="7">
        <f t="shared" si="5"/>
        <v>46237.92930842792</v>
      </c>
      <c r="AA118" s="7">
        <f t="shared" si="5"/>
        <v>48164.509696279085</v>
      </c>
      <c r="AB118" s="7">
        <f t="shared" si="5"/>
        <v>50171.36426695738</v>
      </c>
      <c r="AC118" s="7">
        <f t="shared" si="5"/>
        <v>52261.837778080604</v>
      </c>
      <c r="AD118" s="7">
        <f t="shared" si="5"/>
        <v>54439.414352167296</v>
      </c>
      <c r="AE118" s="7">
        <f t="shared" si="5"/>
        <v>56707.72328350761</v>
      </c>
      <c r="AF118" s="7">
        <f t="shared" si="5"/>
        <v>59070.54508698709</v>
      </c>
      <c r="AG118" s="7">
        <f t="shared" si="5"/>
        <v>61531.81779894489</v>
      </c>
      <c r="AH118" s="7">
        <f t="shared" si="5"/>
        <v>64095.643540567595</v>
      </c>
      <c r="AI118" s="7">
        <f t="shared" si="5"/>
        <v>66766.29535475791</v>
      </c>
      <c r="AJ118" s="7">
        <f t="shared" si="5"/>
        <v>69548.22432787283</v>
      </c>
      <c r="AK118" s="7">
        <f t="shared" si="5"/>
        <v>72446.06700820087</v>
      </c>
    </row>
    <row r="119" spans="1:14" ht="11.25">
      <c r="A119" s="1" t="s">
        <v>47</v>
      </c>
      <c r="B119" s="16"/>
      <c r="C119" s="12"/>
      <c r="D119" s="12"/>
      <c r="E119" s="12"/>
      <c r="F119" s="12"/>
      <c r="G119" s="12"/>
      <c r="H119" s="12"/>
      <c r="I119" s="12"/>
      <c r="J119" s="12"/>
      <c r="K119" s="12"/>
      <c r="L119" s="12"/>
      <c r="M119" s="12"/>
      <c r="N119" s="12"/>
    </row>
    <row r="120" spans="1:10" ht="11.25">
      <c r="A120" s="11" t="s">
        <v>49</v>
      </c>
      <c r="B120" s="16">
        <f>SUM(C120:G120)</f>
        <v>665.58125</v>
      </c>
      <c r="C120" s="12">
        <f>SUM(C10:C16)+SUM(C19:C25)/$B$118*1000</f>
        <v>65.235625</v>
      </c>
      <c r="D120" s="12">
        <f>SUM(D10:D16)+SUM(D19:D25)/$B$118*1000</f>
        <v>138.67874999999998</v>
      </c>
      <c r="E120" s="12">
        <f>SUM(E10:E16)+SUM(E19:E25)/$B$118*1000</f>
        <v>160.39187499999997</v>
      </c>
      <c r="F120" s="12">
        <f>SUM(F10:F16)+SUM(F19:F25)/$B$118*1000</f>
        <v>152.07812499999997</v>
      </c>
      <c r="G120" s="12">
        <f>SUM(G10:G16)+SUM(G19:G25)/$B$118*1000</f>
        <v>149.19687499999998</v>
      </c>
      <c r="J120" s="9"/>
    </row>
    <row r="121" spans="1:7" ht="11.25">
      <c r="A121" s="11" t="s">
        <v>50</v>
      </c>
      <c r="B121" s="16">
        <f>SUM(C121:G121)</f>
        <v>10649.3</v>
      </c>
      <c r="C121" s="12">
        <f>SUM(C19:C25)+SUM(C10:C16)*$B$118/1000</f>
        <v>1043.77</v>
      </c>
      <c r="D121" s="12">
        <f>SUM(D19:D25)+SUM(D10:D16)*$B$118/1000</f>
        <v>2218.8599999999997</v>
      </c>
      <c r="E121" s="12">
        <f>SUM(E19:E25)+SUM(E10:E16)*$B$118/1000</f>
        <v>2566.2699999999995</v>
      </c>
      <c r="F121" s="12">
        <f>SUM(F19:F25)+SUM(F10:F16)*$B$118/1000</f>
        <v>2433.2499999999995</v>
      </c>
      <c r="G121" s="12">
        <f>SUM(G19:G25)+SUM(G10:G16)*$B$118/1000</f>
        <v>2387.1499999999996</v>
      </c>
    </row>
    <row r="122" spans="1:7" ht="11.25">
      <c r="A122" s="1" t="s">
        <v>48</v>
      </c>
      <c r="B122" s="16"/>
      <c r="C122" s="12"/>
      <c r="D122" s="12"/>
      <c r="E122" s="12"/>
      <c r="F122" s="12"/>
      <c r="G122" s="12"/>
    </row>
    <row r="123" spans="1:7" ht="11.25">
      <c r="A123" s="2" t="s">
        <v>22</v>
      </c>
      <c r="B123" s="16"/>
      <c r="C123" s="12"/>
      <c r="D123" s="12"/>
      <c r="E123" s="12"/>
      <c r="F123" s="12"/>
      <c r="G123" s="12"/>
    </row>
    <row r="124" spans="1:7" ht="11.25">
      <c r="A124" s="11" t="s">
        <v>3</v>
      </c>
      <c r="B124" s="16"/>
      <c r="C124" s="12">
        <f aca="true" t="shared" si="6" ref="C124:G131">C10*C$117</f>
        <v>0</v>
      </c>
      <c r="D124" s="12">
        <f t="shared" si="6"/>
        <v>0.98558208</v>
      </c>
      <c r="E124" s="12">
        <f t="shared" si="6"/>
        <v>2.9906421350400003</v>
      </c>
      <c r="F124" s="12">
        <f t="shared" si="6"/>
        <v>3.0145672721203205</v>
      </c>
      <c r="G124" s="12">
        <f t="shared" si="6"/>
        <v>3.038683810297283</v>
      </c>
    </row>
    <row r="125" spans="1:7" ht="11.25">
      <c r="A125" s="11" t="s">
        <v>4</v>
      </c>
      <c r="B125" s="16"/>
      <c r="C125" s="12">
        <f t="shared" si="6"/>
        <v>3.04416</v>
      </c>
      <c r="D125" s="12">
        <f t="shared" si="6"/>
        <v>4.612930560000001</v>
      </c>
      <c r="E125" s="12">
        <f t="shared" si="6"/>
        <v>0</v>
      </c>
      <c r="F125" s="12">
        <f t="shared" si="6"/>
        <v>0</v>
      </c>
      <c r="G125" s="12">
        <f t="shared" si="6"/>
        <v>0</v>
      </c>
    </row>
    <row r="126" spans="1:7" ht="11.25">
      <c r="A126" s="11" t="s">
        <v>5</v>
      </c>
      <c r="B126" s="16"/>
      <c r="C126" s="12">
        <f t="shared" si="6"/>
        <v>0.31248</v>
      </c>
      <c r="D126" s="12">
        <f t="shared" si="6"/>
        <v>0.31497984</v>
      </c>
      <c r="E126" s="12">
        <f t="shared" si="6"/>
        <v>0.43016085504000007</v>
      </c>
      <c r="F126" s="12">
        <f t="shared" si="6"/>
        <v>0</v>
      </c>
      <c r="G126" s="12">
        <f t="shared" si="6"/>
        <v>0</v>
      </c>
    </row>
    <row r="127" spans="1:7" ht="11.25">
      <c r="A127" s="11" t="s">
        <v>6</v>
      </c>
      <c r="B127" s="16"/>
      <c r="C127" s="12">
        <f t="shared" si="6"/>
        <v>0</v>
      </c>
      <c r="D127" s="12">
        <f t="shared" si="6"/>
        <v>0</v>
      </c>
      <c r="E127" s="12">
        <f t="shared" si="6"/>
        <v>0</v>
      </c>
      <c r="F127" s="12">
        <f t="shared" si="6"/>
        <v>0</v>
      </c>
      <c r="G127" s="12">
        <f t="shared" si="6"/>
        <v>0</v>
      </c>
    </row>
    <row r="128" spans="1:7" ht="11.25">
      <c r="A128" s="11" t="s">
        <v>7</v>
      </c>
      <c r="B128" s="16"/>
      <c r="C128" s="12">
        <f t="shared" si="6"/>
        <v>1.19952</v>
      </c>
      <c r="D128" s="12">
        <f t="shared" si="6"/>
        <v>1.8187545600000001</v>
      </c>
      <c r="E128" s="12">
        <f t="shared" si="6"/>
        <v>3.6666091929600007</v>
      </c>
      <c r="F128" s="12">
        <f t="shared" si="6"/>
        <v>3.695942066503681</v>
      </c>
      <c r="G128" s="12">
        <f t="shared" si="6"/>
        <v>1.862754801517855</v>
      </c>
    </row>
    <row r="129" spans="1:7" ht="11.25">
      <c r="A129" s="11" t="s">
        <v>8</v>
      </c>
      <c r="B129" s="16"/>
      <c r="C129" s="12">
        <f t="shared" si="6"/>
        <v>0</v>
      </c>
      <c r="D129" s="12">
        <f t="shared" si="6"/>
        <v>0</v>
      </c>
      <c r="E129" s="12">
        <f t="shared" si="6"/>
        <v>0</v>
      </c>
      <c r="F129" s="12">
        <f t="shared" si="6"/>
        <v>0</v>
      </c>
      <c r="G129" s="12">
        <f t="shared" si="6"/>
        <v>0</v>
      </c>
    </row>
    <row r="130" spans="1:7" ht="11.25">
      <c r="A130" s="11" t="s">
        <v>9</v>
      </c>
      <c r="B130" s="16"/>
      <c r="C130" s="12">
        <f t="shared" si="6"/>
        <v>1.6430399999999998</v>
      </c>
      <c r="D130" s="12">
        <f t="shared" si="6"/>
        <v>0</v>
      </c>
      <c r="E130" s="12">
        <f t="shared" si="6"/>
        <v>0</v>
      </c>
      <c r="F130" s="12">
        <f t="shared" si="6"/>
        <v>0</v>
      </c>
      <c r="G130" s="12">
        <f t="shared" si="6"/>
        <v>0</v>
      </c>
    </row>
    <row r="131" spans="1:7" ht="11.25">
      <c r="A131" s="11" t="s">
        <v>25</v>
      </c>
      <c r="B131" s="16"/>
      <c r="C131" s="12">
        <f t="shared" si="6"/>
        <v>6.199199999999999</v>
      </c>
      <c r="D131" s="12">
        <f t="shared" si="6"/>
        <v>7.73224704</v>
      </c>
      <c r="E131" s="12">
        <f t="shared" si="6"/>
        <v>7.087412183040001</v>
      </c>
      <c r="F131" s="12">
        <f t="shared" si="6"/>
        <v>6.710509338624002</v>
      </c>
      <c r="G131" s="12">
        <f t="shared" si="6"/>
        <v>4.901438611815138</v>
      </c>
    </row>
    <row r="132" spans="1:7" ht="11.25">
      <c r="A132" s="2" t="s">
        <v>23</v>
      </c>
      <c r="B132" s="16"/>
      <c r="C132" s="12"/>
      <c r="D132" s="12"/>
      <c r="E132" s="12"/>
      <c r="F132" s="12"/>
      <c r="G132" s="12"/>
    </row>
    <row r="133" spans="1:7" ht="11.25">
      <c r="A133" s="11" t="s">
        <v>3</v>
      </c>
      <c r="B133" s="16"/>
      <c r="C133" s="12">
        <f aca="true" t="shared" si="7" ref="C133:G140">C19*C$116</f>
        <v>0</v>
      </c>
      <c r="D133" s="12">
        <f t="shared" si="7"/>
        <v>965.3674641600002</v>
      </c>
      <c r="E133" s="12">
        <f t="shared" si="7"/>
        <v>3127.7905838784004</v>
      </c>
      <c r="F133" s="12">
        <f t="shared" si="7"/>
        <v>3346.735924749889</v>
      </c>
      <c r="G133" s="12">
        <f t="shared" si="7"/>
        <v>3547.540080234882</v>
      </c>
    </row>
    <row r="134" spans="1:7" ht="11.25">
      <c r="A134" s="11" t="s">
        <v>4</v>
      </c>
      <c r="B134" s="16"/>
      <c r="C134" s="12">
        <f t="shared" si="7"/>
        <v>957.8691100000001</v>
      </c>
      <c r="D134" s="12">
        <f t="shared" si="7"/>
        <v>1534.5127168800002</v>
      </c>
      <c r="E134" s="12">
        <f t="shared" si="7"/>
        <v>0</v>
      </c>
      <c r="F134" s="12">
        <f t="shared" si="7"/>
        <v>0</v>
      </c>
      <c r="G134" s="12">
        <f t="shared" si="7"/>
        <v>0</v>
      </c>
    </row>
    <row r="135" spans="1:7" ht="11.25">
      <c r="A135" s="11" t="s">
        <v>5</v>
      </c>
      <c r="B135" s="16"/>
      <c r="C135" s="12">
        <f t="shared" si="7"/>
        <v>113.58127000000002</v>
      </c>
      <c r="D135" s="12">
        <f t="shared" si="7"/>
        <v>121.30479636000003</v>
      </c>
      <c r="E135" s="12">
        <f t="shared" si="7"/>
        <v>174.66968692800003</v>
      </c>
      <c r="F135" s="12">
        <f t="shared" si="7"/>
        <v>0</v>
      </c>
      <c r="G135" s="12">
        <f t="shared" si="7"/>
        <v>0</v>
      </c>
    </row>
    <row r="136" spans="1:7" ht="11.25">
      <c r="A136" s="11" t="s">
        <v>6</v>
      </c>
      <c r="B136" s="16"/>
      <c r="C136" s="12">
        <f t="shared" si="7"/>
        <v>8.908570000000001</v>
      </c>
      <c r="D136" s="12">
        <f t="shared" si="7"/>
        <v>0</v>
      </c>
      <c r="E136" s="12">
        <f t="shared" si="7"/>
        <v>0</v>
      </c>
      <c r="F136" s="12">
        <f t="shared" si="7"/>
        <v>0</v>
      </c>
      <c r="G136" s="12">
        <f t="shared" si="7"/>
        <v>0</v>
      </c>
    </row>
    <row r="137" spans="1:7" ht="11.25">
      <c r="A137" s="11" t="s">
        <v>7</v>
      </c>
      <c r="B137" s="16"/>
      <c r="C137" s="12">
        <f t="shared" si="7"/>
        <v>13.956360000000002</v>
      </c>
      <c r="D137" s="12">
        <f t="shared" si="7"/>
        <v>22.370894040000003</v>
      </c>
      <c r="E137" s="12">
        <f t="shared" si="7"/>
        <v>48.30730138080001</v>
      </c>
      <c r="F137" s="12">
        <f t="shared" si="7"/>
        <v>51.68881247745602</v>
      </c>
      <c r="G137" s="12">
        <f t="shared" si="7"/>
        <v>27.40291346178145</v>
      </c>
    </row>
    <row r="138" spans="1:7" ht="11.25">
      <c r="A138" s="11" t="s">
        <v>8</v>
      </c>
      <c r="B138" s="16"/>
      <c r="C138" s="12">
        <f t="shared" si="7"/>
        <v>39.18332</v>
      </c>
      <c r="D138" s="12">
        <f t="shared" si="7"/>
        <v>41.84778576000001</v>
      </c>
      <c r="E138" s="12">
        <f t="shared" si="7"/>
        <v>45.19560862080001</v>
      </c>
      <c r="F138" s="12">
        <f t="shared" si="7"/>
        <v>48.359301224256015</v>
      </c>
      <c r="G138" s="12">
        <f t="shared" si="7"/>
        <v>51.26085929771138</v>
      </c>
    </row>
    <row r="139" spans="1:7" ht="11.25">
      <c r="A139" s="11" t="s">
        <v>9</v>
      </c>
      <c r="B139" s="16"/>
      <c r="C139" s="12">
        <f t="shared" si="7"/>
        <v>0</v>
      </c>
      <c r="D139" s="12">
        <f t="shared" si="7"/>
        <v>0</v>
      </c>
      <c r="E139" s="12">
        <f t="shared" si="7"/>
        <v>0</v>
      </c>
      <c r="F139" s="12">
        <f t="shared" si="7"/>
        <v>0</v>
      </c>
      <c r="G139" s="12">
        <f t="shared" si="7"/>
        <v>0</v>
      </c>
    </row>
    <row r="140" spans="1:7" ht="11.25">
      <c r="A140" s="11" t="s">
        <v>25</v>
      </c>
      <c r="B140" s="16"/>
      <c r="C140" s="12">
        <f t="shared" si="7"/>
        <v>1133.4986299999998</v>
      </c>
      <c r="D140" s="12">
        <f t="shared" si="7"/>
        <v>2685.4036572</v>
      </c>
      <c r="E140" s="12">
        <f t="shared" si="7"/>
        <v>3395.9631808080003</v>
      </c>
      <c r="F140" s="12">
        <f t="shared" si="7"/>
        <v>3446.7840384516003</v>
      </c>
      <c r="G140" s="12">
        <f t="shared" si="7"/>
        <v>3626.2038529943743</v>
      </c>
    </row>
    <row r="141" spans="1:7" ht="11.25">
      <c r="A141" s="1" t="s">
        <v>26</v>
      </c>
      <c r="B141" s="16"/>
      <c r="C141" s="12"/>
      <c r="D141" s="12"/>
      <c r="E141" s="12"/>
      <c r="F141" s="12"/>
      <c r="G141" s="12"/>
    </row>
    <row r="142" spans="1:7" ht="11.25">
      <c r="A142" s="11" t="s">
        <v>3</v>
      </c>
      <c r="B142" s="16">
        <f aca="true" t="shared" si="8" ref="B142:B149">SUM(C142:G142)</f>
        <v>560.2221967275667</v>
      </c>
      <c r="C142" s="12">
        <f aca="true" t="shared" si="9" ref="C142:G149">C124+C133*1000/C$118</f>
        <v>0</v>
      </c>
      <c r="D142" s="12">
        <f t="shared" si="9"/>
        <v>55.21970928000001</v>
      </c>
      <c r="E142" s="12">
        <f t="shared" si="9"/>
        <v>166.99464278784</v>
      </c>
      <c r="F142" s="12">
        <f t="shared" si="9"/>
        <v>168.33059993014277</v>
      </c>
      <c r="G142" s="12">
        <f t="shared" si="9"/>
        <v>169.6772447295839</v>
      </c>
    </row>
    <row r="143" spans="1:7" ht="11.25">
      <c r="A143" s="11" t="s">
        <v>4</v>
      </c>
      <c r="B143" s="16">
        <f t="shared" si="8"/>
        <v>151.91834349333334</v>
      </c>
      <c r="C143" s="12">
        <f t="shared" si="9"/>
        <v>61.096833333333336</v>
      </c>
      <c r="D143" s="12">
        <f t="shared" si="9"/>
        <v>90.82151016</v>
      </c>
      <c r="E143" s="12">
        <f t="shared" si="9"/>
        <v>0</v>
      </c>
      <c r="F143" s="12">
        <f t="shared" si="9"/>
        <v>0</v>
      </c>
      <c r="G143" s="12">
        <f t="shared" si="9"/>
        <v>0</v>
      </c>
    </row>
    <row r="144" spans="1:7" ht="11.25">
      <c r="A144" s="11" t="s">
        <v>5</v>
      </c>
      <c r="B144" s="16">
        <f t="shared" si="8"/>
        <v>23.91492040437334</v>
      </c>
      <c r="C144" s="12">
        <f t="shared" si="9"/>
        <v>7.196193333333334</v>
      </c>
      <c r="D144" s="12">
        <f t="shared" si="9"/>
        <v>7.129856040000002</v>
      </c>
      <c r="E144" s="12">
        <f t="shared" si="9"/>
        <v>9.588871031040002</v>
      </c>
      <c r="F144" s="12">
        <f t="shared" si="9"/>
        <v>0</v>
      </c>
      <c r="G144" s="12">
        <f t="shared" si="9"/>
        <v>0</v>
      </c>
    </row>
    <row r="145" spans="1:7" ht="11.25">
      <c r="A145" s="11" t="s">
        <v>6</v>
      </c>
      <c r="B145" s="16">
        <f t="shared" si="8"/>
        <v>0.5399133333333335</v>
      </c>
      <c r="C145" s="12">
        <f t="shared" si="9"/>
        <v>0.5399133333333335</v>
      </c>
      <c r="D145" s="12">
        <f t="shared" si="9"/>
        <v>0</v>
      </c>
      <c r="E145" s="12">
        <f t="shared" si="9"/>
        <v>0</v>
      </c>
      <c r="F145" s="12">
        <f t="shared" si="9"/>
        <v>0</v>
      </c>
      <c r="G145" s="12">
        <f t="shared" si="9"/>
        <v>0</v>
      </c>
    </row>
    <row r="146" spans="1:7" ht="11.25">
      <c r="A146" s="11" t="s">
        <v>7</v>
      </c>
      <c r="B146" s="16">
        <f t="shared" si="8"/>
        <v>20.71960713579334</v>
      </c>
      <c r="C146" s="12">
        <f t="shared" si="9"/>
        <v>2.04536</v>
      </c>
      <c r="D146" s="12">
        <f t="shared" si="9"/>
        <v>3.0755463600000006</v>
      </c>
      <c r="E146" s="12">
        <f t="shared" si="9"/>
        <v>6.199576306560001</v>
      </c>
      <c r="F146" s="12">
        <f t="shared" si="9"/>
        <v>6.249172917012482</v>
      </c>
      <c r="G146" s="12">
        <f t="shared" si="9"/>
        <v>3.1499515522208568</v>
      </c>
    </row>
    <row r="147" spans="1:7" ht="11.25">
      <c r="A147" s="11" t="s">
        <v>8</v>
      </c>
      <c r="B147" s="16">
        <f t="shared" si="8"/>
        <v>11.892194487773459</v>
      </c>
      <c r="C147" s="12">
        <f t="shared" si="9"/>
        <v>2.374746666666667</v>
      </c>
      <c r="D147" s="12">
        <f t="shared" si="9"/>
        <v>2.3509992000000004</v>
      </c>
      <c r="E147" s="12">
        <f t="shared" si="9"/>
        <v>2.3698071936000003</v>
      </c>
      <c r="F147" s="12">
        <f t="shared" si="9"/>
        <v>2.3887656511488005</v>
      </c>
      <c r="G147" s="12">
        <f t="shared" si="9"/>
        <v>2.407875776357991</v>
      </c>
    </row>
    <row r="148" spans="1:7" ht="11.25">
      <c r="A148" s="11" t="s">
        <v>9</v>
      </c>
      <c r="B148" s="16">
        <f t="shared" si="8"/>
        <v>1.6430399999999998</v>
      </c>
      <c r="C148" s="12">
        <f t="shared" si="9"/>
        <v>1.6430399999999998</v>
      </c>
      <c r="D148" s="12">
        <f t="shared" si="9"/>
        <v>0</v>
      </c>
      <c r="E148" s="12">
        <f t="shared" si="9"/>
        <v>0</v>
      </c>
      <c r="F148" s="12">
        <f t="shared" si="9"/>
        <v>0</v>
      </c>
      <c r="G148" s="12">
        <f t="shared" si="9"/>
        <v>0</v>
      </c>
    </row>
    <row r="149" spans="1:7" ht="11.25">
      <c r="A149" s="11" t="s">
        <v>25</v>
      </c>
      <c r="B149" s="16">
        <f t="shared" si="8"/>
        <v>770.8502155821734</v>
      </c>
      <c r="C149" s="12">
        <f t="shared" si="9"/>
        <v>74.89608666666666</v>
      </c>
      <c r="D149" s="12">
        <f t="shared" si="9"/>
        <v>158.59762103999998</v>
      </c>
      <c r="E149" s="12">
        <f t="shared" si="9"/>
        <v>185.15289731904</v>
      </c>
      <c r="F149" s="12">
        <f t="shared" si="9"/>
        <v>176.968538498304</v>
      </c>
      <c r="G149" s="12">
        <f t="shared" si="9"/>
        <v>175.2350720581627</v>
      </c>
    </row>
    <row r="150" spans="1:7" ht="11.25">
      <c r="A150" s="1" t="s">
        <v>27</v>
      </c>
      <c r="B150" s="16"/>
      <c r="C150" s="12"/>
      <c r="D150" s="12"/>
      <c r="E150" s="12"/>
      <c r="F150" s="12"/>
      <c r="G150" s="12"/>
    </row>
    <row r="151" spans="1:7" ht="11.25">
      <c r="A151" s="11" t="s">
        <v>3</v>
      </c>
      <c r="B151" s="16">
        <f aca="true" t="shared" si="10" ref="B151:B158">SUM(C151:G151)</f>
        <v>11187.731581637772</v>
      </c>
      <c r="C151" s="12">
        <f aca="true" t="shared" si="11" ref="C151:G158">C133+C124*C$118/1000</f>
        <v>0</v>
      </c>
      <c r="D151" s="12">
        <f t="shared" si="11"/>
        <v>982.9108251840001</v>
      </c>
      <c r="E151" s="12">
        <f t="shared" si="11"/>
        <v>3184.8264017395204</v>
      </c>
      <c r="F151" s="12">
        <f t="shared" si="11"/>
        <v>3407.764249861287</v>
      </c>
      <c r="G151" s="12">
        <f t="shared" si="11"/>
        <v>3612.2301048529644</v>
      </c>
    </row>
    <row r="152" spans="1:7" ht="11.25">
      <c r="A152" s="11" t="s">
        <v>4</v>
      </c>
      <c r="B152" s="16">
        <f t="shared" si="10"/>
        <v>2624.7206308480004</v>
      </c>
      <c r="C152" s="12">
        <f t="shared" si="11"/>
        <v>1008.0977500000001</v>
      </c>
      <c r="D152" s="12">
        <f t="shared" si="11"/>
        <v>1616.6228808480002</v>
      </c>
      <c r="E152" s="12">
        <f t="shared" si="11"/>
        <v>0</v>
      </c>
      <c r="F152" s="12">
        <f t="shared" si="11"/>
        <v>0</v>
      </c>
      <c r="G152" s="12">
        <f t="shared" si="11"/>
        <v>0</v>
      </c>
    </row>
    <row r="153" spans="1:7" ht="11.25">
      <c r="A153" s="11" t="s">
        <v>5</v>
      </c>
      <c r="B153" s="16">
        <f t="shared" si="10"/>
        <v>428.52209646112004</v>
      </c>
      <c r="C153" s="12">
        <f t="shared" si="11"/>
        <v>118.73719000000001</v>
      </c>
      <c r="D153" s="12">
        <f t="shared" si="11"/>
        <v>126.91143751200002</v>
      </c>
      <c r="E153" s="12">
        <f t="shared" si="11"/>
        <v>182.87346894912002</v>
      </c>
      <c r="F153" s="12">
        <f t="shared" si="11"/>
        <v>0</v>
      </c>
      <c r="G153" s="12">
        <f t="shared" si="11"/>
        <v>0</v>
      </c>
    </row>
    <row r="154" spans="1:7" ht="11.25">
      <c r="A154" s="11" t="s">
        <v>6</v>
      </c>
      <c r="B154" s="16">
        <f t="shared" si="10"/>
        <v>8.908570000000001</v>
      </c>
      <c r="C154" s="12">
        <f t="shared" si="11"/>
        <v>8.908570000000001</v>
      </c>
      <c r="D154" s="12">
        <f t="shared" si="11"/>
        <v>0</v>
      </c>
      <c r="E154" s="12">
        <f t="shared" si="11"/>
        <v>0</v>
      </c>
      <c r="F154" s="12">
        <f t="shared" si="11"/>
        <v>0</v>
      </c>
      <c r="G154" s="12">
        <f t="shared" si="11"/>
        <v>0</v>
      </c>
    </row>
    <row r="155" spans="1:7" ht="11.25">
      <c r="A155" s="11" t="s">
        <v>7</v>
      </c>
      <c r="B155" s="16">
        <f t="shared" si="10"/>
        <v>400.2979377020044</v>
      </c>
      <c r="C155" s="12">
        <f t="shared" si="11"/>
        <v>33.74844</v>
      </c>
      <c r="D155" s="12">
        <f t="shared" si="11"/>
        <v>54.744725208000006</v>
      </c>
      <c r="E155" s="12">
        <f t="shared" si="11"/>
        <v>118.23477670368003</v>
      </c>
      <c r="F155" s="12">
        <f t="shared" si="11"/>
        <v>126.51121107293764</v>
      </c>
      <c r="G155" s="12">
        <f t="shared" si="11"/>
        <v>67.0587847173867</v>
      </c>
    </row>
    <row r="156" spans="1:7" ht="11.25">
      <c r="A156" s="11" t="s">
        <v>8</v>
      </c>
      <c r="B156" s="16">
        <f t="shared" si="10"/>
        <v>225.8468749027674</v>
      </c>
      <c r="C156" s="12">
        <f t="shared" si="11"/>
        <v>39.18332</v>
      </c>
      <c r="D156" s="12">
        <f t="shared" si="11"/>
        <v>41.84778576000001</v>
      </c>
      <c r="E156" s="12">
        <f t="shared" si="11"/>
        <v>45.19560862080001</v>
      </c>
      <c r="F156" s="12">
        <f t="shared" si="11"/>
        <v>48.359301224256015</v>
      </c>
      <c r="G156" s="12">
        <f t="shared" si="11"/>
        <v>51.26085929771138</v>
      </c>
    </row>
    <row r="157" spans="1:7" ht="11.25">
      <c r="A157" s="11" t="s">
        <v>9</v>
      </c>
      <c r="B157" s="16">
        <f t="shared" si="10"/>
        <v>27.110159999999997</v>
      </c>
      <c r="C157" s="12">
        <f t="shared" si="11"/>
        <v>27.110159999999997</v>
      </c>
      <c r="D157" s="12">
        <f t="shared" si="11"/>
        <v>0</v>
      </c>
      <c r="E157" s="12">
        <f t="shared" si="11"/>
        <v>0</v>
      </c>
      <c r="F157" s="12">
        <f t="shared" si="11"/>
        <v>0</v>
      </c>
      <c r="G157" s="12">
        <f t="shared" si="11"/>
        <v>0</v>
      </c>
    </row>
    <row r="158" spans="1:7" ht="11.25">
      <c r="A158" s="11" t="s">
        <v>25</v>
      </c>
      <c r="B158" s="16">
        <f t="shared" si="10"/>
        <v>14903.137851551663</v>
      </c>
      <c r="C158" s="12">
        <f t="shared" si="11"/>
        <v>1235.78543</v>
      </c>
      <c r="D158" s="12">
        <f t="shared" si="11"/>
        <v>2823.037654512</v>
      </c>
      <c r="E158" s="12">
        <f t="shared" si="11"/>
        <v>3531.1302560131203</v>
      </c>
      <c r="F158" s="12">
        <f t="shared" si="11"/>
        <v>3582.6347621584805</v>
      </c>
      <c r="G158" s="12">
        <f t="shared" si="11"/>
        <v>3730.5497488680617</v>
      </c>
    </row>
    <row r="159" ht="11.25">
      <c r="A159" s="1" t="s">
        <v>29</v>
      </c>
    </row>
    <row r="160" spans="1:27" ht="11.25">
      <c r="A160" s="11" t="s">
        <v>51</v>
      </c>
      <c r="C160" s="5">
        <f aca="true" t="shared" si="12" ref="C160:AA160">$B$58+$B$59</f>
        <v>0.0436</v>
      </c>
      <c r="D160" s="5">
        <f t="shared" si="12"/>
        <v>0.0436</v>
      </c>
      <c r="E160" s="5">
        <f t="shared" si="12"/>
        <v>0.0436</v>
      </c>
      <c r="F160" s="5">
        <f t="shared" si="12"/>
        <v>0.0436</v>
      </c>
      <c r="G160" s="5">
        <f t="shared" si="12"/>
        <v>0.0436</v>
      </c>
      <c r="H160" s="5">
        <f t="shared" si="12"/>
        <v>0.0436</v>
      </c>
      <c r="I160" s="5">
        <f t="shared" si="12"/>
        <v>0.0436</v>
      </c>
      <c r="J160" s="5">
        <f t="shared" si="12"/>
        <v>0.0436</v>
      </c>
      <c r="K160" s="5">
        <f t="shared" si="12"/>
        <v>0.0436</v>
      </c>
      <c r="L160" s="5">
        <f t="shared" si="12"/>
        <v>0.0436</v>
      </c>
      <c r="M160" s="5">
        <f t="shared" si="12"/>
        <v>0.0436</v>
      </c>
      <c r="N160" s="5">
        <f t="shared" si="12"/>
        <v>0.0436</v>
      </c>
      <c r="O160" s="5">
        <f t="shared" si="12"/>
        <v>0.0436</v>
      </c>
      <c r="P160" s="5">
        <f t="shared" si="12"/>
        <v>0.0436</v>
      </c>
      <c r="Q160" s="5">
        <f t="shared" si="12"/>
        <v>0.0436</v>
      </c>
      <c r="R160" s="5">
        <f t="shared" si="12"/>
        <v>0.0436</v>
      </c>
      <c r="S160" s="5">
        <f t="shared" si="12"/>
        <v>0.0436</v>
      </c>
      <c r="T160" s="5">
        <f t="shared" si="12"/>
        <v>0.0436</v>
      </c>
      <c r="U160" s="5">
        <f t="shared" si="12"/>
        <v>0.0436</v>
      </c>
      <c r="V160" s="5">
        <f t="shared" si="12"/>
        <v>0.0436</v>
      </c>
      <c r="W160" s="5">
        <f t="shared" si="12"/>
        <v>0.0436</v>
      </c>
      <c r="X160" s="5">
        <f t="shared" si="12"/>
        <v>0.0436</v>
      </c>
      <c r="Y160" s="5">
        <f t="shared" si="12"/>
        <v>0.0436</v>
      </c>
      <c r="Z160" s="5">
        <f t="shared" si="12"/>
        <v>0.0436</v>
      </c>
      <c r="AA160" s="5">
        <f t="shared" si="12"/>
        <v>0.0436</v>
      </c>
    </row>
    <row r="161" spans="1:27" ht="11.25">
      <c r="A161" s="11" t="s">
        <v>33</v>
      </c>
      <c r="C161" s="9">
        <v>0</v>
      </c>
      <c r="D161" s="9">
        <f aca="true" t="shared" si="13" ref="D161:AA161">C166</f>
        <v>72.66300000000001</v>
      </c>
      <c r="E161" s="9">
        <f t="shared" si="13"/>
        <v>191.5501068</v>
      </c>
      <c r="F161" s="9">
        <f t="shared" si="13"/>
        <v>256.08369145648</v>
      </c>
      <c r="G161" s="9">
        <f t="shared" si="13"/>
        <v>313.8949404039825</v>
      </c>
      <c r="H161" s="9">
        <f t="shared" si="13"/>
        <v>372.16175980559615</v>
      </c>
      <c r="I161" s="9">
        <f t="shared" si="13"/>
        <v>365.6639551247001</v>
      </c>
      <c r="J161" s="9">
        <f t="shared" si="13"/>
        <v>358.5163699757145</v>
      </c>
      <c r="K161" s="9">
        <f t="shared" si="13"/>
        <v>350.6540263118303</v>
      </c>
      <c r="L161" s="9">
        <f t="shared" si="13"/>
        <v>342.00544828155773</v>
      </c>
      <c r="M161" s="9">
        <f t="shared" si="13"/>
        <v>332.49201244825787</v>
      </c>
      <c r="N161" s="9">
        <f t="shared" si="13"/>
        <v>322.02723303162804</v>
      </c>
      <c r="O161" s="9">
        <f t="shared" si="13"/>
        <v>310.5159756733352</v>
      </c>
      <c r="P161" s="9">
        <f t="shared" si="13"/>
        <v>297.8535925792131</v>
      </c>
      <c r="Q161" s="9">
        <f t="shared" si="13"/>
        <v>283.9249711756788</v>
      </c>
      <c r="R161" s="9">
        <f t="shared" si="13"/>
        <v>268.60348763179104</v>
      </c>
      <c r="S161" s="9">
        <f t="shared" si="13"/>
        <v>251.7498557335145</v>
      </c>
      <c r="T161" s="9">
        <f t="shared" si="13"/>
        <v>233.21086064541032</v>
      </c>
      <c r="U161" s="9">
        <f t="shared" si="13"/>
        <v>212.81796604849572</v>
      </c>
      <c r="V161" s="9">
        <f t="shared" si="13"/>
        <v>190.38578199188964</v>
      </c>
      <c r="W161" s="9">
        <f t="shared" si="13"/>
        <v>165.71037952962297</v>
      </c>
      <c r="X161" s="9">
        <f t="shared" si="13"/>
        <v>138.5674368211296</v>
      </c>
      <c r="Y161" s="9">
        <f t="shared" si="13"/>
        <v>108.71019984178692</v>
      </c>
      <c r="Z161" s="9">
        <f t="shared" si="13"/>
        <v>75.86723916450995</v>
      </c>
      <c r="AA161" s="9">
        <f t="shared" si="13"/>
        <v>39.739982419505296</v>
      </c>
    </row>
    <row r="162" spans="1:27" ht="11.25">
      <c r="A162" s="11" t="s">
        <v>14</v>
      </c>
      <c r="C162" s="9">
        <f>C37</f>
        <v>72.66300000000001</v>
      </c>
      <c r="D162" s="9">
        <f>D37</f>
        <v>115.719</v>
      </c>
      <c r="E162" s="9">
        <f>E37</f>
        <v>56.181999999999995</v>
      </c>
      <c r="F162" s="9">
        <f>F37</f>
        <v>46.646</v>
      </c>
      <c r="G162" s="9">
        <f>G37</f>
        <v>44.581</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row>
    <row r="163" spans="1:27" ht="11.25">
      <c r="A163" s="11" t="s">
        <v>34</v>
      </c>
      <c r="C163" s="9">
        <v>0</v>
      </c>
      <c r="D163" s="9">
        <v>0</v>
      </c>
      <c r="E163" s="9">
        <v>0</v>
      </c>
      <c r="F163" s="9">
        <v>0</v>
      </c>
      <c r="G163" s="9">
        <v>0</v>
      </c>
      <c r="H163" s="9">
        <f aca="true" t="shared" si="14" ref="H163:AA163">H160*H161</f>
        <v>16.226252727523992</v>
      </c>
      <c r="I163" s="9">
        <f t="shared" si="14"/>
        <v>15.942948443436926</v>
      </c>
      <c r="J163" s="9">
        <f t="shared" si="14"/>
        <v>15.631313730941152</v>
      </c>
      <c r="K163" s="9">
        <f t="shared" si="14"/>
        <v>15.288515547195802</v>
      </c>
      <c r="L163" s="9">
        <f t="shared" si="14"/>
        <v>14.911437545075916</v>
      </c>
      <c r="M163" s="9">
        <f t="shared" si="14"/>
        <v>14.496651742744042</v>
      </c>
      <c r="N163" s="9">
        <f t="shared" si="14"/>
        <v>14.040387360178983</v>
      </c>
      <c r="O163" s="9">
        <f t="shared" si="14"/>
        <v>13.538496539357416</v>
      </c>
      <c r="P163" s="9">
        <f t="shared" si="14"/>
        <v>12.986416636453692</v>
      </c>
      <c r="Q163" s="9">
        <f t="shared" si="14"/>
        <v>12.379128743259596</v>
      </c>
      <c r="R163" s="9">
        <f t="shared" si="14"/>
        <v>11.711112060746089</v>
      </c>
      <c r="S163" s="9">
        <f t="shared" si="14"/>
        <v>10.976293709981231</v>
      </c>
      <c r="T163" s="9">
        <f t="shared" si="14"/>
        <v>10.16799352413989</v>
      </c>
      <c r="U163" s="9">
        <f t="shared" si="14"/>
        <v>9.278863319714413</v>
      </c>
      <c r="V163" s="9">
        <f t="shared" si="14"/>
        <v>8.300820094846388</v>
      </c>
      <c r="W163" s="9">
        <f t="shared" si="14"/>
        <v>7.224972547491562</v>
      </c>
      <c r="X163" s="9">
        <f t="shared" si="14"/>
        <v>6.041540245401251</v>
      </c>
      <c r="Y163" s="9">
        <f t="shared" si="14"/>
        <v>4.739764713101909</v>
      </c>
      <c r="Z163" s="9">
        <f t="shared" si="14"/>
        <v>3.307811627572634</v>
      </c>
      <c r="AA163" s="9">
        <f t="shared" si="14"/>
        <v>1.7326632334904308</v>
      </c>
    </row>
    <row r="164" spans="1:27" ht="11.25">
      <c r="A164" s="11" t="s">
        <v>35</v>
      </c>
      <c r="B164" s="16">
        <f>SUM(C164:G164)</f>
        <v>36.370759805596165</v>
      </c>
      <c r="C164" s="9">
        <f>C161*C160</f>
        <v>0</v>
      </c>
      <c r="D164" s="9">
        <f>D161*D160</f>
        <v>3.1681068000000003</v>
      </c>
      <c r="E164" s="9">
        <f>E161*E160</f>
        <v>8.35158465648</v>
      </c>
      <c r="F164" s="9">
        <f>F161*F160</f>
        <v>11.165248947502528</v>
      </c>
      <c r="G164" s="9">
        <f>G161*G160</f>
        <v>13.685819401613637</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row>
    <row r="165" spans="1:30" ht="11.25">
      <c r="A165" s="11" t="s">
        <v>36</v>
      </c>
      <c r="C165" s="9">
        <v>0</v>
      </c>
      <c r="D165" s="9">
        <v>0</v>
      </c>
      <c r="E165" s="9">
        <v>0</v>
      </c>
      <c r="F165" s="9">
        <v>0</v>
      </c>
      <c r="G165" s="9">
        <v>0</v>
      </c>
      <c r="H165" s="9">
        <f>$G$166*$B$57/((1+$B$57)^$B$53-1)</f>
        <v>6.497804680896013</v>
      </c>
      <c r="I165" s="9">
        <f aca="true" t="shared" si="15" ref="I165:Z165">IF(I3-5&gt;$B$53,"",H165*(1+$B$57))</f>
        <v>7.147585148985614</v>
      </c>
      <c r="J165" s="9">
        <f t="shared" si="15"/>
        <v>7.862343663884176</v>
      </c>
      <c r="K165" s="9">
        <f t="shared" si="15"/>
        <v>8.648578030272594</v>
      </c>
      <c r="L165" s="9">
        <f t="shared" si="15"/>
        <v>9.513435833299853</v>
      </c>
      <c r="M165" s="9">
        <f t="shared" si="15"/>
        <v>10.46477941662984</v>
      </c>
      <c r="N165" s="9">
        <f t="shared" si="15"/>
        <v>11.511257358292825</v>
      </c>
      <c r="O165" s="9">
        <f t="shared" si="15"/>
        <v>12.66238309412211</v>
      </c>
      <c r="P165" s="9">
        <f t="shared" si="15"/>
        <v>13.928621403534322</v>
      </c>
      <c r="Q165" s="9">
        <f t="shared" si="15"/>
        <v>15.321483543887755</v>
      </c>
      <c r="R165" s="9">
        <f t="shared" si="15"/>
        <v>16.853631898276532</v>
      </c>
      <c r="S165" s="9">
        <f t="shared" si="15"/>
        <v>18.538995088104187</v>
      </c>
      <c r="T165" s="9">
        <f t="shared" si="15"/>
        <v>20.39289459691461</v>
      </c>
      <c r="U165" s="9">
        <f t="shared" si="15"/>
        <v>22.432184056606072</v>
      </c>
      <c r="V165" s="9">
        <f t="shared" si="15"/>
        <v>24.675402462266682</v>
      </c>
      <c r="W165" s="9">
        <f t="shared" si="15"/>
        <v>27.14294270849335</v>
      </c>
      <c r="X165" s="9">
        <f t="shared" si="15"/>
        <v>29.857236979342687</v>
      </c>
      <c r="Y165" s="9">
        <f t="shared" si="15"/>
        <v>32.842960677276956</v>
      </c>
      <c r="Z165" s="9">
        <f t="shared" si="15"/>
        <v>36.12725674500466</v>
      </c>
      <c r="AA165" s="9">
        <f>IF(AA3-5&gt;$B$53,"",Z165*(1+$B$57))</f>
        <v>39.739982419505125</v>
      </c>
      <c r="AB165" s="9">
        <f>IF(AB3-5&gt;$B$53,"",ROUND(AA165*(1+$B$57),3))</f>
      </c>
      <c r="AC165" s="9">
        <f>IF(AC3-5&gt;$B$53,"",ROUND(AB165*(1+$B$57),3))</f>
      </c>
      <c r="AD165" s="9">
        <f>IF(AD3-5&gt;$B$53,"",ROUND(AC165*(1+$B$57),3))</f>
      </c>
    </row>
    <row r="166" spans="1:27" ht="11.25">
      <c r="A166" s="11" t="s">
        <v>37</v>
      </c>
      <c r="C166" s="9">
        <f aca="true" t="shared" si="16" ref="C166:AA166">C161+C162-C165+C164</f>
        <v>72.66300000000001</v>
      </c>
      <c r="D166" s="9">
        <f t="shared" si="16"/>
        <v>191.5501068</v>
      </c>
      <c r="E166" s="9">
        <f t="shared" si="16"/>
        <v>256.08369145648</v>
      </c>
      <c r="F166" s="9">
        <f t="shared" si="16"/>
        <v>313.8949404039825</v>
      </c>
      <c r="G166" s="37">
        <f t="shared" si="16"/>
        <v>372.16175980559615</v>
      </c>
      <c r="H166" s="9">
        <f t="shared" si="16"/>
        <v>365.6639551247001</v>
      </c>
      <c r="I166" s="9">
        <f t="shared" si="16"/>
        <v>358.5163699757145</v>
      </c>
      <c r="J166" s="9">
        <f t="shared" si="16"/>
        <v>350.6540263118303</v>
      </c>
      <c r="K166" s="9">
        <f t="shared" si="16"/>
        <v>342.00544828155773</v>
      </c>
      <c r="L166" s="9">
        <f t="shared" si="16"/>
        <v>332.49201244825787</v>
      </c>
      <c r="M166" s="9">
        <f t="shared" si="16"/>
        <v>322.02723303162804</v>
      </c>
      <c r="N166" s="9">
        <f t="shared" si="16"/>
        <v>310.5159756733352</v>
      </c>
      <c r="O166" s="9">
        <f t="shared" si="16"/>
        <v>297.8535925792131</v>
      </c>
      <c r="P166" s="9">
        <f t="shared" si="16"/>
        <v>283.9249711756788</v>
      </c>
      <c r="Q166" s="9">
        <f t="shared" si="16"/>
        <v>268.60348763179104</v>
      </c>
      <c r="R166" s="9">
        <f t="shared" si="16"/>
        <v>251.7498557335145</v>
      </c>
      <c r="S166" s="9">
        <f t="shared" si="16"/>
        <v>233.21086064541032</v>
      </c>
      <c r="T166" s="9">
        <f t="shared" si="16"/>
        <v>212.81796604849572</v>
      </c>
      <c r="U166" s="9">
        <f t="shared" si="16"/>
        <v>190.38578199188964</v>
      </c>
      <c r="V166" s="9">
        <f t="shared" si="16"/>
        <v>165.71037952962297</v>
      </c>
      <c r="W166" s="9">
        <f t="shared" si="16"/>
        <v>138.5674368211296</v>
      </c>
      <c r="X166" s="9">
        <f t="shared" si="16"/>
        <v>108.71019984178692</v>
      </c>
      <c r="Y166" s="9">
        <f t="shared" si="16"/>
        <v>75.86723916450995</v>
      </c>
      <c r="Z166" s="9">
        <f t="shared" si="16"/>
        <v>39.739982419505296</v>
      </c>
      <c r="AA166" s="9">
        <f t="shared" si="16"/>
        <v>1.7053025658242404E-13</v>
      </c>
    </row>
    <row r="167" spans="1:27" ht="11.25">
      <c r="A167" s="14" t="s">
        <v>83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1.25">
      <c r="A168" s="11" t="s">
        <v>34</v>
      </c>
      <c r="B168" s="30" t="s">
        <v>85</v>
      </c>
      <c r="C168" s="12">
        <f aca="true" t="shared" si="17" ref="C168:AA168">C163*C$118/1000</f>
        <v>0</v>
      </c>
      <c r="D168" s="12">
        <f t="shared" si="17"/>
        <v>0</v>
      </c>
      <c r="E168" s="12">
        <f t="shared" si="17"/>
        <v>0</v>
      </c>
      <c r="F168" s="12">
        <f t="shared" si="17"/>
        <v>0</v>
      </c>
      <c r="G168" s="12">
        <f t="shared" si="17"/>
        <v>0</v>
      </c>
      <c r="H168" s="12">
        <f t="shared" si="17"/>
        <v>359.83119184066373</v>
      </c>
      <c r="I168" s="12">
        <f t="shared" si="17"/>
        <v>368.2798690100706</v>
      </c>
      <c r="J168" s="12">
        <f t="shared" si="17"/>
        <v>376.1261988927651</v>
      </c>
      <c r="K168" s="12">
        <f t="shared" si="17"/>
        <v>383.20590392441045</v>
      </c>
      <c r="L168" s="12">
        <f t="shared" si="17"/>
        <v>389.3275645937174</v>
      </c>
      <c r="M168" s="12">
        <f t="shared" si="17"/>
        <v>394.2685285417564</v>
      </c>
      <c r="N168" s="12">
        <f t="shared" si="17"/>
        <v>397.77021754241736</v>
      </c>
      <c r="O168" s="12">
        <f t="shared" si="17"/>
        <v>399.5327443246326</v>
      </c>
      <c r="P168" s="12">
        <f t="shared" si="17"/>
        <v>399.2087383483074</v>
      </c>
      <c r="Q168" s="12">
        <f t="shared" si="17"/>
        <v>396.3962649230598</v>
      </c>
      <c r="R168" s="12">
        <f t="shared" si="17"/>
        <v>390.6307051885312</v>
      </c>
      <c r="S168" s="12">
        <f t="shared" si="17"/>
        <v>381.3754451440029</v>
      </c>
      <c r="T168" s="12">
        <f t="shared" si="17"/>
        <v>368.01119976445926</v>
      </c>
      <c r="U168" s="12">
        <f t="shared" si="17"/>
        <v>349.82377285888305</v>
      </c>
      <c r="V168" s="12">
        <f t="shared" si="17"/>
        <v>325.9900242432759</v>
      </c>
      <c r="W168" s="12">
        <f t="shared" si="17"/>
        <v>295.5617824757735</v>
      </c>
      <c r="X168" s="12">
        <f t="shared" si="17"/>
        <v>257.4474032156639</v>
      </c>
      <c r="Y168" s="12">
        <f t="shared" si="17"/>
        <v>210.39062951326773</v>
      </c>
      <c r="Z168" s="12">
        <f t="shared" si="17"/>
        <v>152.94636020129934</v>
      </c>
      <c r="AA168" s="12">
        <f t="shared" si="17"/>
        <v>83.45287510983613</v>
      </c>
    </row>
    <row r="169" spans="1:27" ht="11.25">
      <c r="A169" s="11" t="s">
        <v>84</v>
      </c>
      <c r="B169" s="23">
        <f>IRR(C169:AA169)</f>
        <v>0.0911543652402851</v>
      </c>
      <c r="C169" s="12">
        <f aca="true" t="shared" si="18" ref="C169:AA169">(C162-C163-C165)*C$118/1000</f>
        <v>1198.9395000000002</v>
      </c>
      <c r="D169" s="12">
        <f t="shared" si="18"/>
        <v>2059.7982</v>
      </c>
      <c r="E169" s="12">
        <f t="shared" si="18"/>
        <v>1071.471</v>
      </c>
      <c r="F169" s="12">
        <f t="shared" si="18"/>
        <v>944.3236777210885</v>
      </c>
      <c r="G169" s="12">
        <f t="shared" si="18"/>
        <v>949.0773530716851</v>
      </c>
      <c r="H169" s="12">
        <f t="shared" si="18"/>
        <v>-503.9256320011206</v>
      </c>
      <c r="I169" s="12">
        <f t="shared" si="18"/>
        <v>-533.3880816939275</v>
      </c>
      <c r="J169" s="12">
        <f t="shared" si="18"/>
        <v>-565.3126925930177</v>
      </c>
      <c r="K169" s="12">
        <f t="shared" si="18"/>
        <v>-599.9820946226166</v>
      </c>
      <c r="L169" s="12">
        <f t="shared" si="18"/>
        <v>-637.7169497687454</v>
      </c>
      <c r="M169" s="12">
        <f t="shared" si="18"/>
        <v>-678.8813657214758</v>
      </c>
      <c r="N169" s="12">
        <f t="shared" si="18"/>
        <v>-723.8890934775126</v>
      </c>
      <c r="O169" s="12">
        <f t="shared" si="18"/>
        <v>-773.2106230002627</v>
      </c>
      <c r="P169" s="12">
        <f t="shared" si="18"/>
        <v>-827.3813076641336</v>
      </c>
      <c r="Q169" s="12">
        <f t="shared" si="18"/>
        <v>-887.0106672641107</v>
      </c>
      <c r="R169" s="12">
        <f t="shared" si="18"/>
        <v>-952.7930412043188</v>
      </c>
      <c r="S169" s="12">
        <f t="shared" si="18"/>
        <v>-1025.5197884954262</v>
      </c>
      <c r="T169" s="12">
        <f t="shared" si="18"/>
        <v>-1106.0932598546317</v>
      </c>
      <c r="U169" s="12">
        <f t="shared" si="18"/>
        <v>-1195.5428000455395</v>
      </c>
      <c r="V169" s="12">
        <f t="shared" si="18"/>
        <v>-1295.0430762279861</v>
      </c>
      <c r="W169" s="12">
        <f t="shared" si="18"/>
        <v>-1405.9350712082542</v>
      </c>
      <c r="X169" s="12">
        <f t="shared" si="18"/>
        <v>-1529.7501298882983</v>
      </c>
      <c r="Y169" s="12">
        <f t="shared" si="18"/>
        <v>-1668.2375038256612</v>
      </c>
      <c r="Z169" s="12">
        <f t="shared" si="18"/>
        <v>-1823.3959036842505</v>
      </c>
      <c r="AA169" s="12">
        <f t="shared" si="18"/>
        <v>-1997.509643684051</v>
      </c>
    </row>
    <row r="170" ht="11.25">
      <c r="A170" s="1" t="s">
        <v>45</v>
      </c>
    </row>
    <row r="171" spans="1:32" ht="11.25">
      <c r="A171" s="2" t="s">
        <v>33</v>
      </c>
      <c r="C171" s="9">
        <v>0</v>
      </c>
      <c r="D171" s="9">
        <f aca="true" t="shared" si="19" ref="D171:AF171">C176</f>
        <v>1.693</v>
      </c>
      <c r="E171" s="9">
        <f t="shared" si="19"/>
        <v>44.596702</v>
      </c>
      <c r="F171" s="9">
        <f t="shared" si="19"/>
        <v>174.193055828</v>
      </c>
      <c r="G171" s="9">
        <f t="shared" si="19"/>
        <v>306.95475860959203</v>
      </c>
      <c r="H171" s="9">
        <f t="shared" si="19"/>
        <v>441.90612523012635</v>
      </c>
      <c r="I171" s="9">
        <f t="shared" si="19"/>
        <v>441.90612523012635</v>
      </c>
      <c r="J171" s="9">
        <f t="shared" si="19"/>
        <v>441.90612523012635</v>
      </c>
      <c r="K171" s="9">
        <f t="shared" si="19"/>
        <v>441.90612523012635</v>
      </c>
      <c r="L171" s="9">
        <f t="shared" si="19"/>
        <v>441.90612523012635</v>
      </c>
      <c r="M171" s="9">
        <f t="shared" si="19"/>
        <v>441.90612523012635</v>
      </c>
      <c r="N171" s="9">
        <f t="shared" si="19"/>
        <v>434.19061009891874</v>
      </c>
      <c r="O171" s="9">
        <f t="shared" si="19"/>
        <v>425.7035434545904</v>
      </c>
      <c r="P171" s="9">
        <f t="shared" si="19"/>
        <v>416.3677701458291</v>
      </c>
      <c r="Q171" s="9">
        <f t="shared" si="19"/>
        <v>406.09841950619176</v>
      </c>
      <c r="R171" s="9">
        <f t="shared" si="19"/>
        <v>394.8021338025907</v>
      </c>
      <c r="S171" s="9">
        <f t="shared" si="19"/>
        <v>382.37621952862946</v>
      </c>
      <c r="T171" s="9">
        <f t="shared" si="19"/>
        <v>368.70771382727213</v>
      </c>
      <c r="U171" s="9">
        <f t="shared" si="19"/>
        <v>353.67235755577906</v>
      </c>
      <c r="V171" s="9">
        <f t="shared" si="19"/>
        <v>337.1334656571367</v>
      </c>
      <c r="W171" s="9">
        <f t="shared" si="19"/>
        <v>318.9406845686301</v>
      </c>
      <c r="X171" s="9">
        <f t="shared" si="19"/>
        <v>298.92862537127286</v>
      </c>
      <c r="Y171" s="9">
        <f t="shared" si="19"/>
        <v>276.91536025417986</v>
      </c>
      <c r="Z171" s="9">
        <f t="shared" si="19"/>
        <v>252.70076862537758</v>
      </c>
      <c r="AA171" s="9">
        <f t="shared" si="19"/>
        <v>226.06471783369506</v>
      </c>
      <c r="AB171" s="9">
        <f t="shared" si="19"/>
        <v>196.7650619628443</v>
      </c>
      <c r="AC171" s="9">
        <f t="shared" si="19"/>
        <v>164.53544050490845</v>
      </c>
      <c r="AD171" s="9">
        <f t="shared" si="19"/>
        <v>129.082856901179</v>
      </c>
      <c r="AE171" s="9">
        <f t="shared" si="19"/>
        <v>90.08501493707664</v>
      </c>
      <c r="AF171" s="9">
        <f t="shared" si="19"/>
        <v>47.18738877656402</v>
      </c>
    </row>
    <row r="172" spans="1:32" ht="11.25">
      <c r="A172" s="2" t="s">
        <v>14</v>
      </c>
      <c r="C172" s="9">
        <f>C46</f>
        <v>1.693</v>
      </c>
      <c r="D172" s="9">
        <f>D46</f>
        <v>42.88</v>
      </c>
      <c r="E172" s="9">
        <f>E46</f>
        <v>128.972</v>
      </c>
      <c r="F172" s="9">
        <f>F46</f>
        <v>130.323</v>
      </c>
      <c r="G172" s="9">
        <f>G46</f>
        <v>130.65400000000002</v>
      </c>
      <c r="H172" s="9">
        <v>0</v>
      </c>
      <c r="I172" s="9">
        <v>0</v>
      </c>
      <c r="J172" s="9">
        <v>0</v>
      </c>
      <c r="K172" s="9">
        <v>0</v>
      </c>
      <c r="L172" s="9">
        <v>0</v>
      </c>
      <c r="M172" s="9">
        <v>0</v>
      </c>
      <c r="N172" s="9">
        <v>0</v>
      </c>
      <c r="O172" s="9">
        <v>0</v>
      </c>
      <c r="P172" s="9">
        <v>0</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row>
    <row r="173" spans="1:32" ht="11.25">
      <c r="A173" s="2" t="s">
        <v>34</v>
      </c>
      <c r="C173" s="9">
        <v>0</v>
      </c>
      <c r="D173" s="9">
        <v>0</v>
      </c>
      <c r="E173" s="9">
        <v>0</v>
      </c>
      <c r="F173" s="9">
        <v>0</v>
      </c>
      <c r="G173" s="9">
        <v>0</v>
      </c>
      <c r="H173" s="9">
        <f aca="true" t="shared" si="20" ref="H173:AF173">H171*$B$70</f>
        <v>6.186685753221769</v>
      </c>
      <c r="I173" s="9">
        <f t="shared" si="20"/>
        <v>6.186685753221769</v>
      </c>
      <c r="J173" s="9">
        <f t="shared" si="20"/>
        <v>6.186685753221769</v>
      </c>
      <c r="K173" s="9">
        <f t="shared" si="20"/>
        <v>6.186685753221769</v>
      </c>
      <c r="L173" s="9">
        <f t="shared" si="20"/>
        <v>6.186685753221769</v>
      </c>
      <c r="M173" s="9">
        <f t="shared" si="20"/>
        <v>6.186685753221769</v>
      </c>
      <c r="N173" s="9">
        <f t="shared" si="20"/>
        <v>6.078668541384863</v>
      </c>
      <c r="O173" s="9">
        <f t="shared" si="20"/>
        <v>5.959849608364265</v>
      </c>
      <c r="P173" s="9">
        <f t="shared" si="20"/>
        <v>5.8291487820416075</v>
      </c>
      <c r="Q173" s="9">
        <f t="shared" si="20"/>
        <v>5.685377873086685</v>
      </c>
      <c r="R173" s="9">
        <f t="shared" si="20"/>
        <v>5.527229873236269</v>
      </c>
      <c r="S173" s="9">
        <f t="shared" si="20"/>
        <v>5.353267073400812</v>
      </c>
      <c r="T173" s="9">
        <f t="shared" si="20"/>
        <v>5.16190799358181</v>
      </c>
      <c r="U173" s="9">
        <f t="shared" si="20"/>
        <v>4.951413005780907</v>
      </c>
      <c r="V173" s="9">
        <f t="shared" si="20"/>
        <v>4.719868519199914</v>
      </c>
      <c r="W173" s="9">
        <f t="shared" si="20"/>
        <v>4.465169583960821</v>
      </c>
      <c r="X173" s="9">
        <f t="shared" si="20"/>
        <v>4.18500075519782</v>
      </c>
      <c r="Y173" s="9">
        <f t="shared" si="20"/>
        <v>3.8768150435585182</v>
      </c>
      <c r="Z173" s="9">
        <f t="shared" si="20"/>
        <v>3.537810760755286</v>
      </c>
      <c r="AA173" s="9">
        <f t="shared" si="20"/>
        <v>3.164906049671731</v>
      </c>
      <c r="AB173" s="9">
        <f t="shared" si="20"/>
        <v>2.75471086747982</v>
      </c>
      <c r="AC173" s="9">
        <f t="shared" si="20"/>
        <v>2.3034961670687184</v>
      </c>
      <c r="AD173" s="9">
        <f t="shared" si="20"/>
        <v>1.8071599966165062</v>
      </c>
      <c r="AE173" s="9">
        <f t="shared" si="20"/>
        <v>1.261190209119073</v>
      </c>
      <c r="AF173" s="9">
        <f t="shared" si="20"/>
        <v>0.6606234428718963</v>
      </c>
    </row>
    <row r="174" spans="1:32" ht="11.25">
      <c r="A174" s="2" t="s">
        <v>35</v>
      </c>
      <c r="B174" s="16">
        <f>SUM(C174:G174)</f>
        <v>7.384125230126289</v>
      </c>
      <c r="C174" s="9">
        <f>C171*$B$70</f>
        <v>0</v>
      </c>
      <c r="D174" s="9">
        <f>D171*$B$70</f>
        <v>0.023702</v>
      </c>
      <c r="E174" s="9">
        <f>E171*$B$70</f>
        <v>0.624353828</v>
      </c>
      <c r="F174" s="9">
        <f>F171*$B$70</f>
        <v>2.438702781592</v>
      </c>
      <c r="G174" s="9">
        <f>G171*$B$70</f>
        <v>4.297366620534288</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row>
    <row r="175" spans="1:32" ht="11.25">
      <c r="A175" s="2" t="s">
        <v>36</v>
      </c>
      <c r="C175" s="9">
        <v>0</v>
      </c>
      <c r="D175" s="9">
        <v>0</v>
      </c>
      <c r="E175" s="9">
        <v>0</v>
      </c>
      <c r="F175" s="9">
        <v>0</v>
      </c>
      <c r="G175" s="9">
        <v>0</v>
      </c>
      <c r="H175" s="9">
        <v>0</v>
      </c>
      <c r="I175" s="9">
        <v>0</v>
      </c>
      <c r="J175" s="9">
        <v>0</v>
      </c>
      <c r="K175" s="9">
        <v>0</v>
      </c>
      <c r="L175" s="9">
        <v>0</v>
      </c>
      <c r="M175" s="9">
        <f>$G$176*$B$69/((1+$B$69)^$B$65-1)</f>
        <v>7.715515131207624</v>
      </c>
      <c r="N175" s="9">
        <f aca="true" t="shared" si="21" ref="N175:AF175">M175*(1+$B$69)</f>
        <v>8.487066644328387</v>
      </c>
      <c r="O175" s="9">
        <f t="shared" si="21"/>
        <v>9.335773308761226</v>
      </c>
      <c r="P175" s="9">
        <f t="shared" si="21"/>
        <v>10.269350639637349</v>
      </c>
      <c r="Q175" s="9">
        <f t="shared" si="21"/>
        <v>11.296285703601084</v>
      </c>
      <c r="R175" s="9">
        <f t="shared" si="21"/>
        <v>12.425914273961194</v>
      </c>
      <c r="S175" s="9">
        <f t="shared" si="21"/>
        <v>13.668505701357315</v>
      </c>
      <c r="T175" s="9">
        <f t="shared" si="21"/>
        <v>15.035356271493047</v>
      </c>
      <c r="U175" s="9">
        <f t="shared" si="21"/>
        <v>16.53889189864235</v>
      </c>
      <c r="V175" s="9">
        <f t="shared" si="21"/>
        <v>18.19278108850659</v>
      </c>
      <c r="W175" s="9">
        <f t="shared" si="21"/>
        <v>20.01205919735725</v>
      </c>
      <c r="X175" s="9">
        <f t="shared" si="21"/>
        <v>22.013265117092978</v>
      </c>
      <c r="Y175" s="9">
        <f t="shared" si="21"/>
        <v>24.214591628802278</v>
      </c>
      <c r="Z175" s="9">
        <f t="shared" si="21"/>
        <v>26.636050791682507</v>
      </c>
      <c r="AA175" s="9">
        <f t="shared" si="21"/>
        <v>29.29965587085076</v>
      </c>
      <c r="AB175" s="9">
        <f t="shared" si="21"/>
        <v>32.22962145793584</v>
      </c>
      <c r="AC175" s="9">
        <f t="shared" si="21"/>
        <v>35.45258360372943</v>
      </c>
      <c r="AD175" s="9">
        <f t="shared" si="21"/>
        <v>38.99784196410238</v>
      </c>
      <c r="AE175" s="9">
        <f t="shared" si="21"/>
        <v>42.897626160512615</v>
      </c>
      <c r="AF175" s="9">
        <f t="shared" si="21"/>
        <v>47.18738877656388</v>
      </c>
    </row>
    <row r="176" spans="1:32" ht="11.25">
      <c r="A176" s="2" t="s">
        <v>37</v>
      </c>
      <c r="C176" s="9">
        <f aca="true" t="shared" si="22" ref="C176:AF176">C171+C172-C175+C174</f>
        <v>1.693</v>
      </c>
      <c r="D176" s="9">
        <f t="shared" si="22"/>
        <v>44.596702</v>
      </c>
      <c r="E176" s="9">
        <f t="shared" si="22"/>
        <v>174.193055828</v>
      </c>
      <c r="F176" s="9">
        <f t="shared" si="22"/>
        <v>306.95475860959203</v>
      </c>
      <c r="G176" s="37">
        <f t="shared" si="22"/>
        <v>441.90612523012635</v>
      </c>
      <c r="H176" s="9">
        <f t="shared" si="22"/>
        <v>441.90612523012635</v>
      </c>
      <c r="I176" s="9">
        <f t="shared" si="22"/>
        <v>441.90612523012635</v>
      </c>
      <c r="J176" s="9">
        <f t="shared" si="22"/>
        <v>441.90612523012635</v>
      </c>
      <c r="K176" s="9">
        <f t="shared" si="22"/>
        <v>441.90612523012635</v>
      </c>
      <c r="L176" s="9">
        <f t="shared" si="22"/>
        <v>441.90612523012635</v>
      </c>
      <c r="M176" s="9">
        <f t="shared" si="22"/>
        <v>434.19061009891874</v>
      </c>
      <c r="N176" s="9">
        <f t="shared" si="22"/>
        <v>425.7035434545904</v>
      </c>
      <c r="O176" s="9">
        <f t="shared" si="22"/>
        <v>416.3677701458291</v>
      </c>
      <c r="P176" s="9">
        <f t="shared" si="22"/>
        <v>406.09841950619176</v>
      </c>
      <c r="Q176" s="9">
        <f t="shared" si="22"/>
        <v>394.8021338025907</v>
      </c>
      <c r="R176" s="9">
        <f t="shared" si="22"/>
        <v>382.37621952862946</v>
      </c>
      <c r="S176" s="9">
        <f t="shared" si="22"/>
        <v>368.70771382727213</v>
      </c>
      <c r="T176" s="9">
        <f t="shared" si="22"/>
        <v>353.67235755577906</v>
      </c>
      <c r="U176" s="9">
        <f t="shared" si="22"/>
        <v>337.1334656571367</v>
      </c>
      <c r="V176" s="9">
        <f t="shared" si="22"/>
        <v>318.9406845686301</v>
      </c>
      <c r="W176" s="9">
        <f t="shared" si="22"/>
        <v>298.92862537127286</v>
      </c>
      <c r="X176" s="9">
        <f t="shared" si="22"/>
        <v>276.91536025417986</v>
      </c>
      <c r="Y176" s="9">
        <f t="shared" si="22"/>
        <v>252.70076862537758</v>
      </c>
      <c r="Z176" s="9">
        <f t="shared" si="22"/>
        <v>226.06471783369506</v>
      </c>
      <c r="AA176" s="9">
        <f t="shared" si="22"/>
        <v>196.7650619628443</v>
      </c>
      <c r="AB176" s="9">
        <f t="shared" si="22"/>
        <v>164.53544050490845</v>
      </c>
      <c r="AC176" s="9">
        <f t="shared" si="22"/>
        <v>129.082856901179</v>
      </c>
      <c r="AD176" s="9">
        <f t="shared" si="22"/>
        <v>90.08501493707664</v>
      </c>
      <c r="AE176" s="9">
        <f t="shared" si="22"/>
        <v>47.18738877656402</v>
      </c>
      <c r="AF176" s="9">
        <f t="shared" si="22"/>
        <v>1.4210854715202004E-13</v>
      </c>
    </row>
    <row r="177" spans="1:27" ht="11.25">
      <c r="A177" s="14" t="s">
        <v>83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32" ht="11.25">
      <c r="A178" s="11" t="s">
        <v>34</v>
      </c>
      <c r="B178" s="30" t="s">
        <v>85</v>
      </c>
      <c r="C178" s="12">
        <f aca="true" t="shared" si="23" ref="C178:AF178">C173*C$118/1000</f>
        <v>0</v>
      </c>
      <c r="D178" s="12">
        <f t="shared" si="23"/>
        <v>0</v>
      </c>
      <c r="E178" s="12">
        <f t="shared" si="23"/>
        <v>0</v>
      </c>
      <c r="F178" s="12">
        <f t="shared" si="23"/>
        <v>0</v>
      </c>
      <c r="G178" s="12">
        <f t="shared" si="23"/>
        <v>0</v>
      </c>
      <c r="H178" s="12">
        <f t="shared" si="23"/>
        <v>137.195108784993</v>
      </c>
      <c r="I178" s="12">
        <f t="shared" si="23"/>
        <v>142.9115716510344</v>
      </c>
      <c r="J178" s="12">
        <f t="shared" si="23"/>
        <v>148.8662204698275</v>
      </c>
      <c r="K178" s="12">
        <f t="shared" si="23"/>
        <v>155.0689796560703</v>
      </c>
      <c r="L178" s="12">
        <f t="shared" si="23"/>
        <v>161.5301871417399</v>
      </c>
      <c r="M178" s="12">
        <f t="shared" si="23"/>
        <v>168.26061160597908</v>
      </c>
      <c r="N178" s="12">
        <f t="shared" si="23"/>
        <v>172.21129631597876</v>
      </c>
      <c r="O178" s="12">
        <f t="shared" si="23"/>
        <v>175.88031749830319</v>
      </c>
      <c r="P178" s="12">
        <f t="shared" si="23"/>
        <v>179.19085734483787</v>
      </c>
      <c r="Q178" s="12">
        <f t="shared" si="23"/>
        <v>182.05340620557686</v>
      </c>
      <c r="R178" s="12">
        <f t="shared" si="23"/>
        <v>184.36384964314377</v>
      </c>
      <c r="S178" s="12">
        <f t="shared" si="23"/>
        <v>186.00127393060254</v>
      </c>
      <c r="T178" s="12">
        <f t="shared" si="23"/>
        <v>186.82544882447544</v>
      </c>
      <c r="U178" s="12">
        <f t="shared" si="23"/>
        <v>186.6739404367184</v>
      </c>
      <c r="V178" s="12">
        <f t="shared" si="23"/>
        <v>185.3588001448582</v>
      </c>
      <c r="W178" s="12">
        <f t="shared" si="23"/>
        <v>182.66276759075944</v>
      </c>
      <c r="X178" s="12">
        <f t="shared" si="23"/>
        <v>178.33491677910922</v>
      </c>
      <c r="Y178" s="12">
        <f t="shared" si="23"/>
        <v>172.08566392887232</v>
      </c>
      <c r="Z178" s="12">
        <f t="shared" si="23"/>
        <v>163.5810438623985</v>
      </c>
      <c r="AA178" s="12">
        <f t="shared" si="23"/>
        <v>152.43614811722642</v>
      </c>
      <c r="AB178" s="12">
        <f t="shared" si="23"/>
        <v>138.2076023824762</v>
      </c>
      <c r="AC178" s="12">
        <f t="shared" si="23"/>
        <v>120.38494300577581</v>
      </c>
      <c r="AD178" s="12">
        <f t="shared" si="23"/>
        <v>98.38073185646724</v>
      </c>
      <c r="AE178" s="12">
        <f t="shared" si="23"/>
        <v>71.51922538659348</v>
      </c>
      <c r="AF178" s="12">
        <f t="shared" si="23"/>
        <v>39.023386867685</v>
      </c>
    </row>
    <row r="179" spans="1:32" ht="11.25">
      <c r="A179" s="11" t="s">
        <v>84</v>
      </c>
      <c r="B179" s="23">
        <f>IRR(C179:AA179)</f>
        <v>0.027614458627366494</v>
      </c>
      <c r="C179" s="12">
        <f aca="true" t="shared" si="24" ref="C179:AF179">(C172-C173-C175)*C$118/1000</f>
        <v>27.9345</v>
      </c>
      <c r="D179" s="12">
        <f t="shared" si="24"/>
        <v>763.264</v>
      </c>
      <c r="E179" s="12">
        <f t="shared" si="24"/>
        <v>2459.680285714286</v>
      </c>
      <c r="F179" s="12">
        <f t="shared" si="24"/>
        <v>2638.3204272959188</v>
      </c>
      <c r="G179" s="12">
        <f t="shared" si="24"/>
        <v>2781.4708617623646</v>
      </c>
      <c r="H179" s="12">
        <f t="shared" si="24"/>
        <v>-137.195108784993</v>
      </c>
      <c r="I179" s="12">
        <f t="shared" si="24"/>
        <v>-142.9115716510344</v>
      </c>
      <c r="J179" s="12">
        <f t="shared" si="24"/>
        <v>-148.8662204698275</v>
      </c>
      <c r="K179" s="12">
        <f t="shared" si="24"/>
        <v>-155.0689796560703</v>
      </c>
      <c r="L179" s="12">
        <f t="shared" si="24"/>
        <v>-161.5301871417399</v>
      </c>
      <c r="M179" s="12">
        <f t="shared" si="24"/>
        <v>-378.10112179451147</v>
      </c>
      <c r="N179" s="12">
        <f t="shared" si="24"/>
        <v>-412.6535475736721</v>
      </c>
      <c r="O179" s="12">
        <f t="shared" si="24"/>
        <v>-451.38706373107686</v>
      </c>
      <c r="P179" s="12">
        <f t="shared" si="24"/>
        <v>-494.8756707365577</v>
      </c>
      <c r="Q179" s="12">
        <f t="shared" si="24"/>
        <v>-543.7755882169225</v>
      </c>
      <c r="R179" s="12">
        <f t="shared" si="24"/>
        <v>-598.8371831978106</v>
      </c>
      <c r="S179" s="12">
        <f t="shared" si="24"/>
        <v>-660.9186352953251</v>
      </c>
      <c r="T179" s="12">
        <f t="shared" si="24"/>
        <v>-731.0015920548867</v>
      </c>
      <c r="U179" s="12">
        <f t="shared" si="24"/>
        <v>-810.209104554898</v>
      </c>
      <c r="V179" s="12">
        <f t="shared" si="24"/>
        <v>-899.8261756969391</v>
      </c>
      <c r="W179" s="12">
        <f t="shared" si="24"/>
        <v>-1001.3233020775189</v>
      </c>
      <c r="X179" s="12">
        <f t="shared" si="24"/>
        <v>-1116.3834458785213</v>
      </c>
      <c r="Y179" s="12">
        <f t="shared" si="24"/>
        <v>-1246.9329368552822</v>
      </c>
      <c r="Z179" s="12">
        <f t="shared" si="24"/>
        <v>-1395.1768774239097</v>
      </c>
      <c r="AA179" s="12">
        <f t="shared" si="24"/>
        <v>-1563.6397074064582</v>
      </c>
      <c r="AB179" s="12">
        <f t="shared" si="24"/>
        <v>-1755.2116807347215</v>
      </c>
      <c r="AC179" s="12">
        <f t="shared" si="24"/>
        <v>-1973.2021161177233</v>
      </c>
      <c r="AD179" s="12">
        <f t="shared" si="24"/>
        <v>-2221.4004093805743</v>
      </c>
      <c r="AE179" s="12">
        <f t="shared" si="24"/>
        <v>-2504.1459392162997</v>
      </c>
      <c r="AF179" s="12">
        <f t="shared" si="24"/>
        <v>-2826.40816313089</v>
      </c>
    </row>
    <row r="180" ht="11.25">
      <c r="A180" s="1" t="s">
        <v>52</v>
      </c>
    </row>
    <row r="181" spans="1:9" ht="11.25">
      <c r="A181" s="11" t="s">
        <v>3</v>
      </c>
      <c r="B181" s="16">
        <f aca="true" t="shared" si="25" ref="B181:G187">B142</f>
        <v>560.2221967275667</v>
      </c>
      <c r="C181" s="12">
        <f t="shared" si="25"/>
        <v>0</v>
      </c>
      <c r="D181" s="12">
        <f t="shared" si="25"/>
        <v>55.21970928000001</v>
      </c>
      <c r="E181" s="12">
        <f t="shared" si="25"/>
        <v>166.99464278784</v>
      </c>
      <c r="F181" s="12">
        <f t="shared" si="25"/>
        <v>168.33059993014277</v>
      </c>
      <c r="G181" s="12">
        <f t="shared" si="25"/>
        <v>169.6772447295839</v>
      </c>
      <c r="I181" s="43"/>
    </row>
    <row r="182" spans="1:9" ht="11.25">
      <c r="A182" s="11" t="s">
        <v>4</v>
      </c>
      <c r="B182" s="16">
        <f t="shared" si="25"/>
        <v>151.91834349333334</v>
      </c>
      <c r="C182" s="12">
        <f t="shared" si="25"/>
        <v>61.096833333333336</v>
      </c>
      <c r="D182" s="12">
        <f t="shared" si="25"/>
        <v>90.82151016</v>
      </c>
      <c r="E182" s="12">
        <f t="shared" si="25"/>
        <v>0</v>
      </c>
      <c r="F182" s="12">
        <f t="shared" si="25"/>
        <v>0</v>
      </c>
      <c r="G182" s="12">
        <f t="shared" si="25"/>
        <v>0</v>
      </c>
      <c r="I182" s="43"/>
    </row>
    <row r="183" spans="1:7" ht="11.25">
      <c r="A183" s="11" t="s">
        <v>5</v>
      </c>
      <c r="B183" s="16">
        <f t="shared" si="25"/>
        <v>23.91492040437334</v>
      </c>
      <c r="C183" s="12">
        <f t="shared" si="25"/>
        <v>7.196193333333334</v>
      </c>
      <c r="D183" s="12">
        <f t="shared" si="25"/>
        <v>7.129856040000002</v>
      </c>
      <c r="E183" s="12">
        <f t="shared" si="25"/>
        <v>9.588871031040002</v>
      </c>
      <c r="F183" s="12">
        <f t="shared" si="25"/>
        <v>0</v>
      </c>
      <c r="G183" s="12">
        <f t="shared" si="25"/>
        <v>0</v>
      </c>
    </row>
    <row r="184" spans="1:7" ht="11.25">
      <c r="A184" s="11" t="s">
        <v>6</v>
      </c>
      <c r="B184" s="16">
        <f t="shared" si="25"/>
        <v>0.5399133333333335</v>
      </c>
      <c r="C184" s="12">
        <f t="shared" si="25"/>
        <v>0.5399133333333335</v>
      </c>
      <c r="D184" s="12">
        <f t="shared" si="25"/>
        <v>0</v>
      </c>
      <c r="E184" s="12">
        <f t="shared" si="25"/>
        <v>0</v>
      </c>
      <c r="F184" s="12">
        <f t="shared" si="25"/>
        <v>0</v>
      </c>
      <c r="G184" s="12">
        <f t="shared" si="25"/>
        <v>0</v>
      </c>
    </row>
    <row r="185" spans="1:7" ht="11.25">
      <c r="A185" s="11" t="s">
        <v>7</v>
      </c>
      <c r="B185" s="16">
        <f t="shared" si="25"/>
        <v>20.71960713579334</v>
      </c>
      <c r="C185" s="12">
        <f t="shared" si="25"/>
        <v>2.04536</v>
      </c>
      <c r="D185" s="12">
        <f t="shared" si="25"/>
        <v>3.0755463600000006</v>
      </c>
      <c r="E185" s="12">
        <f t="shared" si="25"/>
        <v>6.199576306560001</v>
      </c>
      <c r="F185" s="12">
        <f t="shared" si="25"/>
        <v>6.249172917012482</v>
      </c>
      <c r="G185" s="12">
        <f t="shared" si="25"/>
        <v>3.1499515522208568</v>
      </c>
    </row>
    <row r="186" spans="1:7" ht="11.25">
      <c r="A186" s="11" t="s">
        <v>8</v>
      </c>
      <c r="B186" s="16">
        <f t="shared" si="25"/>
        <v>11.892194487773459</v>
      </c>
      <c r="C186" s="12">
        <f t="shared" si="25"/>
        <v>2.374746666666667</v>
      </c>
      <c r="D186" s="12">
        <f t="shared" si="25"/>
        <v>2.3509992000000004</v>
      </c>
      <c r="E186" s="12">
        <f t="shared" si="25"/>
        <v>2.3698071936000003</v>
      </c>
      <c r="F186" s="12">
        <f t="shared" si="25"/>
        <v>2.3887656511488005</v>
      </c>
      <c r="G186" s="12">
        <f t="shared" si="25"/>
        <v>2.407875776357991</v>
      </c>
    </row>
    <row r="187" spans="1:7" ht="11.25">
      <c r="A187" s="11" t="s">
        <v>9</v>
      </c>
      <c r="B187" s="16">
        <f t="shared" si="25"/>
        <v>1.6430399999999998</v>
      </c>
      <c r="C187" s="12">
        <f t="shared" si="25"/>
        <v>1.6430399999999998</v>
      </c>
      <c r="D187" s="12">
        <f t="shared" si="25"/>
        <v>0</v>
      </c>
      <c r="E187" s="12">
        <f t="shared" si="25"/>
        <v>0</v>
      </c>
      <c r="F187" s="12">
        <f t="shared" si="25"/>
        <v>0</v>
      </c>
      <c r="G187" s="12">
        <f t="shared" si="25"/>
        <v>0</v>
      </c>
    </row>
    <row r="188" spans="1:7" ht="11.25">
      <c r="A188" s="11" t="s">
        <v>35</v>
      </c>
      <c r="B188" s="16">
        <f aca="true" t="shared" si="26" ref="B188:G188">B164+B174</f>
        <v>43.75488503572245</v>
      </c>
      <c r="C188" s="12">
        <f t="shared" si="26"/>
        <v>0</v>
      </c>
      <c r="D188" s="12">
        <f t="shared" si="26"/>
        <v>3.1918088000000004</v>
      </c>
      <c r="E188" s="12">
        <f t="shared" si="26"/>
        <v>8.97593848448</v>
      </c>
      <c r="F188" s="12">
        <f t="shared" si="26"/>
        <v>13.603951729094529</v>
      </c>
      <c r="G188" s="12">
        <f t="shared" si="26"/>
        <v>17.983186022147926</v>
      </c>
    </row>
    <row r="189" spans="1:7" ht="11.25">
      <c r="A189" s="15" t="s">
        <v>25</v>
      </c>
      <c r="B189" s="16">
        <f aca="true" t="shared" si="27" ref="B189:G189">SUM(B181:B188)</f>
        <v>814.6051006178959</v>
      </c>
      <c r="C189" s="12">
        <f t="shared" si="27"/>
        <v>74.89608666666668</v>
      </c>
      <c r="D189" s="12">
        <f t="shared" si="27"/>
        <v>161.78942984</v>
      </c>
      <c r="E189" s="12">
        <f t="shared" si="27"/>
        <v>194.12883580352002</v>
      </c>
      <c r="F189" s="12">
        <f t="shared" si="27"/>
        <v>190.57249022739856</v>
      </c>
      <c r="G189" s="12">
        <f t="shared" si="27"/>
        <v>193.21825808031068</v>
      </c>
    </row>
    <row r="190" ht="11.25">
      <c r="A190" s="1" t="s">
        <v>53</v>
      </c>
    </row>
    <row r="191" spans="1:7" ht="11.25">
      <c r="A191" s="11" t="s">
        <v>3</v>
      </c>
      <c r="B191" s="16">
        <f aca="true" t="shared" si="28" ref="B191:G197">B151</f>
        <v>11187.731581637772</v>
      </c>
      <c r="C191" s="12">
        <f t="shared" si="28"/>
        <v>0</v>
      </c>
      <c r="D191" s="12">
        <f t="shared" si="28"/>
        <v>982.9108251840001</v>
      </c>
      <c r="E191" s="12">
        <f t="shared" si="28"/>
        <v>3184.8264017395204</v>
      </c>
      <c r="F191" s="12">
        <f t="shared" si="28"/>
        <v>3407.764249861287</v>
      </c>
      <c r="G191" s="12">
        <f t="shared" si="28"/>
        <v>3612.2301048529644</v>
      </c>
    </row>
    <row r="192" spans="1:7" ht="11.25">
      <c r="A192" s="11" t="s">
        <v>4</v>
      </c>
      <c r="B192" s="16">
        <f t="shared" si="28"/>
        <v>2624.7206308480004</v>
      </c>
      <c r="C192" s="12">
        <f t="shared" si="28"/>
        <v>1008.0977500000001</v>
      </c>
      <c r="D192" s="12">
        <f t="shared" si="28"/>
        <v>1616.6228808480002</v>
      </c>
      <c r="E192" s="12">
        <f t="shared" si="28"/>
        <v>0</v>
      </c>
      <c r="F192" s="12">
        <f t="shared" si="28"/>
        <v>0</v>
      </c>
      <c r="G192" s="12">
        <f t="shared" si="28"/>
        <v>0</v>
      </c>
    </row>
    <row r="193" spans="1:7" ht="11.25">
      <c r="A193" s="11" t="s">
        <v>5</v>
      </c>
      <c r="B193" s="16">
        <f t="shared" si="28"/>
        <v>428.52209646112004</v>
      </c>
      <c r="C193" s="12">
        <f t="shared" si="28"/>
        <v>118.73719000000001</v>
      </c>
      <c r="D193" s="12">
        <f t="shared" si="28"/>
        <v>126.91143751200002</v>
      </c>
      <c r="E193" s="12">
        <f t="shared" si="28"/>
        <v>182.87346894912002</v>
      </c>
      <c r="F193" s="12">
        <f t="shared" si="28"/>
        <v>0</v>
      </c>
      <c r="G193" s="12">
        <f t="shared" si="28"/>
        <v>0</v>
      </c>
    </row>
    <row r="194" spans="1:7" ht="11.25">
      <c r="A194" s="11" t="s">
        <v>6</v>
      </c>
      <c r="B194" s="16">
        <f t="shared" si="28"/>
        <v>8.908570000000001</v>
      </c>
      <c r="C194" s="12">
        <f t="shared" si="28"/>
        <v>8.908570000000001</v>
      </c>
      <c r="D194" s="12">
        <f t="shared" si="28"/>
        <v>0</v>
      </c>
      <c r="E194" s="12">
        <f t="shared" si="28"/>
        <v>0</v>
      </c>
      <c r="F194" s="12">
        <f t="shared" si="28"/>
        <v>0</v>
      </c>
      <c r="G194" s="12">
        <f t="shared" si="28"/>
        <v>0</v>
      </c>
    </row>
    <row r="195" spans="1:7" ht="11.25">
      <c r="A195" s="11" t="s">
        <v>7</v>
      </c>
      <c r="B195" s="16">
        <f t="shared" si="28"/>
        <v>400.2979377020044</v>
      </c>
      <c r="C195" s="12">
        <f t="shared" si="28"/>
        <v>33.74844</v>
      </c>
      <c r="D195" s="12">
        <f t="shared" si="28"/>
        <v>54.744725208000006</v>
      </c>
      <c r="E195" s="12">
        <f t="shared" si="28"/>
        <v>118.23477670368003</v>
      </c>
      <c r="F195" s="12">
        <f t="shared" si="28"/>
        <v>126.51121107293764</v>
      </c>
      <c r="G195" s="12">
        <f t="shared" si="28"/>
        <v>67.0587847173867</v>
      </c>
    </row>
    <row r="196" spans="1:7" ht="11.25">
      <c r="A196" s="11" t="s">
        <v>8</v>
      </c>
      <c r="B196" s="16">
        <f t="shared" si="28"/>
        <v>225.8468749027674</v>
      </c>
      <c r="C196" s="12">
        <f t="shared" si="28"/>
        <v>39.18332</v>
      </c>
      <c r="D196" s="12">
        <f t="shared" si="28"/>
        <v>41.84778576000001</v>
      </c>
      <c r="E196" s="12">
        <f t="shared" si="28"/>
        <v>45.19560862080001</v>
      </c>
      <c r="F196" s="12">
        <f t="shared" si="28"/>
        <v>48.359301224256015</v>
      </c>
      <c r="G196" s="12">
        <f t="shared" si="28"/>
        <v>51.26085929771138</v>
      </c>
    </row>
    <row r="197" spans="1:7" ht="11.25">
      <c r="A197" s="11" t="s">
        <v>9</v>
      </c>
      <c r="B197" s="16">
        <f t="shared" si="28"/>
        <v>27.110159999999997</v>
      </c>
      <c r="C197" s="12">
        <f t="shared" si="28"/>
        <v>27.110159999999997</v>
      </c>
      <c r="D197" s="12">
        <f t="shared" si="28"/>
        <v>0</v>
      </c>
      <c r="E197" s="12">
        <f t="shared" si="28"/>
        <v>0</v>
      </c>
      <c r="F197" s="12">
        <f t="shared" si="28"/>
        <v>0</v>
      </c>
      <c r="G197" s="12">
        <f t="shared" si="28"/>
        <v>0</v>
      </c>
    </row>
    <row r="198" spans="1:7" ht="11.25">
      <c r="A198" s="11" t="s">
        <v>35</v>
      </c>
      <c r="B198" s="26">
        <f>SUM(C198:G198)</f>
        <v>886.2439962102089</v>
      </c>
      <c r="C198" s="8">
        <f>(C164+C174)*C118/1000</f>
        <v>0</v>
      </c>
      <c r="D198" s="8">
        <f>(D164+D174)*D118/1000</f>
        <v>56.814196640000006</v>
      </c>
      <c r="E198" s="8">
        <f>(E164+E174)*E118/1000</f>
        <v>171.18396966829715</v>
      </c>
      <c r="F198" s="8">
        <f>(F164+F174)*F118/1000</f>
        <v>275.40483060409696</v>
      </c>
      <c r="G198" s="8">
        <f>(G164+G174)*G118/1000</f>
        <v>382.8409992978148</v>
      </c>
    </row>
    <row r="199" spans="1:7" ht="11.25">
      <c r="A199" s="15" t="s">
        <v>25</v>
      </c>
      <c r="B199" s="16">
        <f aca="true" t="shared" si="29" ref="B199:G199">SUM(B191:B198)</f>
        <v>15789.381847761872</v>
      </c>
      <c r="C199" s="12">
        <f t="shared" si="29"/>
        <v>1235.7854300000004</v>
      </c>
      <c r="D199" s="12">
        <f t="shared" si="29"/>
        <v>2879.8518511520006</v>
      </c>
      <c r="E199" s="12">
        <f t="shared" si="29"/>
        <v>3702.314225681418</v>
      </c>
      <c r="F199" s="12">
        <f t="shared" si="29"/>
        <v>3858.0395927625777</v>
      </c>
      <c r="G199" s="12">
        <f t="shared" si="29"/>
        <v>4113.390748165877</v>
      </c>
    </row>
    <row r="200" ht="11.25">
      <c r="A200" s="1" t="s">
        <v>10</v>
      </c>
    </row>
    <row r="201" spans="1:3" ht="11.25">
      <c r="A201" s="2" t="s">
        <v>11</v>
      </c>
      <c r="B201" s="16">
        <f>B145</f>
        <v>0.5399133333333335</v>
      </c>
      <c r="C201" s="4">
        <f>B201/SUM($B$201:$B$203)</f>
        <v>0.0006627893010775317</v>
      </c>
    </row>
    <row r="202" spans="1:3" ht="11.25">
      <c r="A202" s="2" t="s">
        <v>12</v>
      </c>
      <c r="B202" s="16">
        <f>G166</f>
        <v>372.16175980559615</v>
      </c>
      <c r="C202" s="4">
        <f>B202/SUM($B$201:$B$203)</f>
        <v>0.45686005038339844</v>
      </c>
    </row>
    <row r="203" spans="1:3" ht="11.25">
      <c r="A203" s="2" t="s">
        <v>13</v>
      </c>
      <c r="B203" s="36">
        <f>G176</f>
        <v>441.90612523012635</v>
      </c>
      <c r="C203" s="4">
        <f>B203/SUM($B$201:$B$203)</f>
        <v>0.542477160315524</v>
      </c>
    </row>
    <row r="204" ht="11.25">
      <c r="A204" s="1" t="s">
        <v>55</v>
      </c>
    </row>
    <row r="205" spans="1:37" ht="11.25">
      <c r="A205" s="2" t="s">
        <v>122</v>
      </c>
      <c r="C205" s="12">
        <v>0</v>
      </c>
      <c r="D205" s="12">
        <f aca="true" t="shared" si="30" ref="D205:AK205">C208</f>
        <v>227.68768000000003</v>
      </c>
      <c r="E205" s="12">
        <f t="shared" si="30"/>
        <v>1490.9166503040003</v>
      </c>
      <c r="F205" s="12">
        <f t="shared" si="30"/>
        <v>5193.230875985419</v>
      </c>
      <c r="G205" s="12">
        <f t="shared" si="30"/>
        <v>9051.270468747996</v>
      </c>
      <c r="H205" s="12">
        <f t="shared" si="30"/>
        <v>13164.661216913873</v>
      </c>
      <c r="I205" s="12">
        <f t="shared" si="30"/>
        <v>12725.839176350077</v>
      </c>
      <c r="J205" s="12">
        <f t="shared" si="30"/>
        <v>12287.017135786282</v>
      </c>
      <c r="K205" s="12">
        <f t="shared" si="30"/>
        <v>11848.195095222487</v>
      </c>
      <c r="L205" s="12">
        <f t="shared" si="30"/>
        <v>11409.373054658692</v>
      </c>
      <c r="M205" s="12">
        <f t="shared" si="30"/>
        <v>10970.551014094897</v>
      </c>
      <c r="N205" s="12">
        <f t="shared" si="30"/>
        <v>10531.728973531102</v>
      </c>
      <c r="O205" s="12">
        <f t="shared" si="30"/>
        <v>10092.906932967308</v>
      </c>
      <c r="P205" s="12">
        <f t="shared" si="30"/>
        <v>9654.084892403513</v>
      </c>
      <c r="Q205" s="12">
        <f t="shared" si="30"/>
        <v>9215.262851839718</v>
      </c>
      <c r="R205" s="12">
        <f t="shared" si="30"/>
        <v>8776.440811275923</v>
      </c>
      <c r="S205" s="12">
        <f t="shared" si="30"/>
        <v>8337.618770712128</v>
      </c>
      <c r="T205" s="12">
        <f t="shared" si="30"/>
        <v>7898.796730148332</v>
      </c>
      <c r="U205" s="12">
        <f t="shared" si="30"/>
        <v>7459.9746895845365</v>
      </c>
      <c r="V205" s="12">
        <f t="shared" si="30"/>
        <v>7021.152649020741</v>
      </c>
      <c r="W205" s="12">
        <f t="shared" si="30"/>
        <v>6582.330608456945</v>
      </c>
      <c r="X205" s="12">
        <f t="shared" si="30"/>
        <v>6143.508567893149</v>
      </c>
      <c r="Y205" s="12">
        <f t="shared" si="30"/>
        <v>5704.686527329353</v>
      </c>
      <c r="Z205" s="12">
        <f t="shared" si="30"/>
        <v>5265.864486765558</v>
      </c>
      <c r="AA205" s="12">
        <f t="shared" si="30"/>
        <v>4827.042446201762</v>
      </c>
      <c r="AB205" s="12">
        <f t="shared" si="30"/>
        <v>4388.220405637966</v>
      </c>
      <c r="AC205" s="12">
        <f t="shared" si="30"/>
        <v>3949.39836507417</v>
      </c>
      <c r="AD205" s="12">
        <f t="shared" si="30"/>
        <v>3510.5763245103744</v>
      </c>
      <c r="AE205" s="12">
        <f t="shared" si="30"/>
        <v>3071.7542839465787</v>
      </c>
      <c r="AF205" s="12">
        <f t="shared" si="30"/>
        <v>2632.932243382783</v>
      </c>
      <c r="AG205" s="12">
        <f t="shared" si="30"/>
        <v>2194.110202818987</v>
      </c>
      <c r="AH205" s="12">
        <f t="shared" si="30"/>
        <v>1755.2881622551913</v>
      </c>
      <c r="AI205" s="12">
        <f t="shared" si="30"/>
        <v>1316.4661216913955</v>
      </c>
      <c r="AJ205" s="12">
        <f t="shared" si="30"/>
        <v>877.6440811275997</v>
      </c>
      <c r="AK205" s="12">
        <f t="shared" si="30"/>
        <v>438.82204056380397</v>
      </c>
    </row>
    <row r="206" spans="1:37" ht="11.25">
      <c r="A206" s="2" t="s">
        <v>56</v>
      </c>
      <c r="C206" s="12">
        <f>C191+C193+C194+C195+C197+C198+C196</f>
        <v>227.68768000000003</v>
      </c>
      <c r="D206" s="12">
        <f>D191+D193+D194+D195+D197+D198+D196</f>
        <v>1263.2289703040003</v>
      </c>
      <c r="E206" s="12">
        <f>E191+E193+E194+E195+E197+E198+E196</f>
        <v>3702.314225681418</v>
      </c>
      <c r="F206" s="12">
        <f>F191+F193+F194+F195+F197+F198+F196</f>
        <v>3858.0395927625777</v>
      </c>
      <c r="G206" s="12">
        <f>G191+G193+G194+G195+G197+G198+G196</f>
        <v>4113.390748165877</v>
      </c>
      <c r="H206" s="12">
        <v>0</v>
      </c>
      <c r="I206" s="12">
        <v>0</v>
      </c>
      <c r="J206" s="12">
        <v>0</v>
      </c>
      <c r="K206" s="12">
        <v>0</v>
      </c>
      <c r="L206" s="12">
        <v>0</v>
      </c>
      <c r="M206" s="12">
        <v>0</v>
      </c>
      <c r="N206" s="12">
        <v>0</v>
      </c>
      <c r="O206" s="12">
        <v>0</v>
      </c>
      <c r="P206" s="12">
        <v>0</v>
      </c>
      <c r="Q206" s="12">
        <v>0</v>
      </c>
      <c r="R206" s="12">
        <v>0</v>
      </c>
      <c r="S206" s="12">
        <v>0</v>
      </c>
      <c r="T206" s="12">
        <v>0</v>
      </c>
      <c r="U206" s="12">
        <v>0</v>
      </c>
      <c r="V206" s="12">
        <v>0</v>
      </c>
      <c r="W206" s="12">
        <v>0</v>
      </c>
      <c r="X206" s="12">
        <v>0</v>
      </c>
      <c r="Y206" s="12">
        <v>0</v>
      </c>
      <c r="Z206" s="12">
        <v>0</v>
      </c>
      <c r="AA206" s="12">
        <v>0</v>
      </c>
      <c r="AB206" s="12">
        <v>0</v>
      </c>
      <c r="AC206" s="12">
        <v>0</v>
      </c>
      <c r="AD206" s="12">
        <v>0</v>
      </c>
      <c r="AE206" s="12">
        <v>0</v>
      </c>
      <c r="AF206" s="12">
        <v>0</v>
      </c>
      <c r="AG206" s="12">
        <v>0</v>
      </c>
      <c r="AH206" s="12">
        <v>0</v>
      </c>
      <c r="AI206" s="12">
        <v>0</v>
      </c>
      <c r="AJ206" s="12">
        <v>0</v>
      </c>
      <c r="AK206" s="12">
        <v>0</v>
      </c>
    </row>
    <row r="207" spans="1:37" ht="11.25">
      <c r="A207" s="2" t="s">
        <v>54</v>
      </c>
      <c r="C207" s="12">
        <v>0</v>
      </c>
      <c r="D207" s="12">
        <v>0</v>
      </c>
      <c r="E207" s="12">
        <v>0</v>
      </c>
      <c r="F207" s="12">
        <v>0</v>
      </c>
      <c r="G207" s="12">
        <v>0</v>
      </c>
      <c r="H207" s="12">
        <f aca="true" t="shared" si="31" ref="H207:AK207">$G$208/$B$72</f>
        <v>438.8220405637958</v>
      </c>
      <c r="I207" s="12">
        <f t="shared" si="31"/>
        <v>438.8220405637958</v>
      </c>
      <c r="J207" s="12">
        <f t="shared" si="31"/>
        <v>438.8220405637958</v>
      </c>
      <c r="K207" s="12">
        <f t="shared" si="31"/>
        <v>438.8220405637958</v>
      </c>
      <c r="L207" s="12">
        <f t="shared" si="31"/>
        <v>438.8220405637958</v>
      </c>
      <c r="M207" s="12">
        <f t="shared" si="31"/>
        <v>438.8220405637958</v>
      </c>
      <c r="N207" s="12">
        <f t="shared" si="31"/>
        <v>438.8220405637958</v>
      </c>
      <c r="O207" s="12">
        <f t="shared" si="31"/>
        <v>438.8220405637958</v>
      </c>
      <c r="P207" s="12">
        <f t="shared" si="31"/>
        <v>438.8220405637958</v>
      </c>
      <c r="Q207" s="12">
        <f t="shared" si="31"/>
        <v>438.8220405637958</v>
      </c>
      <c r="R207" s="12">
        <f t="shared" si="31"/>
        <v>438.8220405637958</v>
      </c>
      <c r="S207" s="12">
        <f t="shared" si="31"/>
        <v>438.8220405637958</v>
      </c>
      <c r="T207" s="12">
        <f t="shared" si="31"/>
        <v>438.8220405637958</v>
      </c>
      <c r="U207" s="12">
        <f t="shared" si="31"/>
        <v>438.8220405637958</v>
      </c>
      <c r="V207" s="12">
        <f t="shared" si="31"/>
        <v>438.8220405637958</v>
      </c>
      <c r="W207" s="12">
        <f t="shared" si="31"/>
        <v>438.8220405637958</v>
      </c>
      <c r="X207" s="12">
        <f t="shared" si="31"/>
        <v>438.8220405637958</v>
      </c>
      <c r="Y207" s="12">
        <f t="shared" si="31"/>
        <v>438.8220405637958</v>
      </c>
      <c r="Z207" s="12">
        <f t="shared" si="31"/>
        <v>438.8220405637958</v>
      </c>
      <c r="AA207" s="12">
        <f t="shared" si="31"/>
        <v>438.8220405637958</v>
      </c>
      <c r="AB207" s="12">
        <f t="shared" si="31"/>
        <v>438.8220405637958</v>
      </c>
      <c r="AC207" s="12">
        <f t="shared" si="31"/>
        <v>438.8220405637958</v>
      </c>
      <c r="AD207" s="12">
        <f t="shared" si="31"/>
        <v>438.8220405637958</v>
      </c>
      <c r="AE207" s="12">
        <f t="shared" si="31"/>
        <v>438.8220405637958</v>
      </c>
      <c r="AF207" s="12">
        <f t="shared" si="31"/>
        <v>438.8220405637958</v>
      </c>
      <c r="AG207" s="12">
        <f t="shared" si="31"/>
        <v>438.8220405637958</v>
      </c>
      <c r="AH207" s="12">
        <f t="shared" si="31"/>
        <v>438.8220405637958</v>
      </c>
      <c r="AI207" s="12">
        <f t="shared" si="31"/>
        <v>438.8220405637958</v>
      </c>
      <c r="AJ207" s="12">
        <f t="shared" si="31"/>
        <v>438.8220405637958</v>
      </c>
      <c r="AK207" s="12">
        <f t="shared" si="31"/>
        <v>438.8220405637958</v>
      </c>
    </row>
    <row r="208" spans="1:37" ht="11.25">
      <c r="A208" s="2" t="s">
        <v>123</v>
      </c>
      <c r="B208" s="16"/>
      <c r="C208" s="12">
        <f aca="true" t="shared" si="32" ref="C208:AK208">C205-C207+C206</f>
        <v>227.68768000000003</v>
      </c>
      <c r="D208" s="12">
        <f t="shared" si="32"/>
        <v>1490.9166503040003</v>
      </c>
      <c r="E208" s="12">
        <f t="shared" si="32"/>
        <v>5193.230875985419</v>
      </c>
      <c r="F208" s="12">
        <f t="shared" si="32"/>
        <v>9051.270468747996</v>
      </c>
      <c r="G208" s="12">
        <f t="shared" si="32"/>
        <v>13164.661216913873</v>
      </c>
      <c r="H208" s="12">
        <f t="shared" si="32"/>
        <v>12725.839176350077</v>
      </c>
      <c r="I208" s="12">
        <f t="shared" si="32"/>
        <v>12287.017135786282</v>
      </c>
      <c r="J208" s="12">
        <f t="shared" si="32"/>
        <v>11848.195095222487</v>
      </c>
      <c r="K208" s="12">
        <f t="shared" si="32"/>
        <v>11409.373054658692</v>
      </c>
      <c r="L208" s="12">
        <f t="shared" si="32"/>
        <v>10970.551014094897</v>
      </c>
      <c r="M208" s="12">
        <f t="shared" si="32"/>
        <v>10531.728973531102</v>
      </c>
      <c r="N208" s="12">
        <f t="shared" si="32"/>
        <v>10092.906932967308</v>
      </c>
      <c r="O208" s="12">
        <f t="shared" si="32"/>
        <v>9654.084892403513</v>
      </c>
      <c r="P208" s="12">
        <f t="shared" si="32"/>
        <v>9215.262851839718</v>
      </c>
      <c r="Q208" s="12">
        <f t="shared" si="32"/>
        <v>8776.440811275923</v>
      </c>
      <c r="R208" s="12">
        <f t="shared" si="32"/>
        <v>8337.618770712128</v>
      </c>
      <c r="S208" s="12">
        <f t="shared" si="32"/>
        <v>7898.796730148332</v>
      </c>
      <c r="T208" s="12">
        <f t="shared" si="32"/>
        <v>7459.9746895845365</v>
      </c>
      <c r="U208" s="12">
        <f t="shared" si="32"/>
        <v>7021.152649020741</v>
      </c>
      <c r="V208" s="12">
        <f t="shared" si="32"/>
        <v>6582.330608456945</v>
      </c>
      <c r="W208" s="12">
        <f t="shared" si="32"/>
        <v>6143.508567893149</v>
      </c>
      <c r="X208" s="12">
        <f t="shared" si="32"/>
        <v>5704.686527329353</v>
      </c>
      <c r="Y208" s="12">
        <f t="shared" si="32"/>
        <v>5265.864486765558</v>
      </c>
      <c r="Z208" s="12">
        <f t="shared" si="32"/>
        <v>4827.042446201762</v>
      </c>
      <c r="AA208" s="12">
        <f t="shared" si="32"/>
        <v>4388.220405637966</v>
      </c>
      <c r="AB208" s="12">
        <f t="shared" si="32"/>
        <v>3949.39836507417</v>
      </c>
      <c r="AC208" s="12">
        <f t="shared" si="32"/>
        <v>3510.5763245103744</v>
      </c>
      <c r="AD208" s="12">
        <f t="shared" si="32"/>
        <v>3071.7542839465787</v>
      </c>
      <c r="AE208" s="12">
        <f t="shared" si="32"/>
        <v>2632.932243382783</v>
      </c>
      <c r="AF208" s="12">
        <f t="shared" si="32"/>
        <v>2194.110202818987</v>
      </c>
      <c r="AG208" s="12">
        <f t="shared" si="32"/>
        <v>1755.2881622551913</v>
      </c>
      <c r="AH208" s="12">
        <f t="shared" si="32"/>
        <v>1316.4661216913955</v>
      </c>
      <c r="AI208" s="12">
        <f t="shared" si="32"/>
        <v>877.6440811275997</v>
      </c>
      <c r="AJ208" s="12">
        <f t="shared" si="32"/>
        <v>438.82204056380397</v>
      </c>
      <c r="AK208" s="12">
        <f t="shared" si="32"/>
        <v>8.185452315956354E-12</v>
      </c>
    </row>
    <row r="209" spans="1:7" ht="11.25">
      <c r="A209" s="13" t="s">
        <v>59</v>
      </c>
      <c r="G209" s="12"/>
    </row>
    <row r="210" spans="1:7" ht="11.25">
      <c r="A210" s="15" t="s">
        <v>65</v>
      </c>
      <c r="G210" s="12"/>
    </row>
    <row r="211" spans="1:37" ht="11.25">
      <c r="A211" s="38" t="s">
        <v>63</v>
      </c>
      <c r="H211" s="7">
        <f aca="true" t="shared" si="33" ref="H211:H216">H78</f>
        <v>3913</v>
      </c>
      <c r="I211" s="7">
        <f aca="true" t="shared" si="34" ref="I211:O216">ROUND(H211*(1+$D78),0)</f>
        <v>4246</v>
      </c>
      <c r="J211" s="7">
        <f t="shared" si="34"/>
        <v>4607</v>
      </c>
      <c r="K211" s="7">
        <f t="shared" si="34"/>
        <v>4999</v>
      </c>
      <c r="L211" s="7">
        <f t="shared" si="34"/>
        <v>5424</v>
      </c>
      <c r="M211" s="7">
        <f t="shared" si="34"/>
        <v>5885</v>
      </c>
      <c r="N211" s="7">
        <f t="shared" si="34"/>
        <v>6385</v>
      </c>
      <c r="O211" s="7">
        <f t="shared" si="34"/>
        <v>6928</v>
      </c>
      <c r="P211" s="7">
        <f aca="true" t="shared" si="35" ref="P211:T216">ROUND(O211*(1+$E78),0)</f>
        <v>7371</v>
      </c>
      <c r="Q211" s="7">
        <f t="shared" si="35"/>
        <v>7843</v>
      </c>
      <c r="R211" s="7">
        <f t="shared" si="35"/>
        <v>8345</v>
      </c>
      <c r="S211" s="7">
        <f t="shared" si="35"/>
        <v>8879</v>
      </c>
      <c r="T211" s="7">
        <f t="shared" si="35"/>
        <v>9447</v>
      </c>
      <c r="U211" s="7">
        <f aca="true" t="shared" si="36" ref="U211:Y216">ROUND(T211*(1+$F78),0)</f>
        <v>9447</v>
      </c>
      <c r="V211" s="7">
        <f t="shared" si="36"/>
        <v>9447</v>
      </c>
      <c r="W211" s="7">
        <f t="shared" si="36"/>
        <v>9447</v>
      </c>
      <c r="X211" s="7">
        <f t="shared" si="36"/>
        <v>9447</v>
      </c>
      <c r="Y211" s="7">
        <f t="shared" si="36"/>
        <v>9447</v>
      </c>
      <c r="Z211" s="7">
        <f aca="true" t="shared" si="37" ref="Z211:AK216">ROUND(Y211*(1+$G78),0)</f>
        <v>9447</v>
      </c>
      <c r="AA211" s="7">
        <f t="shared" si="37"/>
        <v>9447</v>
      </c>
      <c r="AB211" s="7">
        <f t="shared" si="37"/>
        <v>9447</v>
      </c>
      <c r="AC211" s="7">
        <f t="shared" si="37"/>
        <v>9447</v>
      </c>
      <c r="AD211" s="7">
        <f t="shared" si="37"/>
        <v>9447</v>
      </c>
      <c r="AE211" s="7">
        <f t="shared" si="37"/>
        <v>9447</v>
      </c>
      <c r="AF211" s="7">
        <f t="shared" si="37"/>
        <v>9447</v>
      </c>
      <c r="AG211" s="7">
        <f t="shared" si="37"/>
        <v>9447</v>
      </c>
      <c r="AH211" s="7">
        <f t="shared" si="37"/>
        <v>9447</v>
      </c>
      <c r="AI211" s="7">
        <f t="shared" si="37"/>
        <v>9447</v>
      </c>
      <c r="AJ211" s="7">
        <f t="shared" si="37"/>
        <v>9447</v>
      </c>
      <c r="AK211" s="7">
        <f t="shared" si="37"/>
        <v>9447</v>
      </c>
    </row>
    <row r="212" spans="1:37" ht="11.25">
      <c r="A212" s="38" t="s">
        <v>134</v>
      </c>
      <c r="H212" s="7">
        <f t="shared" si="33"/>
        <v>4534</v>
      </c>
      <c r="I212" s="7">
        <f t="shared" si="34"/>
        <v>4919</v>
      </c>
      <c r="J212" s="7">
        <f t="shared" si="34"/>
        <v>5337</v>
      </c>
      <c r="K212" s="7">
        <f t="shared" si="34"/>
        <v>5791</v>
      </c>
      <c r="L212" s="7">
        <f t="shared" si="34"/>
        <v>6283</v>
      </c>
      <c r="M212" s="7">
        <f t="shared" si="34"/>
        <v>6817</v>
      </c>
      <c r="N212" s="7">
        <f t="shared" si="34"/>
        <v>7396</v>
      </c>
      <c r="O212" s="7">
        <f t="shared" si="34"/>
        <v>8025</v>
      </c>
      <c r="P212" s="7">
        <f t="shared" si="35"/>
        <v>8539</v>
      </c>
      <c r="Q212" s="7">
        <f t="shared" si="35"/>
        <v>9085</v>
      </c>
      <c r="R212" s="7">
        <f t="shared" si="35"/>
        <v>9666</v>
      </c>
      <c r="S212" s="7">
        <f t="shared" si="35"/>
        <v>10285</v>
      </c>
      <c r="T212" s="7">
        <f t="shared" si="35"/>
        <v>10943</v>
      </c>
      <c r="U212" s="7">
        <f t="shared" si="36"/>
        <v>10943</v>
      </c>
      <c r="V212" s="7">
        <f t="shared" si="36"/>
        <v>10943</v>
      </c>
      <c r="W212" s="7">
        <f t="shared" si="36"/>
        <v>10943</v>
      </c>
      <c r="X212" s="7">
        <f t="shared" si="36"/>
        <v>10943</v>
      </c>
      <c r="Y212" s="7">
        <f t="shared" si="36"/>
        <v>10943</v>
      </c>
      <c r="Z212" s="7">
        <f t="shared" si="37"/>
        <v>10943</v>
      </c>
      <c r="AA212" s="7">
        <f t="shared" si="37"/>
        <v>10943</v>
      </c>
      <c r="AB212" s="7">
        <f t="shared" si="37"/>
        <v>10943</v>
      </c>
      <c r="AC212" s="7">
        <f t="shared" si="37"/>
        <v>10943</v>
      </c>
      <c r="AD212" s="7">
        <f t="shared" si="37"/>
        <v>10943</v>
      </c>
      <c r="AE212" s="7">
        <f t="shared" si="37"/>
        <v>10943</v>
      </c>
      <c r="AF212" s="7">
        <f t="shared" si="37"/>
        <v>10943</v>
      </c>
      <c r="AG212" s="7">
        <f t="shared" si="37"/>
        <v>10943</v>
      </c>
      <c r="AH212" s="7">
        <f t="shared" si="37"/>
        <v>10943</v>
      </c>
      <c r="AI212" s="7">
        <f t="shared" si="37"/>
        <v>10943</v>
      </c>
      <c r="AJ212" s="7">
        <f t="shared" si="37"/>
        <v>10943</v>
      </c>
      <c r="AK212" s="7">
        <f t="shared" si="37"/>
        <v>10943</v>
      </c>
    </row>
    <row r="213" spans="1:37" ht="11.25">
      <c r="A213" s="38" t="s">
        <v>135</v>
      </c>
      <c r="H213" s="7">
        <f t="shared" si="33"/>
        <v>1828</v>
      </c>
      <c r="I213" s="7">
        <f t="shared" si="34"/>
        <v>1983</v>
      </c>
      <c r="J213" s="7">
        <f t="shared" si="34"/>
        <v>2152</v>
      </c>
      <c r="K213" s="7">
        <f t="shared" si="34"/>
        <v>2335</v>
      </c>
      <c r="L213" s="7">
        <f t="shared" si="34"/>
        <v>2533</v>
      </c>
      <c r="M213" s="7">
        <f t="shared" si="34"/>
        <v>2748</v>
      </c>
      <c r="N213" s="7">
        <f t="shared" si="34"/>
        <v>2982</v>
      </c>
      <c r="O213" s="7">
        <f t="shared" si="34"/>
        <v>3235</v>
      </c>
      <c r="P213" s="7">
        <f t="shared" si="35"/>
        <v>3442</v>
      </c>
      <c r="Q213" s="7">
        <f t="shared" si="35"/>
        <v>3662</v>
      </c>
      <c r="R213" s="7">
        <f t="shared" si="35"/>
        <v>3896</v>
      </c>
      <c r="S213" s="7">
        <f t="shared" si="35"/>
        <v>4145</v>
      </c>
      <c r="T213" s="7">
        <f t="shared" si="35"/>
        <v>4410</v>
      </c>
      <c r="U213" s="7">
        <f t="shared" si="36"/>
        <v>4410</v>
      </c>
      <c r="V213" s="7">
        <f t="shared" si="36"/>
        <v>4410</v>
      </c>
      <c r="W213" s="7">
        <f t="shared" si="36"/>
        <v>4410</v>
      </c>
      <c r="X213" s="7">
        <f t="shared" si="36"/>
        <v>4410</v>
      </c>
      <c r="Y213" s="7">
        <f t="shared" si="36"/>
        <v>4410</v>
      </c>
      <c r="Z213" s="7">
        <f t="shared" si="37"/>
        <v>4410</v>
      </c>
      <c r="AA213" s="7">
        <f t="shared" si="37"/>
        <v>4410</v>
      </c>
      <c r="AB213" s="7">
        <f t="shared" si="37"/>
        <v>4410</v>
      </c>
      <c r="AC213" s="7">
        <f t="shared" si="37"/>
        <v>4410</v>
      </c>
      <c r="AD213" s="7">
        <f t="shared" si="37"/>
        <v>4410</v>
      </c>
      <c r="AE213" s="7">
        <f t="shared" si="37"/>
        <v>4410</v>
      </c>
      <c r="AF213" s="7">
        <f t="shared" si="37"/>
        <v>4410</v>
      </c>
      <c r="AG213" s="7">
        <f t="shared" si="37"/>
        <v>4410</v>
      </c>
      <c r="AH213" s="7">
        <f t="shared" si="37"/>
        <v>4410</v>
      </c>
      <c r="AI213" s="7">
        <f t="shared" si="37"/>
        <v>4410</v>
      </c>
      <c r="AJ213" s="7">
        <f t="shared" si="37"/>
        <v>4410</v>
      </c>
      <c r="AK213" s="7">
        <f t="shared" si="37"/>
        <v>4410</v>
      </c>
    </row>
    <row r="214" spans="1:37" ht="11.25">
      <c r="A214" s="38" t="s">
        <v>136</v>
      </c>
      <c r="H214" s="7">
        <f t="shared" si="33"/>
        <v>2795</v>
      </c>
      <c r="I214" s="7">
        <f t="shared" si="34"/>
        <v>3033</v>
      </c>
      <c r="J214" s="7">
        <f t="shared" si="34"/>
        <v>3291</v>
      </c>
      <c r="K214" s="7">
        <f t="shared" si="34"/>
        <v>3571</v>
      </c>
      <c r="L214" s="7">
        <f t="shared" si="34"/>
        <v>3875</v>
      </c>
      <c r="M214" s="7">
        <f t="shared" si="34"/>
        <v>4204</v>
      </c>
      <c r="N214" s="7">
        <f t="shared" si="34"/>
        <v>4561</v>
      </c>
      <c r="O214" s="7">
        <f t="shared" si="34"/>
        <v>4949</v>
      </c>
      <c r="P214" s="7">
        <f t="shared" si="35"/>
        <v>5266</v>
      </c>
      <c r="Q214" s="7">
        <f t="shared" si="35"/>
        <v>5603</v>
      </c>
      <c r="R214" s="7">
        <f t="shared" si="35"/>
        <v>5962</v>
      </c>
      <c r="S214" s="7">
        <f t="shared" si="35"/>
        <v>6344</v>
      </c>
      <c r="T214" s="7">
        <f t="shared" si="35"/>
        <v>6750</v>
      </c>
      <c r="U214" s="7">
        <f t="shared" si="36"/>
        <v>6750</v>
      </c>
      <c r="V214" s="7">
        <f t="shared" si="36"/>
        <v>6750</v>
      </c>
      <c r="W214" s="7">
        <f t="shared" si="36"/>
        <v>6750</v>
      </c>
      <c r="X214" s="7">
        <f t="shared" si="36"/>
        <v>6750</v>
      </c>
      <c r="Y214" s="7">
        <f t="shared" si="36"/>
        <v>6750</v>
      </c>
      <c r="Z214" s="7">
        <f t="shared" si="37"/>
        <v>6750</v>
      </c>
      <c r="AA214" s="7">
        <f t="shared" si="37"/>
        <v>6750</v>
      </c>
      <c r="AB214" s="7">
        <f t="shared" si="37"/>
        <v>6750</v>
      </c>
      <c r="AC214" s="7">
        <f t="shared" si="37"/>
        <v>6750</v>
      </c>
      <c r="AD214" s="7">
        <f t="shared" si="37"/>
        <v>6750</v>
      </c>
      <c r="AE214" s="7">
        <f t="shared" si="37"/>
        <v>6750</v>
      </c>
      <c r="AF214" s="7">
        <f t="shared" si="37"/>
        <v>6750</v>
      </c>
      <c r="AG214" s="7">
        <f t="shared" si="37"/>
        <v>6750</v>
      </c>
      <c r="AH214" s="7">
        <f t="shared" si="37"/>
        <v>6750</v>
      </c>
      <c r="AI214" s="7">
        <f t="shared" si="37"/>
        <v>6750</v>
      </c>
      <c r="AJ214" s="7">
        <f t="shared" si="37"/>
        <v>6750</v>
      </c>
      <c r="AK214" s="7">
        <f t="shared" si="37"/>
        <v>6750</v>
      </c>
    </row>
    <row r="215" spans="1:37" ht="11.25">
      <c r="A215" s="38" t="s">
        <v>137</v>
      </c>
      <c r="H215" s="7">
        <f t="shared" si="33"/>
        <v>2301</v>
      </c>
      <c r="I215" s="7">
        <f t="shared" si="34"/>
        <v>2497</v>
      </c>
      <c r="J215" s="7">
        <f t="shared" si="34"/>
        <v>2709</v>
      </c>
      <c r="K215" s="7">
        <f t="shared" si="34"/>
        <v>2939</v>
      </c>
      <c r="L215" s="7">
        <f t="shared" si="34"/>
        <v>3189</v>
      </c>
      <c r="M215" s="7">
        <f t="shared" si="34"/>
        <v>3460</v>
      </c>
      <c r="N215" s="7">
        <f t="shared" si="34"/>
        <v>3754</v>
      </c>
      <c r="O215" s="7">
        <f t="shared" si="34"/>
        <v>4073</v>
      </c>
      <c r="P215" s="7">
        <f t="shared" si="35"/>
        <v>4334</v>
      </c>
      <c r="Q215" s="7">
        <f t="shared" si="35"/>
        <v>4611</v>
      </c>
      <c r="R215" s="7">
        <f t="shared" si="35"/>
        <v>4906</v>
      </c>
      <c r="S215" s="7">
        <f t="shared" si="35"/>
        <v>5220</v>
      </c>
      <c r="T215" s="7">
        <f t="shared" si="35"/>
        <v>5554</v>
      </c>
      <c r="U215" s="7">
        <f t="shared" si="36"/>
        <v>5554</v>
      </c>
      <c r="V215" s="7">
        <f t="shared" si="36"/>
        <v>5554</v>
      </c>
      <c r="W215" s="7">
        <f t="shared" si="36"/>
        <v>5554</v>
      </c>
      <c r="X215" s="7">
        <f t="shared" si="36"/>
        <v>5554</v>
      </c>
      <c r="Y215" s="7">
        <f t="shared" si="36"/>
        <v>5554</v>
      </c>
      <c r="Z215" s="7">
        <f t="shared" si="37"/>
        <v>5554</v>
      </c>
      <c r="AA215" s="7">
        <f t="shared" si="37"/>
        <v>5554</v>
      </c>
      <c r="AB215" s="7">
        <f t="shared" si="37"/>
        <v>5554</v>
      </c>
      <c r="AC215" s="7">
        <f t="shared" si="37"/>
        <v>5554</v>
      </c>
      <c r="AD215" s="7">
        <f t="shared" si="37"/>
        <v>5554</v>
      </c>
      <c r="AE215" s="7">
        <f t="shared" si="37"/>
        <v>5554</v>
      </c>
      <c r="AF215" s="7">
        <f t="shared" si="37"/>
        <v>5554</v>
      </c>
      <c r="AG215" s="7">
        <f t="shared" si="37"/>
        <v>5554</v>
      </c>
      <c r="AH215" s="7">
        <f t="shared" si="37"/>
        <v>5554</v>
      </c>
      <c r="AI215" s="7">
        <f t="shared" si="37"/>
        <v>5554</v>
      </c>
      <c r="AJ215" s="7">
        <f t="shared" si="37"/>
        <v>5554</v>
      </c>
      <c r="AK215" s="7">
        <f t="shared" si="37"/>
        <v>5554</v>
      </c>
    </row>
    <row r="216" spans="1:37" ht="11.25">
      <c r="A216" s="38" t="s">
        <v>138</v>
      </c>
      <c r="H216" s="7">
        <f t="shared" si="33"/>
        <v>1830</v>
      </c>
      <c r="I216" s="7">
        <f t="shared" si="34"/>
        <v>1986</v>
      </c>
      <c r="J216" s="7">
        <f t="shared" si="34"/>
        <v>2155</v>
      </c>
      <c r="K216" s="7">
        <f t="shared" si="34"/>
        <v>2338</v>
      </c>
      <c r="L216" s="7">
        <f t="shared" si="34"/>
        <v>2537</v>
      </c>
      <c r="M216" s="7">
        <f t="shared" si="34"/>
        <v>2753</v>
      </c>
      <c r="N216" s="7">
        <f t="shared" si="34"/>
        <v>2987</v>
      </c>
      <c r="O216" s="7">
        <f t="shared" si="34"/>
        <v>3241</v>
      </c>
      <c r="P216" s="7">
        <f t="shared" si="35"/>
        <v>3448</v>
      </c>
      <c r="Q216" s="7">
        <f t="shared" si="35"/>
        <v>3669</v>
      </c>
      <c r="R216" s="7">
        <f t="shared" si="35"/>
        <v>3904</v>
      </c>
      <c r="S216" s="7">
        <f t="shared" si="35"/>
        <v>4154</v>
      </c>
      <c r="T216" s="7">
        <f t="shared" si="35"/>
        <v>4420</v>
      </c>
      <c r="U216" s="7">
        <f t="shared" si="36"/>
        <v>4420</v>
      </c>
      <c r="V216" s="7">
        <f t="shared" si="36"/>
        <v>4420</v>
      </c>
      <c r="W216" s="7">
        <f t="shared" si="36"/>
        <v>4420</v>
      </c>
      <c r="X216" s="7">
        <f t="shared" si="36"/>
        <v>4420</v>
      </c>
      <c r="Y216" s="7">
        <f t="shared" si="36"/>
        <v>4420</v>
      </c>
      <c r="Z216" s="7">
        <f t="shared" si="37"/>
        <v>4420</v>
      </c>
      <c r="AA216" s="7">
        <f t="shared" si="37"/>
        <v>4420</v>
      </c>
      <c r="AB216" s="7">
        <f t="shared" si="37"/>
        <v>4420</v>
      </c>
      <c r="AC216" s="7">
        <f t="shared" si="37"/>
        <v>4420</v>
      </c>
      <c r="AD216" s="7">
        <f t="shared" si="37"/>
        <v>4420</v>
      </c>
      <c r="AE216" s="7">
        <f t="shared" si="37"/>
        <v>4420</v>
      </c>
      <c r="AF216" s="7">
        <f t="shared" si="37"/>
        <v>4420</v>
      </c>
      <c r="AG216" s="7">
        <f t="shared" si="37"/>
        <v>4420</v>
      </c>
      <c r="AH216" s="7">
        <f t="shared" si="37"/>
        <v>4420</v>
      </c>
      <c r="AI216" s="7">
        <f t="shared" si="37"/>
        <v>4420</v>
      </c>
      <c r="AJ216" s="7">
        <f t="shared" si="37"/>
        <v>4420</v>
      </c>
      <c r="AK216" s="7">
        <f t="shared" si="37"/>
        <v>4420</v>
      </c>
    </row>
    <row r="217" spans="1:37" ht="11.25">
      <c r="A217" s="15" t="s">
        <v>66</v>
      </c>
      <c r="H217" s="7"/>
      <c r="P217" s="7"/>
      <c r="Q217" s="7"/>
      <c r="R217" s="7"/>
      <c r="S217" s="7"/>
      <c r="T217" s="7"/>
      <c r="U217" s="7"/>
      <c r="V217" s="7"/>
      <c r="W217" s="7"/>
      <c r="X217" s="7"/>
      <c r="Y217" s="7"/>
      <c r="Z217" s="7"/>
      <c r="AA217" s="7"/>
      <c r="AB217" s="7"/>
      <c r="AC217" s="7"/>
      <c r="AD217" s="7"/>
      <c r="AE217" s="7"/>
      <c r="AF217" s="7"/>
      <c r="AG217" s="7"/>
      <c r="AH217" s="7"/>
      <c r="AI217" s="7"/>
      <c r="AJ217" s="7"/>
      <c r="AK217" s="7"/>
    </row>
    <row r="218" spans="1:37" ht="11.25">
      <c r="A218" s="38" t="s">
        <v>63</v>
      </c>
      <c r="H218" s="7">
        <f aca="true" t="shared" si="38" ref="H218:H223">H85</f>
        <v>1874</v>
      </c>
      <c r="I218" s="7">
        <f aca="true" t="shared" si="39" ref="I218:O223">ROUND(H218*(1+$D85),0)</f>
        <v>2026</v>
      </c>
      <c r="J218" s="7">
        <f t="shared" si="39"/>
        <v>2190</v>
      </c>
      <c r="K218" s="7">
        <f t="shared" si="39"/>
        <v>2367</v>
      </c>
      <c r="L218" s="7">
        <f t="shared" si="39"/>
        <v>2559</v>
      </c>
      <c r="M218" s="7">
        <f t="shared" si="39"/>
        <v>2766</v>
      </c>
      <c r="N218" s="7">
        <f t="shared" si="39"/>
        <v>2990</v>
      </c>
      <c r="O218" s="7">
        <f t="shared" si="39"/>
        <v>3232</v>
      </c>
      <c r="P218" s="7">
        <f aca="true" t="shared" si="40" ref="P218:T223">ROUND(O218*(1+$E85),0)</f>
        <v>3445</v>
      </c>
      <c r="Q218" s="7">
        <f t="shared" si="40"/>
        <v>3672</v>
      </c>
      <c r="R218" s="7">
        <f t="shared" si="40"/>
        <v>3914</v>
      </c>
      <c r="S218" s="7">
        <f t="shared" si="40"/>
        <v>4172</v>
      </c>
      <c r="T218" s="7">
        <f t="shared" si="40"/>
        <v>4447</v>
      </c>
      <c r="U218" s="7">
        <f aca="true" t="shared" si="41" ref="U218:Y223">ROUND(T218*(1+$F85),0)</f>
        <v>4696</v>
      </c>
      <c r="V218" s="7">
        <f t="shared" si="41"/>
        <v>4959</v>
      </c>
      <c r="W218" s="7">
        <f t="shared" si="41"/>
        <v>5237</v>
      </c>
      <c r="X218" s="7">
        <f t="shared" si="41"/>
        <v>5530</v>
      </c>
      <c r="Y218" s="7">
        <f t="shared" si="41"/>
        <v>5840</v>
      </c>
      <c r="Z218" s="7">
        <f aca="true" t="shared" si="42" ref="Z218:AK223">ROUND(Y218*(1+$G85),0)</f>
        <v>5840</v>
      </c>
      <c r="AA218" s="7">
        <f t="shared" si="42"/>
        <v>5840</v>
      </c>
      <c r="AB218" s="7">
        <f t="shared" si="42"/>
        <v>5840</v>
      </c>
      <c r="AC218" s="7">
        <f t="shared" si="42"/>
        <v>5840</v>
      </c>
      <c r="AD218" s="7">
        <f t="shared" si="42"/>
        <v>5840</v>
      </c>
      <c r="AE218" s="7">
        <f t="shared" si="42"/>
        <v>5840</v>
      </c>
      <c r="AF218" s="7">
        <f t="shared" si="42"/>
        <v>5840</v>
      </c>
      <c r="AG218" s="7">
        <f t="shared" si="42"/>
        <v>5840</v>
      </c>
      <c r="AH218" s="7">
        <f t="shared" si="42"/>
        <v>5840</v>
      </c>
      <c r="AI218" s="7">
        <f t="shared" si="42"/>
        <v>5840</v>
      </c>
      <c r="AJ218" s="7">
        <f t="shared" si="42"/>
        <v>5840</v>
      </c>
      <c r="AK218" s="7">
        <f t="shared" si="42"/>
        <v>5840</v>
      </c>
    </row>
    <row r="219" spans="1:37" ht="11.25">
      <c r="A219" s="38" t="s">
        <v>134</v>
      </c>
      <c r="H219" s="7">
        <f t="shared" si="38"/>
        <v>2770</v>
      </c>
      <c r="I219" s="7">
        <f t="shared" si="39"/>
        <v>2994</v>
      </c>
      <c r="J219" s="7">
        <f t="shared" si="39"/>
        <v>3237</v>
      </c>
      <c r="K219" s="7">
        <f t="shared" si="39"/>
        <v>3499</v>
      </c>
      <c r="L219" s="7">
        <f t="shared" si="39"/>
        <v>3782</v>
      </c>
      <c r="M219" s="7">
        <f t="shared" si="39"/>
        <v>4088</v>
      </c>
      <c r="N219" s="7">
        <f t="shared" si="39"/>
        <v>4419</v>
      </c>
      <c r="O219" s="7">
        <f t="shared" si="39"/>
        <v>4777</v>
      </c>
      <c r="P219" s="7">
        <f t="shared" si="40"/>
        <v>5092</v>
      </c>
      <c r="Q219" s="7">
        <f t="shared" si="40"/>
        <v>5428</v>
      </c>
      <c r="R219" s="7">
        <f t="shared" si="40"/>
        <v>5786</v>
      </c>
      <c r="S219" s="7">
        <f t="shared" si="40"/>
        <v>6168</v>
      </c>
      <c r="T219" s="7">
        <f t="shared" si="40"/>
        <v>6575</v>
      </c>
      <c r="U219" s="7">
        <f t="shared" si="41"/>
        <v>6943</v>
      </c>
      <c r="V219" s="7">
        <f t="shared" si="41"/>
        <v>7332</v>
      </c>
      <c r="W219" s="7">
        <f t="shared" si="41"/>
        <v>7743</v>
      </c>
      <c r="X219" s="7">
        <f t="shared" si="41"/>
        <v>8177</v>
      </c>
      <c r="Y219" s="7">
        <f t="shared" si="41"/>
        <v>8635</v>
      </c>
      <c r="Z219" s="7">
        <f t="shared" si="42"/>
        <v>8635</v>
      </c>
      <c r="AA219" s="7">
        <f t="shared" si="42"/>
        <v>8635</v>
      </c>
      <c r="AB219" s="7">
        <f t="shared" si="42"/>
        <v>8635</v>
      </c>
      <c r="AC219" s="7">
        <f t="shared" si="42"/>
        <v>8635</v>
      </c>
      <c r="AD219" s="7">
        <f t="shared" si="42"/>
        <v>8635</v>
      </c>
      <c r="AE219" s="7">
        <f t="shared" si="42"/>
        <v>8635</v>
      </c>
      <c r="AF219" s="7">
        <f t="shared" si="42"/>
        <v>8635</v>
      </c>
      <c r="AG219" s="7">
        <f t="shared" si="42"/>
        <v>8635</v>
      </c>
      <c r="AH219" s="7">
        <f t="shared" si="42"/>
        <v>8635</v>
      </c>
      <c r="AI219" s="7">
        <f t="shared" si="42"/>
        <v>8635</v>
      </c>
      <c r="AJ219" s="7">
        <f t="shared" si="42"/>
        <v>8635</v>
      </c>
      <c r="AK219" s="7">
        <f t="shared" si="42"/>
        <v>8635</v>
      </c>
    </row>
    <row r="220" spans="1:37" ht="11.25">
      <c r="A220" s="38" t="s">
        <v>135</v>
      </c>
      <c r="H220" s="7">
        <f t="shared" si="38"/>
        <v>1273</v>
      </c>
      <c r="I220" s="7">
        <f t="shared" si="39"/>
        <v>1376</v>
      </c>
      <c r="J220" s="7">
        <f t="shared" si="39"/>
        <v>1487</v>
      </c>
      <c r="K220" s="7">
        <f t="shared" si="39"/>
        <v>1607</v>
      </c>
      <c r="L220" s="7">
        <f t="shared" si="39"/>
        <v>1737</v>
      </c>
      <c r="M220" s="7">
        <f t="shared" si="39"/>
        <v>1878</v>
      </c>
      <c r="N220" s="7">
        <f t="shared" si="39"/>
        <v>2030</v>
      </c>
      <c r="O220" s="7">
        <f t="shared" si="39"/>
        <v>2194</v>
      </c>
      <c r="P220" s="7">
        <f t="shared" si="40"/>
        <v>2339</v>
      </c>
      <c r="Q220" s="7">
        <f t="shared" si="40"/>
        <v>2493</v>
      </c>
      <c r="R220" s="7">
        <f t="shared" si="40"/>
        <v>2658</v>
      </c>
      <c r="S220" s="7">
        <f t="shared" si="40"/>
        <v>2833</v>
      </c>
      <c r="T220" s="7">
        <f t="shared" si="40"/>
        <v>3020</v>
      </c>
      <c r="U220" s="7">
        <f t="shared" si="41"/>
        <v>3189</v>
      </c>
      <c r="V220" s="7">
        <f t="shared" si="41"/>
        <v>3368</v>
      </c>
      <c r="W220" s="7">
        <f t="shared" si="41"/>
        <v>3557</v>
      </c>
      <c r="X220" s="7">
        <f t="shared" si="41"/>
        <v>3756</v>
      </c>
      <c r="Y220" s="7">
        <f t="shared" si="41"/>
        <v>3966</v>
      </c>
      <c r="Z220" s="7">
        <f t="shared" si="42"/>
        <v>3966</v>
      </c>
      <c r="AA220" s="7">
        <f t="shared" si="42"/>
        <v>3966</v>
      </c>
      <c r="AB220" s="7">
        <f t="shared" si="42"/>
        <v>3966</v>
      </c>
      <c r="AC220" s="7">
        <f t="shared" si="42"/>
        <v>3966</v>
      </c>
      <c r="AD220" s="7">
        <f t="shared" si="42"/>
        <v>3966</v>
      </c>
      <c r="AE220" s="7">
        <f t="shared" si="42"/>
        <v>3966</v>
      </c>
      <c r="AF220" s="7">
        <f t="shared" si="42"/>
        <v>3966</v>
      </c>
      <c r="AG220" s="7">
        <f t="shared" si="42"/>
        <v>3966</v>
      </c>
      <c r="AH220" s="7">
        <f t="shared" si="42"/>
        <v>3966</v>
      </c>
      <c r="AI220" s="7">
        <f t="shared" si="42"/>
        <v>3966</v>
      </c>
      <c r="AJ220" s="7">
        <f t="shared" si="42"/>
        <v>3966</v>
      </c>
      <c r="AK220" s="7">
        <f t="shared" si="42"/>
        <v>3966</v>
      </c>
    </row>
    <row r="221" spans="1:37" ht="11.25">
      <c r="A221" s="38" t="s">
        <v>136</v>
      </c>
      <c r="H221" s="7">
        <f t="shared" si="38"/>
        <v>2075</v>
      </c>
      <c r="I221" s="7">
        <f t="shared" si="39"/>
        <v>2243</v>
      </c>
      <c r="J221" s="7">
        <f t="shared" si="39"/>
        <v>2425</v>
      </c>
      <c r="K221" s="7">
        <f t="shared" si="39"/>
        <v>2621</v>
      </c>
      <c r="L221" s="7">
        <f t="shared" si="39"/>
        <v>2833</v>
      </c>
      <c r="M221" s="7">
        <f t="shared" si="39"/>
        <v>3062</v>
      </c>
      <c r="N221" s="7">
        <f t="shared" si="39"/>
        <v>3310</v>
      </c>
      <c r="O221" s="7">
        <f t="shared" si="39"/>
        <v>3578</v>
      </c>
      <c r="P221" s="7">
        <f t="shared" si="40"/>
        <v>3814</v>
      </c>
      <c r="Q221" s="7">
        <f t="shared" si="40"/>
        <v>4066</v>
      </c>
      <c r="R221" s="7">
        <f t="shared" si="40"/>
        <v>4334</v>
      </c>
      <c r="S221" s="7">
        <f t="shared" si="40"/>
        <v>4620</v>
      </c>
      <c r="T221" s="7">
        <f t="shared" si="40"/>
        <v>4925</v>
      </c>
      <c r="U221" s="7">
        <f t="shared" si="41"/>
        <v>5201</v>
      </c>
      <c r="V221" s="7">
        <f t="shared" si="41"/>
        <v>5492</v>
      </c>
      <c r="W221" s="7">
        <f t="shared" si="41"/>
        <v>5800</v>
      </c>
      <c r="X221" s="7">
        <f t="shared" si="41"/>
        <v>6125</v>
      </c>
      <c r="Y221" s="7">
        <f t="shared" si="41"/>
        <v>6468</v>
      </c>
      <c r="Z221" s="7">
        <f t="shared" si="42"/>
        <v>6468</v>
      </c>
      <c r="AA221" s="7">
        <f t="shared" si="42"/>
        <v>6468</v>
      </c>
      <c r="AB221" s="7">
        <f t="shared" si="42"/>
        <v>6468</v>
      </c>
      <c r="AC221" s="7">
        <f t="shared" si="42"/>
        <v>6468</v>
      </c>
      <c r="AD221" s="7">
        <f t="shared" si="42"/>
        <v>6468</v>
      </c>
      <c r="AE221" s="7">
        <f t="shared" si="42"/>
        <v>6468</v>
      </c>
      <c r="AF221" s="7">
        <f t="shared" si="42"/>
        <v>6468</v>
      </c>
      <c r="AG221" s="7">
        <f t="shared" si="42"/>
        <v>6468</v>
      </c>
      <c r="AH221" s="7">
        <f t="shared" si="42"/>
        <v>6468</v>
      </c>
      <c r="AI221" s="7">
        <f t="shared" si="42"/>
        <v>6468</v>
      </c>
      <c r="AJ221" s="7">
        <f t="shared" si="42"/>
        <v>6468</v>
      </c>
      <c r="AK221" s="7">
        <f t="shared" si="42"/>
        <v>6468</v>
      </c>
    </row>
    <row r="222" spans="1:37" ht="11.25">
      <c r="A222" s="38" t="s">
        <v>137</v>
      </c>
      <c r="H222" s="7">
        <f t="shared" si="38"/>
        <v>2149</v>
      </c>
      <c r="I222" s="7">
        <f t="shared" si="39"/>
        <v>2323</v>
      </c>
      <c r="J222" s="7">
        <f t="shared" si="39"/>
        <v>2511</v>
      </c>
      <c r="K222" s="7">
        <f t="shared" si="39"/>
        <v>2714</v>
      </c>
      <c r="L222" s="7">
        <f t="shared" si="39"/>
        <v>2934</v>
      </c>
      <c r="M222" s="7">
        <f t="shared" si="39"/>
        <v>3172</v>
      </c>
      <c r="N222" s="7">
        <f t="shared" si="39"/>
        <v>3429</v>
      </c>
      <c r="O222" s="7">
        <f t="shared" si="39"/>
        <v>3707</v>
      </c>
      <c r="P222" s="7">
        <f t="shared" si="40"/>
        <v>3952</v>
      </c>
      <c r="Q222" s="7">
        <f t="shared" si="40"/>
        <v>4213</v>
      </c>
      <c r="R222" s="7">
        <f t="shared" si="40"/>
        <v>4491</v>
      </c>
      <c r="S222" s="7">
        <f t="shared" si="40"/>
        <v>4787</v>
      </c>
      <c r="T222" s="7">
        <f t="shared" si="40"/>
        <v>5103</v>
      </c>
      <c r="U222" s="7">
        <f t="shared" si="41"/>
        <v>5389</v>
      </c>
      <c r="V222" s="7">
        <f t="shared" si="41"/>
        <v>5691</v>
      </c>
      <c r="W222" s="7">
        <f t="shared" si="41"/>
        <v>6010</v>
      </c>
      <c r="X222" s="7">
        <f t="shared" si="41"/>
        <v>6347</v>
      </c>
      <c r="Y222" s="7">
        <f t="shared" si="41"/>
        <v>6702</v>
      </c>
      <c r="Z222" s="7">
        <f t="shared" si="42"/>
        <v>6702</v>
      </c>
      <c r="AA222" s="7">
        <f t="shared" si="42"/>
        <v>6702</v>
      </c>
      <c r="AB222" s="7">
        <f t="shared" si="42"/>
        <v>6702</v>
      </c>
      <c r="AC222" s="7">
        <f t="shared" si="42"/>
        <v>6702</v>
      </c>
      <c r="AD222" s="7">
        <f t="shared" si="42"/>
        <v>6702</v>
      </c>
      <c r="AE222" s="7">
        <f t="shared" si="42"/>
        <v>6702</v>
      </c>
      <c r="AF222" s="7">
        <f t="shared" si="42"/>
        <v>6702</v>
      </c>
      <c r="AG222" s="7">
        <f t="shared" si="42"/>
        <v>6702</v>
      </c>
      <c r="AH222" s="7">
        <f t="shared" si="42"/>
        <v>6702</v>
      </c>
      <c r="AI222" s="7">
        <f t="shared" si="42"/>
        <v>6702</v>
      </c>
      <c r="AJ222" s="7">
        <f t="shared" si="42"/>
        <v>6702</v>
      </c>
      <c r="AK222" s="7">
        <f t="shared" si="42"/>
        <v>6702</v>
      </c>
    </row>
    <row r="223" spans="1:37" ht="11.25">
      <c r="A223" s="38" t="s">
        <v>138</v>
      </c>
      <c r="H223" s="7">
        <f t="shared" si="38"/>
        <v>1337</v>
      </c>
      <c r="I223" s="7">
        <f t="shared" si="39"/>
        <v>1445</v>
      </c>
      <c r="J223" s="7">
        <f t="shared" si="39"/>
        <v>1562</v>
      </c>
      <c r="K223" s="7">
        <f t="shared" si="39"/>
        <v>1689</v>
      </c>
      <c r="L223" s="7">
        <f t="shared" si="39"/>
        <v>1826</v>
      </c>
      <c r="M223" s="7">
        <f t="shared" si="39"/>
        <v>1974</v>
      </c>
      <c r="N223" s="7">
        <f t="shared" si="39"/>
        <v>2134</v>
      </c>
      <c r="O223" s="7">
        <f t="shared" si="39"/>
        <v>2307</v>
      </c>
      <c r="P223" s="7">
        <f t="shared" si="40"/>
        <v>2459</v>
      </c>
      <c r="Q223" s="7">
        <f t="shared" si="40"/>
        <v>2621</v>
      </c>
      <c r="R223" s="7">
        <f t="shared" si="40"/>
        <v>2794</v>
      </c>
      <c r="S223" s="7">
        <f t="shared" si="40"/>
        <v>2978</v>
      </c>
      <c r="T223" s="7">
        <f t="shared" si="40"/>
        <v>3175</v>
      </c>
      <c r="U223" s="7">
        <f t="shared" si="41"/>
        <v>3353</v>
      </c>
      <c r="V223" s="7">
        <f t="shared" si="41"/>
        <v>3541</v>
      </c>
      <c r="W223" s="7">
        <f t="shared" si="41"/>
        <v>3739</v>
      </c>
      <c r="X223" s="7">
        <f t="shared" si="41"/>
        <v>3948</v>
      </c>
      <c r="Y223" s="7">
        <f t="shared" si="41"/>
        <v>4169</v>
      </c>
      <c r="Z223" s="7">
        <f t="shared" si="42"/>
        <v>4169</v>
      </c>
      <c r="AA223" s="7">
        <f t="shared" si="42"/>
        <v>4169</v>
      </c>
      <c r="AB223" s="7">
        <f t="shared" si="42"/>
        <v>4169</v>
      </c>
      <c r="AC223" s="7">
        <f t="shared" si="42"/>
        <v>4169</v>
      </c>
      <c r="AD223" s="7">
        <f t="shared" si="42"/>
        <v>4169</v>
      </c>
      <c r="AE223" s="7">
        <f t="shared" si="42"/>
        <v>4169</v>
      </c>
      <c r="AF223" s="7">
        <f t="shared" si="42"/>
        <v>4169</v>
      </c>
      <c r="AG223" s="7">
        <f t="shared" si="42"/>
        <v>4169</v>
      </c>
      <c r="AH223" s="7">
        <f t="shared" si="42"/>
        <v>4169</v>
      </c>
      <c r="AI223" s="7">
        <f t="shared" si="42"/>
        <v>4169</v>
      </c>
      <c r="AJ223" s="7">
        <f t="shared" si="42"/>
        <v>4169</v>
      </c>
      <c r="AK223" s="7">
        <f t="shared" si="42"/>
        <v>4169</v>
      </c>
    </row>
    <row r="224" spans="1:37" ht="11.25">
      <c r="A224" s="15" t="s">
        <v>69</v>
      </c>
      <c r="B224" s="16"/>
      <c r="C224" s="12"/>
      <c r="D224" s="12"/>
      <c r="E224" s="16"/>
      <c r="F224" s="12"/>
      <c r="G224" s="12"/>
      <c r="H224" s="20">
        <f aca="true" t="shared" si="43" ref="H224:AK224">SUMPRODUCT(H211:H216,$B$92:$B$97)</f>
        <v>35297.5</v>
      </c>
      <c r="I224" s="20">
        <f t="shared" si="43"/>
        <v>38299.5</v>
      </c>
      <c r="J224" s="20">
        <f t="shared" si="43"/>
        <v>41556.5</v>
      </c>
      <c r="K224" s="20">
        <f t="shared" si="43"/>
        <v>45089.5</v>
      </c>
      <c r="L224" s="20">
        <f t="shared" si="43"/>
        <v>48922.5</v>
      </c>
      <c r="M224" s="20">
        <f t="shared" si="43"/>
        <v>53080</v>
      </c>
      <c r="N224" s="20">
        <f t="shared" si="43"/>
        <v>57591</v>
      </c>
      <c r="O224" s="20">
        <f t="shared" si="43"/>
        <v>62486.5</v>
      </c>
      <c r="P224" s="20">
        <f t="shared" si="43"/>
        <v>66486</v>
      </c>
      <c r="Q224" s="20">
        <f t="shared" si="43"/>
        <v>70739.5</v>
      </c>
      <c r="R224" s="20">
        <f t="shared" si="43"/>
        <v>75266</v>
      </c>
      <c r="S224" s="20">
        <f t="shared" si="43"/>
        <v>80084</v>
      </c>
      <c r="T224" s="20">
        <f t="shared" si="43"/>
        <v>85208</v>
      </c>
      <c r="U224" s="20">
        <f t="shared" si="43"/>
        <v>85208</v>
      </c>
      <c r="V224" s="20">
        <f t="shared" si="43"/>
        <v>85208</v>
      </c>
      <c r="W224" s="20">
        <f t="shared" si="43"/>
        <v>85208</v>
      </c>
      <c r="X224" s="20">
        <f t="shared" si="43"/>
        <v>85208</v>
      </c>
      <c r="Y224" s="20">
        <f t="shared" si="43"/>
        <v>85208</v>
      </c>
      <c r="Z224" s="20">
        <f t="shared" si="43"/>
        <v>85208</v>
      </c>
      <c r="AA224" s="20">
        <f t="shared" si="43"/>
        <v>85208</v>
      </c>
      <c r="AB224" s="20">
        <f t="shared" si="43"/>
        <v>85208</v>
      </c>
      <c r="AC224" s="20">
        <f t="shared" si="43"/>
        <v>85208</v>
      </c>
      <c r="AD224" s="20">
        <f t="shared" si="43"/>
        <v>85208</v>
      </c>
      <c r="AE224" s="20">
        <f t="shared" si="43"/>
        <v>85208</v>
      </c>
      <c r="AF224" s="20">
        <f t="shared" si="43"/>
        <v>85208</v>
      </c>
      <c r="AG224" s="20">
        <f t="shared" si="43"/>
        <v>85208</v>
      </c>
      <c r="AH224" s="20">
        <f t="shared" si="43"/>
        <v>85208</v>
      </c>
      <c r="AI224" s="20">
        <f t="shared" si="43"/>
        <v>85208</v>
      </c>
      <c r="AJ224" s="20">
        <f t="shared" si="43"/>
        <v>85208</v>
      </c>
      <c r="AK224" s="20">
        <f t="shared" si="43"/>
        <v>85208</v>
      </c>
    </row>
    <row r="225" spans="1:37" ht="11.25">
      <c r="A225" s="15" t="s">
        <v>70</v>
      </c>
      <c r="B225" s="16"/>
      <c r="C225" s="12"/>
      <c r="D225" s="12"/>
      <c r="E225" s="16"/>
      <c r="F225" s="12"/>
      <c r="G225" s="12"/>
      <c r="H225" s="20">
        <f aca="true" t="shared" si="44" ref="H225:AK225">SUMPRODUCT(H218:H223,$B$92:$B$97)</f>
        <v>24766.5</v>
      </c>
      <c r="I225" s="20">
        <f t="shared" si="44"/>
        <v>26770.5</v>
      </c>
      <c r="J225" s="20">
        <f t="shared" si="44"/>
        <v>28938.5</v>
      </c>
      <c r="K225" s="20">
        <f t="shared" si="44"/>
        <v>31280</v>
      </c>
      <c r="L225" s="20">
        <f t="shared" si="44"/>
        <v>33813</v>
      </c>
      <c r="M225" s="20">
        <f t="shared" si="44"/>
        <v>36552</v>
      </c>
      <c r="N225" s="20">
        <f t="shared" si="44"/>
        <v>39512.5</v>
      </c>
      <c r="O225" s="20">
        <f t="shared" si="44"/>
        <v>42712.5</v>
      </c>
      <c r="P225" s="20">
        <f t="shared" si="44"/>
        <v>45531</v>
      </c>
      <c r="Q225" s="20">
        <f t="shared" si="44"/>
        <v>48534.5</v>
      </c>
      <c r="R225" s="20">
        <f t="shared" si="44"/>
        <v>51737.5</v>
      </c>
      <c r="S225" s="20">
        <f t="shared" si="44"/>
        <v>55148.5</v>
      </c>
      <c r="T225" s="20">
        <f t="shared" si="44"/>
        <v>58789.5</v>
      </c>
      <c r="U225" s="20">
        <f t="shared" si="44"/>
        <v>62082.5</v>
      </c>
      <c r="V225" s="20">
        <f t="shared" si="44"/>
        <v>65561.5</v>
      </c>
      <c r="W225" s="20">
        <f t="shared" si="44"/>
        <v>69236</v>
      </c>
      <c r="X225" s="20">
        <f t="shared" si="44"/>
        <v>73113.5</v>
      </c>
      <c r="Y225" s="20">
        <f t="shared" si="44"/>
        <v>77206</v>
      </c>
      <c r="Z225" s="20">
        <f t="shared" si="44"/>
        <v>77206</v>
      </c>
      <c r="AA225" s="20">
        <f t="shared" si="44"/>
        <v>77206</v>
      </c>
      <c r="AB225" s="20">
        <f t="shared" si="44"/>
        <v>77206</v>
      </c>
      <c r="AC225" s="20">
        <f t="shared" si="44"/>
        <v>77206</v>
      </c>
      <c r="AD225" s="20">
        <f t="shared" si="44"/>
        <v>77206</v>
      </c>
      <c r="AE225" s="20">
        <f t="shared" si="44"/>
        <v>77206</v>
      </c>
      <c r="AF225" s="20">
        <f t="shared" si="44"/>
        <v>77206</v>
      </c>
      <c r="AG225" s="20">
        <f t="shared" si="44"/>
        <v>77206</v>
      </c>
      <c r="AH225" s="20">
        <f t="shared" si="44"/>
        <v>77206</v>
      </c>
      <c r="AI225" s="20">
        <f t="shared" si="44"/>
        <v>77206</v>
      </c>
      <c r="AJ225" s="20">
        <f t="shared" si="44"/>
        <v>77206</v>
      </c>
      <c r="AK225" s="20">
        <f t="shared" si="44"/>
        <v>77206</v>
      </c>
    </row>
    <row r="226" spans="1:37" ht="11.25">
      <c r="A226" s="13" t="s">
        <v>78</v>
      </c>
      <c r="B226" s="16"/>
      <c r="C226" s="12"/>
      <c r="D226" s="12"/>
      <c r="E226" s="16"/>
      <c r="F226" s="12"/>
      <c r="G226" s="12"/>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row>
    <row r="227" spans="1:37" ht="11.25">
      <c r="A227" s="15" t="s">
        <v>73</v>
      </c>
      <c r="B227" s="16">
        <f>B98</f>
        <v>900</v>
      </c>
      <c r="C227" s="12">
        <f aca="true" t="shared" si="45" ref="C227:AK227">$B$227*C116</f>
        <v>1079.1000000000001</v>
      </c>
      <c r="D227" s="12">
        <f t="shared" si="45"/>
        <v>1152.4788</v>
      </c>
      <c r="E227" s="12">
        <f t="shared" si="45"/>
        <v>1244.6771040000003</v>
      </c>
      <c r="F227" s="12">
        <f t="shared" si="45"/>
        <v>1331.8045012800003</v>
      </c>
      <c r="G227" s="12">
        <f t="shared" si="45"/>
        <v>1411.7127713568004</v>
      </c>
      <c r="H227" s="12">
        <f t="shared" si="45"/>
        <v>1482.2984099246405</v>
      </c>
      <c r="I227" s="12">
        <f t="shared" si="45"/>
        <v>1556.4133304208726</v>
      </c>
      <c r="J227" s="12">
        <f t="shared" si="45"/>
        <v>1634.2339969419163</v>
      </c>
      <c r="K227" s="12">
        <f t="shared" si="45"/>
        <v>1715.9456967890121</v>
      </c>
      <c r="L227" s="12">
        <f t="shared" si="45"/>
        <v>1801.7429816284628</v>
      </c>
      <c r="M227" s="12">
        <f t="shared" si="45"/>
        <v>1891.830130709886</v>
      </c>
      <c r="N227" s="12">
        <f t="shared" si="45"/>
        <v>1986.4216372453802</v>
      </c>
      <c r="O227" s="12">
        <f t="shared" si="45"/>
        <v>2085.7427191076495</v>
      </c>
      <c r="P227" s="12">
        <f t="shared" si="45"/>
        <v>2190.029855063032</v>
      </c>
      <c r="Q227" s="12">
        <f t="shared" si="45"/>
        <v>2299.531347816184</v>
      </c>
      <c r="R227" s="12">
        <f t="shared" si="45"/>
        <v>2414.507915206993</v>
      </c>
      <c r="S227" s="12">
        <f t="shared" si="45"/>
        <v>2535.2333109673427</v>
      </c>
      <c r="T227" s="12">
        <f t="shared" si="45"/>
        <v>2661.99497651571</v>
      </c>
      <c r="U227" s="12">
        <f t="shared" si="45"/>
        <v>2795.0947253414956</v>
      </c>
      <c r="V227" s="12">
        <f t="shared" si="45"/>
        <v>2934.8494616085704</v>
      </c>
      <c r="W227" s="12">
        <f t="shared" si="45"/>
        <v>3081.5919346889987</v>
      </c>
      <c r="X227" s="12">
        <f t="shared" si="45"/>
        <v>3235.671531423449</v>
      </c>
      <c r="Y227" s="12">
        <f t="shared" si="45"/>
        <v>3397.455107994622</v>
      </c>
      <c r="Z227" s="12">
        <f t="shared" si="45"/>
        <v>3567.327863394353</v>
      </c>
      <c r="AA227" s="12">
        <f t="shared" si="45"/>
        <v>3745.6942565640707</v>
      </c>
      <c r="AB227" s="12">
        <f t="shared" si="45"/>
        <v>3932.9789693922744</v>
      </c>
      <c r="AC227" s="12">
        <f t="shared" si="45"/>
        <v>4129.627917861888</v>
      </c>
      <c r="AD227" s="12">
        <f t="shared" si="45"/>
        <v>4336.109313754983</v>
      </c>
      <c r="AE227" s="12">
        <f t="shared" si="45"/>
        <v>4552.914779442733</v>
      </c>
      <c r="AF227" s="12">
        <f t="shared" si="45"/>
        <v>4780.56051841487</v>
      </c>
      <c r="AG227" s="12">
        <f t="shared" si="45"/>
        <v>5019.588544335614</v>
      </c>
      <c r="AH227" s="12">
        <f t="shared" si="45"/>
        <v>5270.567971552395</v>
      </c>
      <c r="AI227" s="12">
        <f t="shared" si="45"/>
        <v>5534.096370130014</v>
      </c>
      <c r="AJ227" s="12">
        <f t="shared" si="45"/>
        <v>5810.801188636516</v>
      </c>
      <c r="AK227" s="12">
        <f t="shared" si="45"/>
        <v>6101.341248068341</v>
      </c>
    </row>
    <row r="228" spans="1:37" ht="11.25">
      <c r="A228" s="15" t="s">
        <v>144</v>
      </c>
      <c r="B228" s="16"/>
      <c r="C228" s="12"/>
      <c r="D228" s="12"/>
      <c r="E228" s="12"/>
      <c r="F228" s="12"/>
      <c r="G228" s="12"/>
      <c r="H228" s="7">
        <f>IF(MOD(H2,4)=0,366,365)</f>
        <v>365</v>
      </c>
      <c r="I228" s="7">
        <f aca="true" t="shared" si="46" ref="I228:AK228">IF(MOD(I2,4)=0,366,365)</f>
        <v>365</v>
      </c>
      <c r="J228" s="7">
        <f t="shared" si="46"/>
        <v>365</v>
      </c>
      <c r="K228" s="7">
        <f t="shared" si="46"/>
        <v>366</v>
      </c>
      <c r="L228" s="7">
        <f t="shared" si="46"/>
        <v>365</v>
      </c>
      <c r="M228" s="7">
        <f t="shared" si="46"/>
        <v>365</v>
      </c>
      <c r="N228" s="7">
        <f t="shared" si="46"/>
        <v>365</v>
      </c>
      <c r="O228" s="7">
        <f t="shared" si="46"/>
        <v>366</v>
      </c>
      <c r="P228" s="7">
        <f t="shared" si="46"/>
        <v>365</v>
      </c>
      <c r="Q228" s="7">
        <f t="shared" si="46"/>
        <v>365</v>
      </c>
      <c r="R228" s="7">
        <f t="shared" si="46"/>
        <v>365</v>
      </c>
      <c r="S228" s="7">
        <f t="shared" si="46"/>
        <v>366</v>
      </c>
      <c r="T228" s="7">
        <f t="shared" si="46"/>
        <v>365</v>
      </c>
      <c r="U228" s="7">
        <f t="shared" si="46"/>
        <v>365</v>
      </c>
      <c r="V228" s="7">
        <f t="shared" si="46"/>
        <v>365</v>
      </c>
      <c r="W228" s="7">
        <f t="shared" si="46"/>
        <v>366</v>
      </c>
      <c r="X228" s="7">
        <f t="shared" si="46"/>
        <v>365</v>
      </c>
      <c r="Y228" s="7">
        <f t="shared" si="46"/>
        <v>365</v>
      </c>
      <c r="Z228" s="7">
        <f t="shared" si="46"/>
        <v>365</v>
      </c>
      <c r="AA228" s="7">
        <f t="shared" si="46"/>
        <v>366</v>
      </c>
      <c r="AB228" s="7">
        <f t="shared" si="46"/>
        <v>365</v>
      </c>
      <c r="AC228" s="7">
        <f t="shared" si="46"/>
        <v>365</v>
      </c>
      <c r="AD228" s="7">
        <f t="shared" si="46"/>
        <v>365</v>
      </c>
      <c r="AE228" s="7">
        <f t="shared" si="46"/>
        <v>366</v>
      </c>
      <c r="AF228" s="7">
        <f t="shared" si="46"/>
        <v>365</v>
      </c>
      <c r="AG228" s="7">
        <f t="shared" si="46"/>
        <v>365</v>
      </c>
      <c r="AH228" s="7">
        <f t="shared" si="46"/>
        <v>365</v>
      </c>
      <c r="AI228" s="7">
        <f t="shared" si="46"/>
        <v>366</v>
      </c>
      <c r="AJ228" s="7">
        <f t="shared" si="46"/>
        <v>365</v>
      </c>
      <c r="AK228" s="7">
        <f t="shared" si="46"/>
        <v>365</v>
      </c>
    </row>
    <row r="229" spans="1:37" ht="11.25">
      <c r="A229" s="2" t="s">
        <v>76</v>
      </c>
      <c r="H229" s="12">
        <f>H$227*$B74*H224/10^9*H228</f>
        <v>456.42597824246184</v>
      </c>
      <c r="I229" s="12">
        <f aca="true" t="shared" si="47" ref="I229:AK229">I$227*$B74*I224/10^9*I228</f>
        <v>520.0065469617402</v>
      </c>
      <c r="J229" s="12">
        <f t="shared" si="47"/>
        <v>592.4394488767828</v>
      </c>
      <c r="K229" s="12">
        <f t="shared" si="47"/>
        <v>676.7962531373834</v>
      </c>
      <c r="L229" s="12">
        <f t="shared" si="47"/>
        <v>768.9396334817905</v>
      </c>
      <c r="M229" s="12">
        <f t="shared" si="47"/>
        <v>875.9994181097475</v>
      </c>
      <c r="N229" s="12">
        <f t="shared" si="47"/>
        <v>997.9684742422077</v>
      </c>
      <c r="O229" s="12">
        <f t="shared" si="47"/>
        <v>1140.0553111710155</v>
      </c>
      <c r="P229" s="12">
        <f t="shared" si="47"/>
        <v>1270.1967756465478</v>
      </c>
      <c r="Q229" s="12">
        <f t="shared" si="47"/>
        <v>1419.0316615737365</v>
      </c>
      <c r="R229" s="12">
        <f t="shared" si="47"/>
        <v>1585.324732179465</v>
      </c>
      <c r="S229" s="12">
        <f t="shared" si="47"/>
        <v>1775.9988319370643</v>
      </c>
      <c r="T229" s="12">
        <f t="shared" si="47"/>
        <v>1978.6927780399055</v>
      </c>
      <c r="U229" s="12">
        <f t="shared" si="47"/>
        <v>2077.627416941901</v>
      </c>
      <c r="V229" s="12">
        <f t="shared" si="47"/>
        <v>2181.508787788996</v>
      </c>
      <c r="W229" s="12">
        <f t="shared" si="47"/>
        <v>2296.859800403592</v>
      </c>
      <c r="X229" s="12">
        <f t="shared" si="47"/>
        <v>2405.113438537368</v>
      </c>
      <c r="Y229" s="12">
        <f t="shared" si="47"/>
        <v>2525.3691104642367</v>
      </c>
      <c r="Z229" s="12">
        <f t="shared" si="47"/>
        <v>2651.637565987449</v>
      </c>
      <c r="AA229" s="12">
        <f t="shared" si="47"/>
        <v>2791.8474427643196</v>
      </c>
      <c r="AB229" s="12">
        <f t="shared" si="47"/>
        <v>2923.430416501162</v>
      </c>
      <c r="AC229" s="12">
        <f t="shared" si="47"/>
        <v>3069.60193732622</v>
      </c>
      <c r="AD229" s="12">
        <f t="shared" si="47"/>
        <v>3223.0820341925323</v>
      </c>
      <c r="AE229" s="12">
        <f t="shared" si="47"/>
        <v>3393.5080157265484</v>
      </c>
      <c r="AF229" s="12">
        <f t="shared" si="47"/>
        <v>3553.4479426972675</v>
      </c>
      <c r="AG229" s="12">
        <f t="shared" si="47"/>
        <v>3731.1203398321313</v>
      </c>
      <c r="AH229" s="12">
        <f t="shared" si="47"/>
        <v>3917.6763568237375</v>
      </c>
      <c r="AI229" s="12">
        <f t="shared" si="47"/>
        <v>4124.830202540719</v>
      </c>
      <c r="AJ229" s="12">
        <f t="shared" si="47"/>
        <v>4319.238183398172</v>
      </c>
      <c r="AK229" s="12">
        <f t="shared" si="47"/>
        <v>4535.200092568079</v>
      </c>
    </row>
    <row r="230" spans="1:37" ht="11.25">
      <c r="A230" s="2" t="s">
        <v>77</v>
      </c>
      <c r="H230" s="12">
        <f>H$227*$B75*H225/10^9*H228</f>
        <v>416.7288165280283</v>
      </c>
      <c r="I230" s="12">
        <f aca="true" t="shared" si="48" ref="I230:AK230">I$227*$B75*I225/10^9*I228</f>
        <v>472.971179698656</v>
      </c>
      <c r="J230" s="12">
        <f t="shared" si="48"/>
        <v>536.8383223284973</v>
      </c>
      <c r="K230" s="12">
        <f t="shared" si="48"/>
        <v>610.9585667131047</v>
      </c>
      <c r="L230" s="12">
        <f t="shared" si="48"/>
        <v>691.5598907222233</v>
      </c>
      <c r="M230" s="12">
        <f t="shared" si="48"/>
        <v>784.9582108053896</v>
      </c>
      <c r="N230" s="12">
        <f t="shared" si="48"/>
        <v>890.9620368152318</v>
      </c>
      <c r="O230" s="12">
        <f t="shared" si="48"/>
        <v>1014.0449403702105</v>
      </c>
      <c r="P230" s="12">
        <f t="shared" si="48"/>
        <v>1131.9063012794265</v>
      </c>
      <c r="Q230" s="12">
        <f t="shared" si="48"/>
        <v>1266.9023675829358</v>
      </c>
      <c r="R230" s="12">
        <f t="shared" si="48"/>
        <v>1418.036227940192</v>
      </c>
      <c r="S230" s="12">
        <f t="shared" si="48"/>
        <v>1591.4504133807127</v>
      </c>
      <c r="T230" s="12">
        <f t="shared" si="48"/>
        <v>1776.479710206236</v>
      </c>
      <c r="U230" s="12">
        <f t="shared" si="48"/>
        <v>1969.785704748681</v>
      </c>
      <c r="V230" s="12">
        <f t="shared" si="48"/>
        <v>2184.177678991257</v>
      </c>
      <c r="W230" s="12">
        <f t="shared" si="48"/>
        <v>2428.558517241546</v>
      </c>
      <c r="X230" s="12">
        <f t="shared" si="48"/>
        <v>2685.4387772252358</v>
      </c>
      <c r="Y230" s="12">
        <f t="shared" si="48"/>
        <v>2977.5429372985036</v>
      </c>
      <c r="Z230" s="12">
        <f t="shared" si="48"/>
        <v>3126.4200841634292</v>
      </c>
      <c r="AA230" s="12">
        <f t="shared" si="48"/>
        <v>3291.7348995726184</v>
      </c>
      <c r="AB230" s="12">
        <f t="shared" si="48"/>
        <v>3446.878142790181</v>
      </c>
      <c r="AC230" s="12">
        <f t="shared" si="48"/>
        <v>3619.2220499296895</v>
      </c>
      <c r="AD230" s="12">
        <f t="shared" si="48"/>
        <v>3800.1831524261747</v>
      </c>
      <c r="AE230" s="12">
        <f t="shared" si="48"/>
        <v>4001.1243437736416</v>
      </c>
      <c r="AF230" s="12">
        <f t="shared" si="48"/>
        <v>4189.701925549858</v>
      </c>
      <c r="AG230" s="12">
        <f t="shared" si="48"/>
        <v>4399.187021827352</v>
      </c>
      <c r="AH230" s="12">
        <f t="shared" si="48"/>
        <v>4619.14637291872</v>
      </c>
      <c r="AI230" s="12">
        <f t="shared" si="48"/>
        <v>4863.391646884011</v>
      </c>
      <c r="AJ230" s="12">
        <f t="shared" si="48"/>
        <v>5092.608876142889</v>
      </c>
      <c r="AK230" s="12">
        <f t="shared" si="48"/>
        <v>5347.239319950034</v>
      </c>
    </row>
    <row r="231" spans="1:37" ht="11.25">
      <c r="A231" s="2" t="s">
        <v>99</v>
      </c>
      <c r="H231" s="12">
        <f aca="true" t="shared" si="49" ref="H231:AK231">H230+H229</f>
        <v>873.1547947704901</v>
      </c>
      <c r="I231" s="12">
        <f t="shared" si="49"/>
        <v>992.9777266603962</v>
      </c>
      <c r="J231" s="12">
        <f t="shared" si="49"/>
        <v>1129.27777120528</v>
      </c>
      <c r="K231" s="12">
        <f t="shared" si="49"/>
        <v>1287.754819850488</v>
      </c>
      <c r="L231" s="12">
        <f t="shared" si="49"/>
        <v>1460.4995242040136</v>
      </c>
      <c r="M231" s="12">
        <f t="shared" si="49"/>
        <v>1660.957628915137</v>
      </c>
      <c r="N231" s="12">
        <f t="shared" si="49"/>
        <v>1888.9305110574396</v>
      </c>
      <c r="O231" s="12">
        <f t="shared" si="49"/>
        <v>2154.100251541226</v>
      </c>
      <c r="P231" s="12">
        <f t="shared" si="49"/>
        <v>2402.103076925974</v>
      </c>
      <c r="Q231" s="12">
        <f t="shared" si="49"/>
        <v>2685.9340291566723</v>
      </c>
      <c r="R231" s="12">
        <f t="shared" si="49"/>
        <v>3003.3609601196567</v>
      </c>
      <c r="S231" s="12">
        <f t="shared" si="49"/>
        <v>3367.4492453177772</v>
      </c>
      <c r="T231" s="12">
        <f t="shared" si="49"/>
        <v>3755.1724882461413</v>
      </c>
      <c r="U231" s="12">
        <f t="shared" si="49"/>
        <v>4047.413121690582</v>
      </c>
      <c r="V231" s="12">
        <f t="shared" si="49"/>
        <v>4365.686466780253</v>
      </c>
      <c r="W231" s="12">
        <f t="shared" si="49"/>
        <v>4725.418317645138</v>
      </c>
      <c r="X231" s="12">
        <f t="shared" si="49"/>
        <v>5090.552215762604</v>
      </c>
      <c r="Y231" s="12">
        <f t="shared" si="49"/>
        <v>5502.91204776274</v>
      </c>
      <c r="Z231" s="12">
        <f t="shared" si="49"/>
        <v>5778.0576501508785</v>
      </c>
      <c r="AA231" s="12">
        <f t="shared" si="49"/>
        <v>6083.582342336938</v>
      </c>
      <c r="AB231" s="12">
        <f t="shared" si="49"/>
        <v>6370.308559291343</v>
      </c>
      <c r="AC231" s="12">
        <f t="shared" si="49"/>
        <v>6688.82398725591</v>
      </c>
      <c r="AD231" s="12">
        <f t="shared" si="49"/>
        <v>7023.265186618707</v>
      </c>
      <c r="AE231" s="12">
        <f t="shared" si="49"/>
        <v>7394.63235950019</v>
      </c>
      <c r="AF231" s="12">
        <f t="shared" si="49"/>
        <v>7743.149868247126</v>
      </c>
      <c r="AG231" s="12">
        <f t="shared" si="49"/>
        <v>8130.307361659483</v>
      </c>
      <c r="AH231" s="12">
        <f t="shared" si="49"/>
        <v>8536.822729742456</v>
      </c>
      <c r="AI231" s="12">
        <f t="shared" si="49"/>
        <v>8988.22184942473</v>
      </c>
      <c r="AJ231" s="12">
        <f t="shared" si="49"/>
        <v>9411.847059541062</v>
      </c>
      <c r="AK231" s="12">
        <f t="shared" si="49"/>
        <v>9882.439412518113</v>
      </c>
    </row>
    <row r="232" spans="1:37" ht="11.25">
      <c r="A232" s="29" t="s">
        <v>79</v>
      </c>
      <c r="H232" s="12">
        <f aca="true" t="shared" si="50" ref="H232:AK232">H231/(1+$B$99)*$B$99</f>
        <v>79.3777086154991</v>
      </c>
      <c r="I232" s="12">
        <f t="shared" si="50"/>
        <v>90.27070242367239</v>
      </c>
      <c r="J232" s="12">
        <f t="shared" si="50"/>
        <v>102.66161556411637</v>
      </c>
      <c r="K232" s="12">
        <f t="shared" si="50"/>
        <v>117.06861998640801</v>
      </c>
      <c r="L232" s="12">
        <f t="shared" si="50"/>
        <v>132.77268401854667</v>
      </c>
      <c r="M232" s="12">
        <f t="shared" si="50"/>
        <v>150.99614808319427</v>
      </c>
      <c r="N232" s="12">
        <f t="shared" si="50"/>
        <v>171.7209555506763</v>
      </c>
      <c r="O232" s="12">
        <f t="shared" si="50"/>
        <v>195.8272955946569</v>
      </c>
      <c r="P232" s="12">
        <f t="shared" si="50"/>
        <v>218.3730069932704</v>
      </c>
      <c r="Q232" s="12">
        <f t="shared" si="50"/>
        <v>244.17582083242473</v>
      </c>
      <c r="R232" s="12">
        <f t="shared" si="50"/>
        <v>273.0328145563324</v>
      </c>
      <c r="S232" s="12">
        <f t="shared" si="50"/>
        <v>306.13174957434336</v>
      </c>
      <c r="T232" s="12">
        <f t="shared" si="50"/>
        <v>341.3793171132856</v>
      </c>
      <c r="U232" s="12">
        <f t="shared" si="50"/>
        <v>367.9466474264166</v>
      </c>
      <c r="V232" s="12">
        <f t="shared" si="50"/>
        <v>396.8805878891139</v>
      </c>
      <c r="W232" s="12">
        <f t="shared" si="50"/>
        <v>429.5834834222852</v>
      </c>
      <c r="X232" s="12">
        <f t="shared" si="50"/>
        <v>462.7774741602367</v>
      </c>
      <c r="Y232" s="12">
        <f t="shared" si="50"/>
        <v>500.2647316147945</v>
      </c>
      <c r="Z232" s="12">
        <f t="shared" si="50"/>
        <v>525.2779681955344</v>
      </c>
      <c r="AA232" s="12">
        <f t="shared" si="50"/>
        <v>553.0529402124489</v>
      </c>
      <c r="AB232" s="12">
        <f t="shared" si="50"/>
        <v>579.1189599355765</v>
      </c>
      <c r="AC232" s="12">
        <f t="shared" si="50"/>
        <v>608.0749079323554</v>
      </c>
      <c r="AD232" s="12">
        <f t="shared" si="50"/>
        <v>638.4786533289735</v>
      </c>
      <c r="AE232" s="12">
        <f t="shared" si="50"/>
        <v>672.2393054091082</v>
      </c>
      <c r="AF232" s="12">
        <f t="shared" si="50"/>
        <v>703.9227152951933</v>
      </c>
      <c r="AG232" s="12">
        <f t="shared" si="50"/>
        <v>739.118851059953</v>
      </c>
      <c r="AH232" s="12">
        <f t="shared" si="50"/>
        <v>776.0747936129505</v>
      </c>
      <c r="AI232" s="12">
        <f t="shared" si="50"/>
        <v>817.1110772204299</v>
      </c>
      <c r="AJ232" s="12">
        <f t="shared" si="50"/>
        <v>855.6224599582783</v>
      </c>
      <c r="AK232" s="12">
        <f t="shared" si="50"/>
        <v>898.4035829561922</v>
      </c>
    </row>
    <row r="233" spans="1:37" ht="11.25">
      <c r="A233" s="2" t="s">
        <v>80</v>
      </c>
      <c r="H233" s="12">
        <f aca="true" t="shared" si="51" ref="H233:AK233">H231/(1+$B$99)</f>
        <v>793.7770861549909</v>
      </c>
      <c r="I233" s="12">
        <f t="shared" si="51"/>
        <v>902.7070242367238</v>
      </c>
      <c r="J233" s="12">
        <f t="shared" si="51"/>
        <v>1026.6161556411637</v>
      </c>
      <c r="K233" s="12">
        <f t="shared" si="51"/>
        <v>1170.68619986408</v>
      </c>
      <c r="L233" s="12">
        <f t="shared" si="51"/>
        <v>1327.7268401854667</v>
      </c>
      <c r="M233" s="12">
        <f t="shared" si="51"/>
        <v>1509.9614808319427</v>
      </c>
      <c r="N233" s="12">
        <f t="shared" si="51"/>
        <v>1717.209555506763</v>
      </c>
      <c r="O233" s="12">
        <f t="shared" si="51"/>
        <v>1958.272955946569</v>
      </c>
      <c r="P233" s="12">
        <f t="shared" si="51"/>
        <v>2183.730069932704</v>
      </c>
      <c r="Q233" s="12">
        <f t="shared" si="51"/>
        <v>2441.7582083242473</v>
      </c>
      <c r="R233" s="12">
        <f t="shared" si="51"/>
        <v>2730.328145563324</v>
      </c>
      <c r="S233" s="12">
        <f t="shared" si="51"/>
        <v>3061.3174957434335</v>
      </c>
      <c r="T233" s="12">
        <f t="shared" si="51"/>
        <v>3413.7931711328556</v>
      </c>
      <c r="U233" s="12">
        <f t="shared" si="51"/>
        <v>3679.4664742641653</v>
      </c>
      <c r="V233" s="12">
        <f t="shared" si="51"/>
        <v>3968.8058788911385</v>
      </c>
      <c r="W233" s="12">
        <f t="shared" si="51"/>
        <v>4295.834834222852</v>
      </c>
      <c r="X233" s="12">
        <f t="shared" si="51"/>
        <v>4627.774741602367</v>
      </c>
      <c r="Y233" s="12">
        <f t="shared" si="51"/>
        <v>5002.647316147945</v>
      </c>
      <c r="Z233" s="12">
        <f t="shared" si="51"/>
        <v>5252.779681955344</v>
      </c>
      <c r="AA233" s="12">
        <f t="shared" si="51"/>
        <v>5530.529402124489</v>
      </c>
      <c r="AB233" s="12">
        <f t="shared" si="51"/>
        <v>5791.1895993557655</v>
      </c>
      <c r="AC233" s="12">
        <f t="shared" si="51"/>
        <v>6080.749079323554</v>
      </c>
      <c r="AD233" s="12">
        <f t="shared" si="51"/>
        <v>6384.786533289734</v>
      </c>
      <c r="AE233" s="12">
        <f t="shared" si="51"/>
        <v>6722.3930540910815</v>
      </c>
      <c r="AF233" s="12">
        <f t="shared" si="51"/>
        <v>7039.227152951932</v>
      </c>
      <c r="AG233" s="12">
        <f t="shared" si="51"/>
        <v>7391.18851059953</v>
      </c>
      <c r="AH233" s="12">
        <f t="shared" si="51"/>
        <v>7760.747936129505</v>
      </c>
      <c r="AI233" s="12">
        <f t="shared" si="51"/>
        <v>8171.110772204299</v>
      </c>
      <c r="AJ233" s="12">
        <f t="shared" si="51"/>
        <v>8556.224599582783</v>
      </c>
      <c r="AK233" s="12">
        <f t="shared" si="51"/>
        <v>8984.03582956192</v>
      </c>
    </row>
    <row r="234" ht="11.25">
      <c r="A234" s="1" t="s">
        <v>124</v>
      </c>
    </row>
    <row r="235" spans="1:37" ht="11.25">
      <c r="A235" s="11" t="s">
        <v>131</v>
      </c>
      <c r="H235" s="12">
        <f>$B$101*H116*(SUM(H211:H216)+SUM(H218:H223))*H228/10^9</f>
        <v>17.24050575094833</v>
      </c>
      <c r="I235" s="12">
        <f aca="true" t="shared" si="52" ref="I235:AK235">$B$101*I116*(SUM(I211:I216)+SUM(I218:I223))*I228/10^9</f>
        <v>19.612390316855592</v>
      </c>
      <c r="J235" s="12">
        <f t="shared" si="52"/>
        <v>22.310916610283716</v>
      </c>
      <c r="K235" s="12">
        <f t="shared" si="52"/>
        <v>25.44941942183741</v>
      </c>
      <c r="L235" s="12">
        <f t="shared" si="52"/>
        <v>28.871690079875442</v>
      </c>
      <c r="M235" s="12">
        <f t="shared" si="52"/>
        <v>32.84333769770423</v>
      </c>
      <c r="N235" s="12">
        <f t="shared" si="52"/>
        <v>37.361512043047874</v>
      </c>
      <c r="O235" s="12">
        <f t="shared" si="52"/>
        <v>42.61875965680839</v>
      </c>
      <c r="P235" s="12">
        <f t="shared" si="52"/>
        <v>47.51845261737828</v>
      </c>
      <c r="Q235" s="12">
        <f t="shared" si="52"/>
        <v>53.12579167476589</v>
      </c>
      <c r="R235" s="12">
        <f t="shared" si="52"/>
        <v>59.39539235361146</v>
      </c>
      <c r="S235" s="12">
        <f t="shared" si="52"/>
        <v>66.58680431145584</v>
      </c>
      <c r="T235" s="12">
        <f t="shared" si="52"/>
        <v>74.24210819678136</v>
      </c>
      <c r="U235" s="12">
        <f t="shared" si="52"/>
        <v>79.68403561891817</v>
      </c>
      <c r="V235" s="12">
        <f t="shared" si="52"/>
        <v>85.58691154010992</v>
      </c>
      <c r="W235" s="12">
        <f t="shared" si="52"/>
        <v>92.24663280706594</v>
      </c>
      <c r="X235" s="12">
        <f t="shared" si="52"/>
        <v>98.95242595229726</v>
      </c>
      <c r="Y235" s="12">
        <f t="shared" si="52"/>
        <v>106.51384158774658</v>
      </c>
      <c r="Z235" s="12">
        <f t="shared" si="52"/>
        <v>111.8395336671339</v>
      </c>
      <c r="AA235" s="12">
        <f t="shared" si="52"/>
        <v>117.75324051583445</v>
      </c>
      <c r="AB235" s="12">
        <f t="shared" si="52"/>
        <v>123.30308586801515</v>
      </c>
      <c r="AC235" s="12">
        <f t="shared" si="52"/>
        <v>129.4682401614159</v>
      </c>
      <c r="AD235" s="12">
        <f t="shared" si="52"/>
        <v>135.9416521694867</v>
      </c>
      <c r="AE235" s="12">
        <f t="shared" si="52"/>
        <v>143.12979980475</v>
      </c>
      <c r="AF235" s="12">
        <f t="shared" si="52"/>
        <v>149.87567151685914</v>
      </c>
      <c r="AG235" s="12">
        <f t="shared" si="52"/>
        <v>157.3694550927021</v>
      </c>
      <c r="AH235" s="12">
        <f t="shared" si="52"/>
        <v>165.23792784733723</v>
      </c>
      <c r="AI235" s="12">
        <f t="shared" si="52"/>
        <v>173.97516622392246</v>
      </c>
      <c r="AJ235" s="12">
        <f t="shared" si="52"/>
        <v>182.1748154516893</v>
      </c>
      <c r="AK235" s="12">
        <f t="shared" si="52"/>
        <v>191.28355622427378</v>
      </c>
    </row>
    <row r="236" spans="1:37" ht="11.25">
      <c r="A236" s="11" t="s">
        <v>125</v>
      </c>
      <c r="H236" s="12">
        <f aca="true" t="shared" si="53" ref="H236:AK236">$B102*H$116</f>
        <v>4.348075335778946</v>
      </c>
      <c r="I236" s="12">
        <f t="shared" si="53"/>
        <v>4.565479102567894</v>
      </c>
      <c r="J236" s="12">
        <f t="shared" si="53"/>
        <v>4.793753057696288</v>
      </c>
      <c r="K236" s="12">
        <f t="shared" si="53"/>
        <v>5.033440710581103</v>
      </c>
      <c r="L236" s="12">
        <f t="shared" si="53"/>
        <v>5.2851127461101575</v>
      </c>
      <c r="M236" s="12">
        <f t="shared" si="53"/>
        <v>5.549368383415665</v>
      </c>
      <c r="N236" s="12">
        <f t="shared" si="53"/>
        <v>5.826836802586449</v>
      </c>
      <c r="O236" s="12">
        <f t="shared" si="53"/>
        <v>6.118178642715772</v>
      </c>
      <c r="P236" s="12">
        <f t="shared" si="53"/>
        <v>6.424087574851561</v>
      </c>
      <c r="Q236" s="12">
        <f t="shared" si="53"/>
        <v>6.74529195359414</v>
      </c>
      <c r="R236" s="12">
        <f t="shared" si="53"/>
        <v>7.082556551273847</v>
      </c>
      <c r="S236" s="12">
        <f t="shared" si="53"/>
        <v>7.43668437883754</v>
      </c>
      <c r="T236" s="12">
        <f t="shared" si="53"/>
        <v>7.8085185977794165</v>
      </c>
      <c r="U236" s="12">
        <f t="shared" si="53"/>
        <v>8.198944527668388</v>
      </c>
      <c r="V236" s="12">
        <f t="shared" si="53"/>
        <v>8.608891754051808</v>
      </c>
      <c r="W236" s="12">
        <f t="shared" si="53"/>
        <v>9.039336341754398</v>
      </c>
      <c r="X236" s="12">
        <f t="shared" si="53"/>
        <v>9.491303158842117</v>
      </c>
      <c r="Y236" s="12">
        <f t="shared" si="53"/>
        <v>9.965868316784224</v>
      </c>
      <c r="Z236" s="12">
        <f t="shared" si="53"/>
        <v>10.464161732623436</v>
      </c>
      <c r="AA236" s="12">
        <f t="shared" si="53"/>
        <v>10.987369819254608</v>
      </c>
      <c r="AB236" s="12">
        <f t="shared" si="53"/>
        <v>11.53673831021734</v>
      </c>
      <c r="AC236" s="12">
        <f t="shared" si="53"/>
        <v>12.113575225728205</v>
      </c>
      <c r="AD236" s="12">
        <f t="shared" si="53"/>
        <v>12.719253987014618</v>
      </c>
      <c r="AE236" s="12">
        <f t="shared" si="53"/>
        <v>13.355216686365349</v>
      </c>
      <c r="AF236" s="12">
        <f t="shared" si="53"/>
        <v>14.022977520683618</v>
      </c>
      <c r="AG236" s="12">
        <f t="shared" si="53"/>
        <v>14.7241263967178</v>
      </c>
      <c r="AH236" s="12">
        <f t="shared" si="53"/>
        <v>15.46033271655369</v>
      </c>
      <c r="AI236" s="12">
        <f t="shared" si="53"/>
        <v>16.233349352381378</v>
      </c>
      <c r="AJ236" s="12">
        <f t="shared" si="53"/>
        <v>17.045016820000445</v>
      </c>
      <c r="AK236" s="12">
        <f t="shared" si="53"/>
        <v>17.89726766100047</v>
      </c>
    </row>
    <row r="237" spans="1:37" ht="11.25">
      <c r="A237" s="11" t="s">
        <v>82</v>
      </c>
      <c r="O237" s="12">
        <f>$B103*O$116</f>
        <v>509.84822022631425</v>
      </c>
      <c r="W237" s="12">
        <f>$B103*W$116</f>
        <v>753.2780284795331</v>
      </c>
      <c r="AE237" s="12">
        <f>$B103*AE$116</f>
        <v>1112.934723863779</v>
      </c>
      <c r="AK237" s="12"/>
    </row>
    <row r="238" spans="8:61" ht="11.25">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row>
    <row r="239" ht="11.25">
      <c r="A239" s="1" t="s">
        <v>86</v>
      </c>
    </row>
    <row r="240" spans="1:61" ht="11.25">
      <c r="A240" s="2" t="s">
        <v>87</v>
      </c>
      <c r="H240" s="12">
        <f aca="true" t="shared" si="54" ref="H240:AK240">H233</f>
        <v>793.7770861549909</v>
      </c>
      <c r="I240" s="12">
        <f t="shared" si="54"/>
        <v>902.7070242367238</v>
      </c>
      <c r="J240" s="12">
        <f t="shared" si="54"/>
        <v>1026.6161556411637</v>
      </c>
      <c r="K240" s="12">
        <f t="shared" si="54"/>
        <v>1170.68619986408</v>
      </c>
      <c r="L240" s="12">
        <f t="shared" si="54"/>
        <v>1327.7268401854667</v>
      </c>
      <c r="M240" s="12">
        <f t="shared" si="54"/>
        <v>1509.9614808319427</v>
      </c>
      <c r="N240" s="12">
        <f t="shared" si="54"/>
        <v>1717.209555506763</v>
      </c>
      <c r="O240" s="12">
        <f t="shared" si="54"/>
        <v>1958.272955946569</v>
      </c>
      <c r="P240" s="12">
        <f t="shared" si="54"/>
        <v>2183.730069932704</v>
      </c>
      <c r="Q240" s="12">
        <f t="shared" si="54"/>
        <v>2441.7582083242473</v>
      </c>
      <c r="R240" s="12">
        <f t="shared" si="54"/>
        <v>2730.328145563324</v>
      </c>
      <c r="S240" s="12">
        <f t="shared" si="54"/>
        <v>3061.3174957434335</v>
      </c>
      <c r="T240" s="12">
        <f t="shared" si="54"/>
        <v>3413.7931711328556</v>
      </c>
      <c r="U240" s="12">
        <f t="shared" si="54"/>
        <v>3679.4664742641653</v>
      </c>
      <c r="V240" s="12">
        <f t="shared" si="54"/>
        <v>3968.8058788911385</v>
      </c>
      <c r="W240" s="12">
        <f t="shared" si="54"/>
        <v>4295.834834222852</v>
      </c>
      <c r="X240" s="12">
        <f t="shared" si="54"/>
        <v>4627.774741602367</v>
      </c>
      <c r="Y240" s="12">
        <f t="shared" si="54"/>
        <v>5002.647316147945</v>
      </c>
      <c r="Z240" s="12">
        <f t="shared" si="54"/>
        <v>5252.779681955344</v>
      </c>
      <c r="AA240" s="12">
        <f t="shared" si="54"/>
        <v>5530.529402124489</v>
      </c>
      <c r="AB240" s="12">
        <f t="shared" si="54"/>
        <v>5791.1895993557655</v>
      </c>
      <c r="AC240" s="12">
        <f t="shared" si="54"/>
        <v>6080.749079323554</v>
      </c>
      <c r="AD240" s="12">
        <f t="shared" si="54"/>
        <v>6384.786533289734</v>
      </c>
      <c r="AE240" s="12">
        <f t="shared" si="54"/>
        <v>6722.3930540910815</v>
      </c>
      <c r="AF240" s="12">
        <f t="shared" si="54"/>
        <v>7039.227152951932</v>
      </c>
      <c r="AG240" s="12">
        <f t="shared" si="54"/>
        <v>7391.18851059953</v>
      </c>
      <c r="AH240" s="12">
        <f t="shared" si="54"/>
        <v>7760.747936129505</v>
      </c>
      <c r="AI240" s="12">
        <f t="shared" si="54"/>
        <v>8171.110772204299</v>
      </c>
      <c r="AJ240" s="12">
        <f t="shared" si="54"/>
        <v>8556.224599582783</v>
      </c>
      <c r="AK240" s="12">
        <f t="shared" si="54"/>
        <v>8984.03582956192</v>
      </c>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row>
    <row r="241" spans="1:61" ht="11.25">
      <c r="A241" s="31" t="s">
        <v>130</v>
      </c>
      <c r="H241" s="12">
        <f>-H235</f>
        <v>-17.24050575094833</v>
      </c>
      <c r="I241" s="12">
        <f aca="true" t="shared" si="55" ref="I241:AK241">-I235</f>
        <v>-19.612390316855592</v>
      </c>
      <c r="J241" s="12">
        <f t="shared" si="55"/>
        <v>-22.310916610283716</v>
      </c>
      <c r="K241" s="12">
        <f t="shared" si="55"/>
        <v>-25.44941942183741</v>
      </c>
      <c r="L241" s="12">
        <f t="shared" si="55"/>
        <v>-28.871690079875442</v>
      </c>
      <c r="M241" s="12">
        <f t="shared" si="55"/>
        <v>-32.84333769770423</v>
      </c>
      <c r="N241" s="12">
        <f t="shared" si="55"/>
        <v>-37.361512043047874</v>
      </c>
      <c r="O241" s="12">
        <f t="shared" si="55"/>
        <v>-42.61875965680839</v>
      </c>
      <c r="P241" s="12">
        <f t="shared" si="55"/>
        <v>-47.51845261737828</v>
      </c>
      <c r="Q241" s="12">
        <f t="shared" si="55"/>
        <v>-53.12579167476589</v>
      </c>
      <c r="R241" s="12">
        <f t="shared" si="55"/>
        <v>-59.39539235361146</v>
      </c>
      <c r="S241" s="12">
        <f t="shared" si="55"/>
        <v>-66.58680431145584</v>
      </c>
      <c r="T241" s="12">
        <f t="shared" si="55"/>
        <v>-74.24210819678136</v>
      </c>
      <c r="U241" s="12">
        <f t="shared" si="55"/>
        <v>-79.68403561891817</v>
      </c>
      <c r="V241" s="12">
        <f t="shared" si="55"/>
        <v>-85.58691154010992</v>
      </c>
      <c r="W241" s="12">
        <f t="shared" si="55"/>
        <v>-92.24663280706594</v>
      </c>
      <c r="X241" s="12">
        <f t="shared" si="55"/>
        <v>-98.95242595229726</v>
      </c>
      <c r="Y241" s="12">
        <f t="shared" si="55"/>
        <v>-106.51384158774658</v>
      </c>
      <c r="Z241" s="12">
        <f t="shared" si="55"/>
        <v>-111.8395336671339</v>
      </c>
      <c r="AA241" s="12">
        <f t="shared" si="55"/>
        <v>-117.75324051583445</v>
      </c>
      <c r="AB241" s="12">
        <f t="shared" si="55"/>
        <v>-123.30308586801515</v>
      </c>
      <c r="AC241" s="12">
        <f t="shared" si="55"/>
        <v>-129.4682401614159</v>
      </c>
      <c r="AD241" s="12">
        <f t="shared" si="55"/>
        <v>-135.9416521694867</v>
      </c>
      <c r="AE241" s="12">
        <f t="shared" si="55"/>
        <v>-143.12979980475</v>
      </c>
      <c r="AF241" s="12">
        <f t="shared" si="55"/>
        <v>-149.87567151685914</v>
      </c>
      <c r="AG241" s="12">
        <f t="shared" si="55"/>
        <v>-157.3694550927021</v>
      </c>
      <c r="AH241" s="12">
        <f t="shared" si="55"/>
        <v>-165.23792784733723</v>
      </c>
      <c r="AI241" s="12">
        <f t="shared" si="55"/>
        <v>-173.97516622392246</v>
      </c>
      <c r="AJ241" s="12">
        <f t="shared" si="55"/>
        <v>-182.1748154516893</v>
      </c>
      <c r="AK241" s="12">
        <f t="shared" si="55"/>
        <v>-191.28355622427378</v>
      </c>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row>
    <row r="242" spans="1:61" ht="11.25">
      <c r="A242" s="31" t="s">
        <v>126</v>
      </c>
      <c r="H242" s="12">
        <f aca="true" t="shared" si="56" ref="H242:AK243">-H236</f>
        <v>-4.348075335778946</v>
      </c>
      <c r="I242" s="12">
        <f t="shared" si="56"/>
        <v>-4.565479102567894</v>
      </c>
      <c r="J242" s="12">
        <f t="shared" si="56"/>
        <v>-4.793753057696288</v>
      </c>
      <c r="K242" s="12">
        <f t="shared" si="56"/>
        <v>-5.033440710581103</v>
      </c>
      <c r="L242" s="12">
        <f t="shared" si="56"/>
        <v>-5.2851127461101575</v>
      </c>
      <c r="M242" s="12">
        <f t="shared" si="56"/>
        <v>-5.549368383415665</v>
      </c>
      <c r="N242" s="12">
        <f t="shared" si="56"/>
        <v>-5.826836802586449</v>
      </c>
      <c r="O242" s="12">
        <f t="shared" si="56"/>
        <v>-6.118178642715772</v>
      </c>
      <c r="P242" s="12">
        <f t="shared" si="56"/>
        <v>-6.424087574851561</v>
      </c>
      <c r="Q242" s="12">
        <f t="shared" si="56"/>
        <v>-6.74529195359414</v>
      </c>
      <c r="R242" s="12">
        <f t="shared" si="56"/>
        <v>-7.082556551273847</v>
      </c>
      <c r="S242" s="12">
        <f t="shared" si="56"/>
        <v>-7.43668437883754</v>
      </c>
      <c r="T242" s="12">
        <f t="shared" si="56"/>
        <v>-7.8085185977794165</v>
      </c>
      <c r="U242" s="12">
        <f t="shared" si="56"/>
        <v>-8.198944527668388</v>
      </c>
      <c r="V242" s="12">
        <f t="shared" si="56"/>
        <v>-8.608891754051808</v>
      </c>
      <c r="W242" s="12">
        <f t="shared" si="56"/>
        <v>-9.039336341754398</v>
      </c>
      <c r="X242" s="12">
        <f t="shared" si="56"/>
        <v>-9.491303158842117</v>
      </c>
      <c r="Y242" s="12">
        <f t="shared" si="56"/>
        <v>-9.965868316784224</v>
      </c>
      <c r="Z242" s="12">
        <f t="shared" si="56"/>
        <v>-10.464161732623436</v>
      </c>
      <c r="AA242" s="12">
        <f t="shared" si="56"/>
        <v>-10.987369819254608</v>
      </c>
      <c r="AB242" s="12">
        <f t="shared" si="56"/>
        <v>-11.53673831021734</v>
      </c>
      <c r="AC242" s="12">
        <f t="shared" si="56"/>
        <v>-12.113575225728205</v>
      </c>
      <c r="AD242" s="12">
        <f t="shared" si="56"/>
        <v>-12.719253987014618</v>
      </c>
      <c r="AE242" s="12">
        <f t="shared" si="56"/>
        <v>-13.355216686365349</v>
      </c>
      <c r="AF242" s="12">
        <f t="shared" si="56"/>
        <v>-14.022977520683618</v>
      </c>
      <c r="AG242" s="12">
        <f t="shared" si="56"/>
        <v>-14.7241263967178</v>
      </c>
      <c r="AH242" s="12">
        <f t="shared" si="56"/>
        <v>-15.46033271655369</v>
      </c>
      <c r="AI242" s="12">
        <f t="shared" si="56"/>
        <v>-16.233349352381378</v>
      </c>
      <c r="AJ242" s="12">
        <f t="shared" si="56"/>
        <v>-17.045016820000445</v>
      </c>
      <c r="AK242" s="12">
        <f t="shared" si="56"/>
        <v>-17.89726766100047</v>
      </c>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row>
    <row r="243" spans="1:61" ht="11.25">
      <c r="A243" s="31" t="s">
        <v>100</v>
      </c>
      <c r="H243" s="12">
        <f t="shared" si="56"/>
        <v>0</v>
      </c>
      <c r="I243" s="12">
        <f t="shared" si="56"/>
        <v>0</v>
      </c>
      <c r="J243" s="12">
        <f t="shared" si="56"/>
        <v>0</v>
      </c>
      <c r="K243" s="12">
        <f t="shared" si="56"/>
        <v>0</v>
      </c>
      <c r="L243" s="12">
        <f t="shared" si="56"/>
        <v>0</v>
      </c>
      <c r="M243" s="12">
        <f t="shared" si="56"/>
        <v>0</v>
      </c>
      <c r="N243" s="12">
        <f t="shared" si="56"/>
        <v>0</v>
      </c>
      <c r="O243" s="12">
        <f t="shared" si="56"/>
        <v>-509.84822022631425</v>
      </c>
      <c r="P243" s="12">
        <f t="shared" si="56"/>
        <v>0</v>
      </c>
      <c r="Q243" s="12">
        <f t="shared" si="56"/>
        <v>0</v>
      </c>
      <c r="R243" s="12">
        <f t="shared" si="56"/>
        <v>0</v>
      </c>
      <c r="S243" s="12">
        <f t="shared" si="56"/>
        <v>0</v>
      </c>
      <c r="T243" s="12">
        <f t="shared" si="56"/>
        <v>0</v>
      </c>
      <c r="U243" s="12">
        <f t="shared" si="56"/>
        <v>0</v>
      </c>
      <c r="V243" s="12">
        <f t="shared" si="56"/>
        <v>0</v>
      </c>
      <c r="W243" s="12">
        <f t="shared" si="56"/>
        <v>-753.2780284795331</v>
      </c>
      <c r="X243" s="12">
        <f t="shared" si="56"/>
        <v>0</v>
      </c>
      <c r="Y243" s="12">
        <f t="shared" si="56"/>
        <v>0</v>
      </c>
      <c r="Z243" s="12">
        <f t="shared" si="56"/>
        <v>0</v>
      </c>
      <c r="AA243" s="12">
        <f t="shared" si="56"/>
        <v>0</v>
      </c>
      <c r="AB243" s="12">
        <f t="shared" si="56"/>
        <v>0</v>
      </c>
      <c r="AC243" s="12">
        <f t="shared" si="56"/>
        <v>0</v>
      </c>
      <c r="AD243" s="12">
        <f t="shared" si="56"/>
        <v>0</v>
      </c>
      <c r="AE243" s="12">
        <f t="shared" si="56"/>
        <v>-1112.934723863779</v>
      </c>
      <c r="AF243" s="12">
        <f t="shared" si="56"/>
        <v>0</v>
      </c>
      <c r="AG243" s="12">
        <f t="shared" si="56"/>
        <v>0</v>
      </c>
      <c r="AH243" s="12">
        <f t="shared" si="56"/>
        <v>0</v>
      </c>
      <c r="AI243" s="12">
        <f t="shared" si="56"/>
        <v>0</v>
      </c>
      <c r="AJ243" s="12">
        <f t="shared" si="56"/>
        <v>0</v>
      </c>
      <c r="AK243" s="12">
        <f t="shared" si="56"/>
        <v>0</v>
      </c>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row>
    <row r="244" spans="1:61" ht="11.25">
      <c r="A244" s="2" t="s">
        <v>88</v>
      </c>
      <c r="H244" s="12">
        <f>H240+H241+H242+H243</f>
        <v>772.1885050682636</v>
      </c>
      <c r="I244" s="12">
        <f aca="true" t="shared" si="57" ref="I244:AK244">I240+I241+I242+I243</f>
        <v>878.5291548173003</v>
      </c>
      <c r="J244" s="12">
        <f t="shared" si="57"/>
        <v>999.5114859731837</v>
      </c>
      <c r="K244" s="12">
        <f t="shared" si="57"/>
        <v>1140.2033397316616</v>
      </c>
      <c r="L244" s="12">
        <f t="shared" si="57"/>
        <v>1293.5700373594811</v>
      </c>
      <c r="M244" s="12">
        <f t="shared" si="57"/>
        <v>1471.5687747508227</v>
      </c>
      <c r="N244" s="12">
        <f t="shared" si="57"/>
        <v>1674.0212066611286</v>
      </c>
      <c r="O244" s="12">
        <f t="shared" si="57"/>
        <v>1399.6877974207307</v>
      </c>
      <c r="P244" s="12">
        <f t="shared" si="57"/>
        <v>2129.787529740474</v>
      </c>
      <c r="Q244" s="12">
        <f t="shared" si="57"/>
        <v>2381.8871246958875</v>
      </c>
      <c r="R244" s="12">
        <f t="shared" si="57"/>
        <v>2663.850196658439</v>
      </c>
      <c r="S244" s="12">
        <f t="shared" si="57"/>
        <v>2987.29400705314</v>
      </c>
      <c r="T244" s="12">
        <f t="shared" si="57"/>
        <v>3331.742544338295</v>
      </c>
      <c r="U244" s="12">
        <f t="shared" si="57"/>
        <v>3591.5834941175785</v>
      </c>
      <c r="V244" s="12">
        <f t="shared" si="57"/>
        <v>3874.6100755969765</v>
      </c>
      <c r="W244" s="12">
        <f t="shared" si="57"/>
        <v>3441.2708365944986</v>
      </c>
      <c r="X244" s="12">
        <f t="shared" si="57"/>
        <v>4519.331012491228</v>
      </c>
      <c r="Y244" s="12">
        <f t="shared" si="57"/>
        <v>4886.167606243414</v>
      </c>
      <c r="Z244" s="12">
        <f t="shared" si="57"/>
        <v>5130.475986555587</v>
      </c>
      <c r="AA244" s="12">
        <f t="shared" si="57"/>
        <v>5401.7887917893995</v>
      </c>
      <c r="AB244" s="12">
        <f t="shared" si="57"/>
        <v>5656.349775177533</v>
      </c>
      <c r="AC244" s="12">
        <f t="shared" si="57"/>
        <v>5939.167263936411</v>
      </c>
      <c r="AD244" s="12">
        <f t="shared" si="57"/>
        <v>6236.125627133232</v>
      </c>
      <c r="AE244" s="12">
        <f t="shared" si="57"/>
        <v>5452.973313736186</v>
      </c>
      <c r="AF244" s="12">
        <f t="shared" si="57"/>
        <v>6875.328503914389</v>
      </c>
      <c r="AG244" s="12">
        <f t="shared" si="57"/>
        <v>7219.09492911011</v>
      </c>
      <c r="AH244" s="12">
        <f t="shared" si="57"/>
        <v>7580.049675565615</v>
      </c>
      <c r="AI244" s="12">
        <f t="shared" si="57"/>
        <v>7980.9022566279955</v>
      </c>
      <c r="AJ244" s="12">
        <f t="shared" si="57"/>
        <v>8357.004767311093</v>
      </c>
      <c r="AK244" s="12">
        <f t="shared" si="57"/>
        <v>8774.855005676645</v>
      </c>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row>
    <row r="245" spans="1:61" ht="11.25">
      <c r="A245" s="31" t="s">
        <v>101</v>
      </c>
      <c r="H245" s="12">
        <f aca="true" t="shared" si="58" ref="H245:AK245">-H207</f>
        <v>-438.8220405637958</v>
      </c>
      <c r="I245" s="12">
        <f t="shared" si="58"/>
        <v>-438.8220405637958</v>
      </c>
      <c r="J245" s="12">
        <f t="shared" si="58"/>
        <v>-438.8220405637958</v>
      </c>
      <c r="K245" s="12">
        <f t="shared" si="58"/>
        <v>-438.8220405637958</v>
      </c>
      <c r="L245" s="12">
        <f t="shared" si="58"/>
        <v>-438.8220405637958</v>
      </c>
      <c r="M245" s="12">
        <f t="shared" si="58"/>
        <v>-438.8220405637958</v>
      </c>
      <c r="N245" s="12">
        <f t="shared" si="58"/>
        <v>-438.8220405637958</v>
      </c>
      <c r="O245" s="12">
        <f t="shared" si="58"/>
        <v>-438.8220405637958</v>
      </c>
      <c r="P245" s="12">
        <f t="shared" si="58"/>
        <v>-438.8220405637958</v>
      </c>
      <c r="Q245" s="12">
        <f t="shared" si="58"/>
        <v>-438.8220405637958</v>
      </c>
      <c r="R245" s="12">
        <f t="shared" si="58"/>
        <v>-438.8220405637958</v>
      </c>
      <c r="S245" s="12">
        <f t="shared" si="58"/>
        <v>-438.8220405637958</v>
      </c>
      <c r="T245" s="12">
        <f t="shared" si="58"/>
        <v>-438.8220405637958</v>
      </c>
      <c r="U245" s="12">
        <f t="shared" si="58"/>
        <v>-438.8220405637958</v>
      </c>
      <c r="V245" s="12">
        <f t="shared" si="58"/>
        <v>-438.8220405637958</v>
      </c>
      <c r="W245" s="12">
        <f t="shared" si="58"/>
        <v>-438.8220405637958</v>
      </c>
      <c r="X245" s="12">
        <f t="shared" si="58"/>
        <v>-438.8220405637958</v>
      </c>
      <c r="Y245" s="12">
        <f t="shared" si="58"/>
        <v>-438.8220405637958</v>
      </c>
      <c r="Z245" s="12">
        <f t="shared" si="58"/>
        <v>-438.8220405637958</v>
      </c>
      <c r="AA245" s="12">
        <f t="shared" si="58"/>
        <v>-438.8220405637958</v>
      </c>
      <c r="AB245" s="12">
        <f t="shared" si="58"/>
        <v>-438.8220405637958</v>
      </c>
      <c r="AC245" s="12">
        <f t="shared" si="58"/>
        <v>-438.8220405637958</v>
      </c>
      <c r="AD245" s="12">
        <f t="shared" si="58"/>
        <v>-438.8220405637958</v>
      </c>
      <c r="AE245" s="12">
        <f t="shared" si="58"/>
        <v>-438.8220405637958</v>
      </c>
      <c r="AF245" s="12">
        <f t="shared" si="58"/>
        <v>-438.8220405637958</v>
      </c>
      <c r="AG245" s="12">
        <f t="shared" si="58"/>
        <v>-438.8220405637958</v>
      </c>
      <c r="AH245" s="12">
        <f t="shared" si="58"/>
        <v>-438.8220405637958</v>
      </c>
      <c r="AI245" s="12">
        <f t="shared" si="58"/>
        <v>-438.8220405637958</v>
      </c>
      <c r="AJ245" s="12">
        <f t="shared" si="58"/>
        <v>-438.8220405637958</v>
      </c>
      <c r="AK245" s="12">
        <f t="shared" si="58"/>
        <v>-438.8220405637958</v>
      </c>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row>
    <row r="246" spans="1:61" ht="11.25">
      <c r="A246" s="2" t="s">
        <v>89</v>
      </c>
      <c r="H246" s="12">
        <f aca="true" t="shared" si="59" ref="H246:AK246">H244+H245</f>
        <v>333.3664645044678</v>
      </c>
      <c r="I246" s="12">
        <f t="shared" si="59"/>
        <v>439.7071142535045</v>
      </c>
      <c r="J246" s="12">
        <f t="shared" si="59"/>
        <v>560.6894454093879</v>
      </c>
      <c r="K246" s="12">
        <f t="shared" si="59"/>
        <v>701.3812991678658</v>
      </c>
      <c r="L246" s="12">
        <f t="shared" si="59"/>
        <v>854.7479967956854</v>
      </c>
      <c r="M246" s="12">
        <f t="shared" si="59"/>
        <v>1032.746734187027</v>
      </c>
      <c r="N246" s="12">
        <f t="shared" si="59"/>
        <v>1235.1991660973329</v>
      </c>
      <c r="O246" s="12">
        <f t="shared" si="59"/>
        <v>960.8657568569349</v>
      </c>
      <c r="P246" s="12">
        <f t="shared" si="59"/>
        <v>1690.9654891766781</v>
      </c>
      <c r="Q246" s="12">
        <f t="shared" si="59"/>
        <v>1943.0650841320917</v>
      </c>
      <c r="R246" s="12">
        <f t="shared" si="59"/>
        <v>2225.0281560946432</v>
      </c>
      <c r="S246" s="12">
        <f t="shared" si="59"/>
        <v>2548.471966489344</v>
      </c>
      <c r="T246" s="12">
        <f t="shared" si="59"/>
        <v>2892.920503774499</v>
      </c>
      <c r="U246" s="12">
        <f t="shared" si="59"/>
        <v>3152.7614535537828</v>
      </c>
      <c r="V246" s="12">
        <f t="shared" si="59"/>
        <v>3435.7880350331807</v>
      </c>
      <c r="W246" s="12">
        <f t="shared" si="59"/>
        <v>3002.448796030703</v>
      </c>
      <c r="X246" s="12">
        <f t="shared" si="59"/>
        <v>4080.508971927432</v>
      </c>
      <c r="Y246" s="12">
        <f t="shared" si="59"/>
        <v>4447.345565679619</v>
      </c>
      <c r="Z246" s="12">
        <f t="shared" si="59"/>
        <v>4691.653945991791</v>
      </c>
      <c r="AA246" s="12">
        <f t="shared" si="59"/>
        <v>4962.966751225604</v>
      </c>
      <c r="AB246" s="12">
        <f t="shared" si="59"/>
        <v>5217.527734613737</v>
      </c>
      <c r="AC246" s="12">
        <f t="shared" si="59"/>
        <v>5500.345223372615</v>
      </c>
      <c r="AD246" s="12">
        <f t="shared" si="59"/>
        <v>5797.303586569436</v>
      </c>
      <c r="AE246" s="12">
        <f t="shared" si="59"/>
        <v>5014.151273172391</v>
      </c>
      <c r="AF246" s="12">
        <f t="shared" si="59"/>
        <v>6436.506463350594</v>
      </c>
      <c r="AG246" s="12">
        <f t="shared" si="59"/>
        <v>6780.272888546314</v>
      </c>
      <c r="AH246" s="12">
        <f t="shared" si="59"/>
        <v>7141.227635001819</v>
      </c>
      <c r="AI246" s="12">
        <f t="shared" si="59"/>
        <v>7542.0802160642</v>
      </c>
      <c r="AJ246" s="12">
        <f t="shared" si="59"/>
        <v>7918.182726747297</v>
      </c>
      <c r="AK246" s="12">
        <f t="shared" si="59"/>
        <v>8336.032965112849</v>
      </c>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row>
    <row r="247" spans="1:61" ht="11.25">
      <c r="A247" s="31" t="s">
        <v>102</v>
      </c>
      <c r="H247" s="12">
        <f aca="true" t="shared" si="60" ref="H247:AK247">-H178-H168</f>
        <v>-497.02630062565675</v>
      </c>
      <c r="I247" s="12">
        <f t="shared" si="60"/>
        <v>-511.19144066110505</v>
      </c>
      <c r="J247" s="12">
        <f t="shared" si="60"/>
        <v>-524.9924193625926</v>
      </c>
      <c r="K247" s="12">
        <f t="shared" si="60"/>
        <v>-538.2748835804807</v>
      </c>
      <c r="L247" s="12">
        <f t="shared" si="60"/>
        <v>-550.8577517354573</v>
      </c>
      <c r="M247" s="12">
        <f t="shared" si="60"/>
        <v>-562.5291401477355</v>
      </c>
      <c r="N247" s="12">
        <f t="shared" si="60"/>
        <v>-569.981513858396</v>
      </c>
      <c r="O247" s="12">
        <f t="shared" si="60"/>
        <v>-575.4130618229358</v>
      </c>
      <c r="P247" s="12">
        <f t="shared" si="60"/>
        <v>-578.3995956931453</v>
      </c>
      <c r="Q247" s="12">
        <f t="shared" si="60"/>
        <v>-578.4496711286366</v>
      </c>
      <c r="R247" s="12">
        <f t="shared" si="60"/>
        <v>-574.9945548316749</v>
      </c>
      <c r="S247" s="12">
        <f t="shared" si="60"/>
        <v>-567.3767190746055</v>
      </c>
      <c r="T247" s="12">
        <f t="shared" si="60"/>
        <v>-554.8366485889347</v>
      </c>
      <c r="U247" s="12">
        <f t="shared" si="60"/>
        <v>-536.4977132956014</v>
      </c>
      <c r="V247" s="12">
        <f t="shared" si="60"/>
        <v>-511.3488243881341</v>
      </c>
      <c r="W247" s="12">
        <f t="shared" si="60"/>
        <v>-478.22455006653297</v>
      </c>
      <c r="X247" s="12">
        <f t="shared" si="60"/>
        <v>-435.7823199947731</v>
      </c>
      <c r="Y247" s="12">
        <f t="shared" si="60"/>
        <v>-382.47629344214005</v>
      </c>
      <c r="Z247" s="12">
        <f t="shared" si="60"/>
        <v>-316.5274040636979</v>
      </c>
      <c r="AA247" s="12">
        <f t="shared" si="60"/>
        <v>-235.88902322706255</v>
      </c>
      <c r="AB247" s="12">
        <f t="shared" si="60"/>
        <v>-138.2076023824762</v>
      </c>
      <c r="AC247" s="12">
        <f t="shared" si="60"/>
        <v>-120.38494300577581</v>
      </c>
      <c r="AD247" s="12">
        <f t="shared" si="60"/>
        <v>-98.38073185646724</v>
      </c>
      <c r="AE247" s="12">
        <f t="shared" si="60"/>
        <v>-71.51922538659348</v>
      </c>
      <c r="AF247" s="12">
        <f t="shared" si="60"/>
        <v>-39.023386867685</v>
      </c>
      <c r="AG247" s="12">
        <f t="shared" si="60"/>
        <v>0</v>
      </c>
      <c r="AH247" s="12">
        <f t="shared" si="60"/>
        <v>0</v>
      </c>
      <c r="AI247" s="12">
        <f t="shared" si="60"/>
        <v>0</v>
      </c>
      <c r="AJ247" s="12">
        <f t="shared" si="60"/>
        <v>0</v>
      </c>
      <c r="AK247" s="12">
        <f t="shared" si="60"/>
        <v>0</v>
      </c>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row>
    <row r="248" spans="1:61" ht="11.25">
      <c r="A248" s="2" t="s">
        <v>90</v>
      </c>
      <c r="H248" s="12">
        <f aca="true" t="shared" si="61" ref="H248:AK248">H246+H247</f>
        <v>-163.65983612118896</v>
      </c>
      <c r="I248" s="12">
        <f t="shared" si="61"/>
        <v>-71.48432640760052</v>
      </c>
      <c r="J248" s="12">
        <f t="shared" si="61"/>
        <v>35.69702604679526</v>
      </c>
      <c r="K248" s="12">
        <f t="shared" si="61"/>
        <v>163.10641558738507</v>
      </c>
      <c r="L248" s="12">
        <f t="shared" si="61"/>
        <v>303.89024506022804</v>
      </c>
      <c r="M248" s="12">
        <f t="shared" si="61"/>
        <v>470.2175940392915</v>
      </c>
      <c r="N248" s="12">
        <f t="shared" si="61"/>
        <v>665.2176522389368</v>
      </c>
      <c r="O248" s="12">
        <f t="shared" si="61"/>
        <v>385.45269503399913</v>
      </c>
      <c r="P248" s="12">
        <f t="shared" si="61"/>
        <v>1112.5658934835328</v>
      </c>
      <c r="Q248" s="12">
        <f t="shared" si="61"/>
        <v>1364.6154130034552</v>
      </c>
      <c r="R248" s="12">
        <f t="shared" si="61"/>
        <v>1650.0336012629682</v>
      </c>
      <c r="S248" s="12">
        <f t="shared" si="61"/>
        <v>1981.0952474147387</v>
      </c>
      <c r="T248" s="12">
        <f t="shared" si="61"/>
        <v>2338.0838551855645</v>
      </c>
      <c r="U248" s="12">
        <f t="shared" si="61"/>
        <v>2616.2637402581813</v>
      </c>
      <c r="V248" s="12">
        <f t="shared" si="61"/>
        <v>2924.4392106450464</v>
      </c>
      <c r="W248" s="12">
        <f t="shared" si="61"/>
        <v>2524.2242459641698</v>
      </c>
      <c r="X248" s="12">
        <f t="shared" si="61"/>
        <v>3644.726651932659</v>
      </c>
      <c r="Y248" s="12">
        <f t="shared" si="61"/>
        <v>4064.8692722374785</v>
      </c>
      <c r="Z248" s="12">
        <f t="shared" si="61"/>
        <v>4375.1265419280935</v>
      </c>
      <c r="AA248" s="12">
        <f t="shared" si="61"/>
        <v>4727.077727998541</v>
      </c>
      <c r="AB248" s="12">
        <f t="shared" si="61"/>
        <v>5079.320132231261</v>
      </c>
      <c r="AC248" s="12">
        <f t="shared" si="61"/>
        <v>5379.960280366839</v>
      </c>
      <c r="AD248" s="12">
        <f t="shared" si="61"/>
        <v>5698.92285471297</v>
      </c>
      <c r="AE248" s="12">
        <f t="shared" si="61"/>
        <v>4942.632047785797</v>
      </c>
      <c r="AF248" s="12">
        <f t="shared" si="61"/>
        <v>6397.4830764829085</v>
      </c>
      <c r="AG248" s="12">
        <f t="shared" si="61"/>
        <v>6780.272888546314</v>
      </c>
      <c r="AH248" s="12">
        <f t="shared" si="61"/>
        <v>7141.227635001819</v>
      </c>
      <c r="AI248" s="12">
        <f t="shared" si="61"/>
        <v>7542.0802160642</v>
      </c>
      <c r="AJ248" s="12">
        <f t="shared" si="61"/>
        <v>7918.182726747297</v>
      </c>
      <c r="AK248" s="12">
        <f t="shared" si="61"/>
        <v>8336.032965112849</v>
      </c>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row>
    <row r="249" spans="1:61" ht="11.25">
      <c r="A249" s="2" t="s">
        <v>132</v>
      </c>
      <c r="H249" s="12">
        <f>[1]!tnct($H$248:$AK$248,H3-5,$B$109)</f>
        <v>0</v>
      </c>
      <c r="I249" s="12">
        <f>[1]!tnct($H$248:$AK$248,I3-5,$B$109)</f>
        <v>0</v>
      </c>
      <c r="J249" s="12">
        <f>[1]!tnct($H$248:$AK$248,J3-5,$B$109)</f>
        <v>0</v>
      </c>
      <c r="K249" s="12">
        <f>[1]!tnct($H$248:$AK$248,K3-5,$B$109)</f>
        <v>0</v>
      </c>
      <c r="L249" s="12">
        <f>[1]!tnct($H$248:$AK$248,L3-5,$B$109)</f>
        <v>267.5495241656189</v>
      </c>
      <c r="M249" s="12">
        <f>[1]!tnct($H$248:$AK$248,M3-5,$B$109)</f>
        <v>470.2175940392915</v>
      </c>
      <c r="N249" s="12">
        <f>[1]!tnct($H$248:$AK$248,N3-5,$B$109)</f>
        <v>665.2176522389368</v>
      </c>
      <c r="O249" s="12">
        <f>[1]!tnct($H$248:$AK$248,O3-5,$B$109)</f>
        <v>385.45269503399913</v>
      </c>
      <c r="P249" s="12">
        <f>[1]!tnct($H$248:$AK$248,P3-5,$B$109)</f>
        <v>1112.5658934835328</v>
      </c>
      <c r="Q249" s="12">
        <f>[1]!tnct($H$248:$AK$248,Q3-5,$B$109)</f>
        <v>1364.6154130034552</v>
      </c>
      <c r="R249" s="12">
        <f>[1]!tnct($H$248:$AK$248,R3-5,$B$109)</f>
        <v>1650.0336012629682</v>
      </c>
      <c r="S249" s="12">
        <f>[1]!tnct($H$248:$AK$248,S3-5,$B$109)</f>
        <v>1981.0952474147387</v>
      </c>
      <c r="T249" s="12">
        <f>[1]!tnct($H$248:$AK$248,T3-5,$B$109)</f>
        <v>2338.0838551855645</v>
      </c>
      <c r="U249" s="12">
        <f>[1]!tnct($H$248:$AK$248,U3-5,$B$109)</f>
        <v>2616.2637402581813</v>
      </c>
      <c r="V249" s="12">
        <f>[1]!tnct($H$248:$AK$248,V3-5,$B$109)</f>
        <v>2924.4392106450464</v>
      </c>
      <c r="W249" s="12">
        <f>[1]!tnct($H$248:$AK$248,W3-5,$B$109)</f>
        <v>2524.2242459641698</v>
      </c>
      <c r="X249" s="12">
        <f>[1]!tnct($H$248:$AK$248,X3-5,$B$109)</f>
        <v>3644.726651932659</v>
      </c>
      <c r="Y249" s="12">
        <f>[1]!tnct($H$248:$AK$248,Y3-5,$B$109)</f>
        <v>4064.8692722374785</v>
      </c>
      <c r="Z249" s="12">
        <f>[1]!tnct($H$248:$AK$248,Z3-5,$B$109)</f>
        <v>4375.1265419280935</v>
      </c>
      <c r="AA249" s="12">
        <f>[1]!tnct($H$248:$AK$248,AA3-5,$B$109)</f>
        <v>4727.077727998541</v>
      </c>
      <c r="AB249" s="12">
        <f>[1]!tnct($H$248:$AK$248,AB3-5,$B$109)</f>
        <v>5079.320132231261</v>
      </c>
      <c r="AC249" s="12">
        <f>[1]!tnct($H$248:$AK$248,AC3-5,$B$109)</f>
        <v>5379.960280366839</v>
      </c>
      <c r="AD249" s="12">
        <f>[1]!tnct($H$248:$AK$248,AD3-5,$B$109)</f>
        <v>5698.92285471297</v>
      </c>
      <c r="AE249" s="12">
        <f>[1]!tnct($H$248:$AK$248,AE3-5,$B$109)</f>
        <v>4942.632047785797</v>
      </c>
      <c r="AF249" s="12">
        <f>[1]!tnct($H$248:$AK$248,AF3-5,$B$109)</f>
        <v>6397.4830764829085</v>
      </c>
      <c r="AG249" s="12">
        <f>[1]!tnct($H$248:$AK$248,AG3-5,$B$109)</f>
        <v>6780.272888546314</v>
      </c>
      <c r="AH249" s="12">
        <f>[1]!tnct($H$248:$AK$248,AH3-5,$B$109)</f>
        <v>7141.227635001819</v>
      </c>
      <c r="AI249" s="12">
        <f>[1]!tnct($H$248:$AK$248,AI3-5,$B$109)</f>
        <v>7542.0802160642</v>
      </c>
      <c r="AJ249" s="12">
        <f>[1]!tnct($H$248:$AK$248,AJ3-5,$B$109)</f>
        <v>7918.182726747297</v>
      </c>
      <c r="AK249" s="12">
        <f>[1]!tnct($H$248:$AK$248,AK3-5,$B$109)</f>
        <v>8336.032965112849</v>
      </c>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row>
    <row r="250" spans="1:61" ht="11.25">
      <c r="A250" s="11" t="s">
        <v>91</v>
      </c>
      <c r="H250" s="12">
        <f>-[1]!ThueTN($H$249:$AK$249,H3-5,$B$105,$B$106,$B$107,$B$108,$B$104)</f>
        <v>0</v>
      </c>
      <c r="I250" s="12">
        <f>-[1]!ThueTN($H$249:$AK$249,I3-5,$B$105,$B$106,$B$107,$B$108,$B$104)</f>
        <v>0</v>
      </c>
      <c r="J250" s="12">
        <f>-[1]!ThueTN($H$249:$AK$249,J3-5,$B$105,$B$106,$B$107,$B$108,$B$104)</f>
        <v>0</v>
      </c>
      <c r="K250" s="12">
        <f>-[1]!ThueTN($H$249:$AK$249,K3-5,$B$105,$B$106,$B$107,$B$108,$B$104)</f>
        <v>0</v>
      </c>
      <c r="L250" s="12">
        <f>-[1]!ThueTN($H$249:$AK$249,L3-5,$B$105,$B$106,$B$107,$B$108,$B$104)</f>
        <v>0</v>
      </c>
      <c r="M250" s="12">
        <f>-[1]!ThueTN($H$249:$AK$249,M3-5,$B$105,$B$106,$B$107,$B$108,$B$104)</f>
        <v>0</v>
      </c>
      <c r="N250" s="12">
        <f>-[1]!ThueTN($H$249:$AK$249,N3-5,$B$105,$B$106,$B$107,$B$108,$B$104)</f>
        <v>-83.1522065298671</v>
      </c>
      <c r="O250" s="12">
        <f>-[1]!ThueTN($H$249:$AK$249,O3-5,$B$105,$B$106,$B$107,$B$108,$B$104)</f>
        <v>-48.18158687924989</v>
      </c>
      <c r="P250" s="12">
        <f>-[1]!ThueTN($H$249:$AK$249,P3-5,$B$105,$B$106,$B$107,$B$108,$B$104)</f>
        <v>-139.0707366854416</v>
      </c>
      <c r="Q250" s="12">
        <f>-[1]!ThueTN($H$249:$AK$249,Q3-5,$B$105,$B$106,$B$107,$B$108,$B$104)</f>
        <v>-341.1538532508638</v>
      </c>
      <c r="R250" s="12">
        <f>-[1]!ThueTN($H$249:$AK$249,R3-5,$B$105,$B$106,$B$107,$B$108,$B$104)</f>
        <v>-412.50840031574205</v>
      </c>
      <c r="S250" s="12">
        <f>-[1]!ThueTN($H$249:$AK$249,S3-5,$B$105,$B$106,$B$107,$B$108,$B$104)</f>
        <v>-495.27381185368466</v>
      </c>
      <c r="T250" s="12">
        <f>-[1]!ThueTN($H$249:$AK$249,T3-5,$B$105,$B$106,$B$107,$B$108,$B$104)</f>
        <v>-584.5209637963911</v>
      </c>
      <c r="U250" s="12">
        <f>-[1]!ThueTN($H$249:$AK$249,U3-5,$B$105,$B$106,$B$107,$B$108,$B$104)</f>
        <v>-654.0659350645453</v>
      </c>
      <c r="V250" s="12">
        <f>-[1]!ThueTN($H$249:$AK$249,V3-5,$B$105,$B$106,$B$107,$B$108,$B$104)</f>
        <v>-731.1098026612616</v>
      </c>
      <c r="W250" s="12">
        <f>-[1]!ThueTN($H$249:$AK$249,W3-5,$B$105,$B$106,$B$107,$B$108,$B$104)</f>
        <v>-631.0560614910424</v>
      </c>
      <c r="X250" s="12">
        <f>-[1]!ThueTN($H$249:$AK$249,X3-5,$B$105,$B$106,$B$107,$B$108,$B$104)</f>
        <v>-911.1816629831648</v>
      </c>
      <c r="Y250" s="12">
        <f>-[1]!ThueTN($H$249:$AK$249,Y3-5,$B$105,$B$106,$B$107,$B$108,$B$104)</f>
        <v>-1016.2173180593696</v>
      </c>
      <c r="Z250" s="12">
        <f>-[1]!ThueTN($H$249:$AK$249,Z3-5,$B$105,$B$106,$B$107,$B$108,$B$104)</f>
        <v>-1093.7816354820234</v>
      </c>
      <c r="AA250" s="12">
        <f>-[1]!ThueTN($H$249:$AK$249,AA3-5,$B$105,$B$106,$B$107,$B$108,$B$104)</f>
        <v>-1181.7694319996353</v>
      </c>
      <c r="AB250" s="12">
        <f>-[1]!ThueTN($H$249:$AK$249,AB3-5,$B$105,$B$106,$B$107,$B$108,$B$104)</f>
        <v>-1269.8300330578152</v>
      </c>
      <c r="AC250" s="12">
        <f>-[1]!ThueTN($H$249:$AK$249,AC3-5,$B$105,$B$106,$B$107,$B$108,$B$104)</f>
        <v>-1344.9900700917096</v>
      </c>
      <c r="AD250" s="12">
        <f>-[1]!ThueTN($H$249:$AK$249,AD3-5,$B$105,$B$106,$B$107,$B$108,$B$104)</f>
        <v>-1424.7307136782424</v>
      </c>
      <c r="AE250" s="12">
        <f>-[1]!ThueTN($H$249:$AK$249,AE3-5,$B$105,$B$106,$B$107,$B$108,$B$104)</f>
        <v>-1235.6580119464493</v>
      </c>
      <c r="AF250" s="12">
        <f>-[1]!ThueTN($H$249:$AK$249,AF3-5,$B$105,$B$106,$B$107,$B$108,$B$104)</f>
        <v>-1599.3707691207271</v>
      </c>
      <c r="AG250" s="12">
        <f>-[1]!ThueTN($H$249:$AK$249,AG3-5,$B$105,$B$106,$B$107,$B$108,$B$104)</f>
        <v>-1695.0682221365785</v>
      </c>
      <c r="AH250" s="12">
        <f>-[1]!ThueTN($H$249:$AK$249,AH3-5,$B$105,$B$106,$B$107,$B$108,$B$104)</f>
        <v>-1785.3069087504548</v>
      </c>
      <c r="AI250" s="12">
        <f>-[1]!ThueTN($H$249:$AK$249,AI3-5,$B$105,$B$106,$B$107,$B$108,$B$104)</f>
        <v>-1885.52005401605</v>
      </c>
      <c r="AJ250" s="12">
        <f>-[1]!ThueTN($H$249:$AK$249,AJ3-5,$B$105,$B$106,$B$107,$B$108,$B$104)</f>
        <v>-1979.5456816868243</v>
      </c>
      <c r="AK250" s="12">
        <f>-[1]!ThueTN($H$249:$AK$249,AK3-5,$B$105,$B$106,$B$107,$B$108,$B$104)</f>
        <v>-2084.008241278212</v>
      </c>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row>
    <row r="251" spans="1:61" ht="11.25">
      <c r="A251" s="2" t="s">
        <v>92</v>
      </c>
      <c r="H251" s="12">
        <f aca="true" t="shared" si="62" ref="H251:AK251">H248+H250</f>
        <v>-163.65983612118896</v>
      </c>
      <c r="I251" s="12">
        <f t="shared" si="62"/>
        <v>-71.48432640760052</v>
      </c>
      <c r="J251" s="12">
        <f t="shared" si="62"/>
        <v>35.69702604679526</v>
      </c>
      <c r="K251" s="12">
        <f t="shared" si="62"/>
        <v>163.10641558738507</v>
      </c>
      <c r="L251" s="12">
        <f t="shared" si="62"/>
        <v>303.89024506022804</v>
      </c>
      <c r="M251" s="12">
        <f t="shared" si="62"/>
        <v>470.2175940392915</v>
      </c>
      <c r="N251" s="12">
        <f t="shared" si="62"/>
        <v>582.0654457090698</v>
      </c>
      <c r="O251" s="12">
        <f t="shared" si="62"/>
        <v>337.27110815474924</v>
      </c>
      <c r="P251" s="12">
        <f t="shared" si="62"/>
        <v>973.4951567980912</v>
      </c>
      <c r="Q251" s="12">
        <f t="shared" si="62"/>
        <v>1023.4615597525914</v>
      </c>
      <c r="R251" s="12">
        <f t="shared" si="62"/>
        <v>1237.525200947226</v>
      </c>
      <c r="S251" s="12">
        <f t="shared" si="62"/>
        <v>1485.821435561054</v>
      </c>
      <c r="T251" s="12">
        <f t="shared" si="62"/>
        <v>1753.5628913891733</v>
      </c>
      <c r="U251" s="12">
        <f t="shared" si="62"/>
        <v>1962.197805193636</v>
      </c>
      <c r="V251" s="12">
        <f t="shared" si="62"/>
        <v>2193.3294079837847</v>
      </c>
      <c r="W251" s="12">
        <f t="shared" si="62"/>
        <v>1893.1681844731274</v>
      </c>
      <c r="X251" s="12">
        <f t="shared" si="62"/>
        <v>2733.5449889494944</v>
      </c>
      <c r="Y251" s="12">
        <f t="shared" si="62"/>
        <v>3048.651954178109</v>
      </c>
      <c r="Z251" s="12">
        <f t="shared" si="62"/>
        <v>3281.34490644607</v>
      </c>
      <c r="AA251" s="12">
        <f t="shared" si="62"/>
        <v>3545.308295998906</v>
      </c>
      <c r="AB251" s="12">
        <f t="shared" si="62"/>
        <v>3809.4900991734457</v>
      </c>
      <c r="AC251" s="12">
        <f t="shared" si="62"/>
        <v>4034.970210275129</v>
      </c>
      <c r="AD251" s="12">
        <f t="shared" si="62"/>
        <v>4274.192141034728</v>
      </c>
      <c r="AE251" s="12">
        <f t="shared" si="62"/>
        <v>3706.974035839348</v>
      </c>
      <c r="AF251" s="12">
        <f t="shared" si="62"/>
        <v>4798.112307362181</v>
      </c>
      <c r="AG251" s="12">
        <f t="shared" si="62"/>
        <v>5085.204666409735</v>
      </c>
      <c r="AH251" s="12">
        <f t="shared" si="62"/>
        <v>5355.920726251365</v>
      </c>
      <c r="AI251" s="12">
        <f t="shared" si="62"/>
        <v>5656.56016204815</v>
      </c>
      <c r="AJ251" s="12">
        <f t="shared" si="62"/>
        <v>5938.637045060473</v>
      </c>
      <c r="AK251" s="12">
        <f t="shared" si="62"/>
        <v>6252.0247238346365</v>
      </c>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row>
    <row r="252" spans="8:61" ht="11.25">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row>
    <row r="253" spans="1:61" ht="11.25">
      <c r="A253" s="1" t="s">
        <v>94</v>
      </c>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row>
    <row r="254" spans="1:61" ht="11.25">
      <c r="A254" s="2" t="s">
        <v>87</v>
      </c>
      <c r="H254" s="12">
        <f aca="true" t="shared" si="63" ref="H254:AK254">H233</f>
        <v>793.7770861549909</v>
      </c>
      <c r="I254" s="12">
        <f t="shared" si="63"/>
        <v>902.7070242367238</v>
      </c>
      <c r="J254" s="12">
        <f t="shared" si="63"/>
        <v>1026.6161556411637</v>
      </c>
      <c r="K254" s="12">
        <f t="shared" si="63"/>
        <v>1170.68619986408</v>
      </c>
      <c r="L254" s="12">
        <f t="shared" si="63"/>
        <v>1327.7268401854667</v>
      </c>
      <c r="M254" s="12">
        <f t="shared" si="63"/>
        <v>1509.9614808319427</v>
      </c>
      <c r="N254" s="12">
        <f t="shared" si="63"/>
        <v>1717.209555506763</v>
      </c>
      <c r="O254" s="12">
        <f t="shared" si="63"/>
        <v>1958.272955946569</v>
      </c>
      <c r="P254" s="12">
        <f t="shared" si="63"/>
        <v>2183.730069932704</v>
      </c>
      <c r="Q254" s="12">
        <f t="shared" si="63"/>
        <v>2441.7582083242473</v>
      </c>
      <c r="R254" s="12">
        <f t="shared" si="63"/>
        <v>2730.328145563324</v>
      </c>
      <c r="S254" s="12">
        <f t="shared" si="63"/>
        <v>3061.3174957434335</v>
      </c>
      <c r="T254" s="12">
        <f t="shared" si="63"/>
        <v>3413.7931711328556</v>
      </c>
      <c r="U254" s="12">
        <f t="shared" si="63"/>
        <v>3679.4664742641653</v>
      </c>
      <c r="V254" s="12">
        <f t="shared" si="63"/>
        <v>3968.8058788911385</v>
      </c>
      <c r="W254" s="12">
        <f t="shared" si="63"/>
        <v>4295.834834222852</v>
      </c>
      <c r="X254" s="12">
        <f t="shared" si="63"/>
        <v>4627.774741602367</v>
      </c>
      <c r="Y254" s="12">
        <f t="shared" si="63"/>
        <v>5002.647316147945</v>
      </c>
      <c r="Z254" s="12">
        <f t="shared" si="63"/>
        <v>5252.779681955344</v>
      </c>
      <c r="AA254" s="12">
        <f t="shared" si="63"/>
        <v>5530.529402124489</v>
      </c>
      <c r="AB254" s="12">
        <f t="shared" si="63"/>
        <v>5791.1895993557655</v>
      </c>
      <c r="AC254" s="12">
        <f t="shared" si="63"/>
        <v>6080.749079323554</v>
      </c>
      <c r="AD254" s="12">
        <f t="shared" si="63"/>
        <v>6384.786533289734</v>
      </c>
      <c r="AE254" s="12">
        <f t="shared" si="63"/>
        <v>6722.3930540910815</v>
      </c>
      <c r="AF254" s="12">
        <f t="shared" si="63"/>
        <v>7039.227152951932</v>
      </c>
      <c r="AG254" s="12">
        <f t="shared" si="63"/>
        <v>7391.18851059953</v>
      </c>
      <c r="AH254" s="12">
        <f t="shared" si="63"/>
        <v>7760.747936129505</v>
      </c>
      <c r="AI254" s="12">
        <f t="shared" si="63"/>
        <v>8171.110772204299</v>
      </c>
      <c r="AJ254" s="12">
        <f t="shared" si="63"/>
        <v>8556.224599582783</v>
      </c>
      <c r="AK254" s="12">
        <f t="shared" si="63"/>
        <v>8984.03582956192</v>
      </c>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row>
    <row r="255" spans="1:61" ht="11.25">
      <c r="A255" s="15" t="s">
        <v>131</v>
      </c>
      <c r="H255" s="12">
        <f>H235</f>
        <v>17.24050575094833</v>
      </c>
      <c r="I255" s="12">
        <f aca="true" t="shared" si="64" ref="I255:AK255">I235</f>
        <v>19.612390316855592</v>
      </c>
      <c r="J255" s="12">
        <f t="shared" si="64"/>
        <v>22.310916610283716</v>
      </c>
      <c r="K255" s="12">
        <f t="shared" si="64"/>
        <v>25.44941942183741</v>
      </c>
      <c r="L255" s="12">
        <f t="shared" si="64"/>
        <v>28.871690079875442</v>
      </c>
      <c r="M255" s="12">
        <f t="shared" si="64"/>
        <v>32.84333769770423</v>
      </c>
      <c r="N255" s="12">
        <f t="shared" si="64"/>
        <v>37.361512043047874</v>
      </c>
      <c r="O255" s="12">
        <f t="shared" si="64"/>
        <v>42.61875965680839</v>
      </c>
      <c r="P255" s="12">
        <f t="shared" si="64"/>
        <v>47.51845261737828</v>
      </c>
      <c r="Q255" s="12">
        <f t="shared" si="64"/>
        <v>53.12579167476589</v>
      </c>
      <c r="R255" s="12">
        <f t="shared" si="64"/>
        <v>59.39539235361146</v>
      </c>
      <c r="S255" s="12">
        <f t="shared" si="64"/>
        <v>66.58680431145584</v>
      </c>
      <c r="T255" s="12">
        <f t="shared" si="64"/>
        <v>74.24210819678136</v>
      </c>
      <c r="U255" s="12">
        <f t="shared" si="64"/>
        <v>79.68403561891817</v>
      </c>
      <c r="V255" s="12">
        <f t="shared" si="64"/>
        <v>85.58691154010992</v>
      </c>
      <c r="W255" s="12">
        <f t="shared" si="64"/>
        <v>92.24663280706594</v>
      </c>
      <c r="X255" s="12">
        <f t="shared" si="64"/>
        <v>98.95242595229726</v>
      </c>
      <c r="Y255" s="12">
        <f t="shared" si="64"/>
        <v>106.51384158774658</v>
      </c>
      <c r="Z255" s="12">
        <f t="shared" si="64"/>
        <v>111.8395336671339</v>
      </c>
      <c r="AA255" s="12">
        <f t="shared" si="64"/>
        <v>117.75324051583445</v>
      </c>
      <c r="AB255" s="12">
        <f t="shared" si="64"/>
        <v>123.30308586801515</v>
      </c>
      <c r="AC255" s="12">
        <f t="shared" si="64"/>
        <v>129.4682401614159</v>
      </c>
      <c r="AD255" s="12">
        <f t="shared" si="64"/>
        <v>135.9416521694867</v>
      </c>
      <c r="AE255" s="12">
        <f t="shared" si="64"/>
        <v>143.12979980475</v>
      </c>
      <c r="AF255" s="12">
        <f t="shared" si="64"/>
        <v>149.87567151685914</v>
      </c>
      <c r="AG255" s="12">
        <f t="shared" si="64"/>
        <v>157.3694550927021</v>
      </c>
      <c r="AH255" s="12">
        <f t="shared" si="64"/>
        <v>165.23792784733723</v>
      </c>
      <c r="AI255" s="12">
        <f t="shared" si="64"/>
        <v>173.97516622392246</v>
      </c>
      <c r="AJ255" s="12">
        <f t="shared" si="64"/>
        <v>182.1748154516893</v>
      </c>
      <c r="AK255" s="12">
        <f t="shared" si="64"/>
        <v>191.28355622427378</v>
      </c>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row>
    <row r="256" spans="1:61" ht="11.25">
      <c r="A256" s="15" t="s">
        <v>125</v>
      </c>
      <c r="H256" s="12">
        <f aca="true" t="shared" si="65" ref="H256:AK257">H236</f>
        <v>4.348075335778946</v>
      </c>
      <c r="I256" s="12">
        <f t="shared" si="65"/>
        <v>4.565479102567894</v>
      </c>
      <c r="J256" s="12">
        <f t="shared" si="65"/>
        <v>4.793753057696288</v>
      </c>
      <c r="K256" s="12">
        <f t="shared" si="65"/>
        <v>5.033440710581103</v>
      </c>
      <c r="L256" s="12">
        <f t="shared" si="65"/>
        <v>5.2851127461101575</v>
      </c>
      <c r="M256" s="12">
        <f t="shared" si="65"/>
        <v>5.549368383415665</v>
      </c>
      <c r="N256" s="12">
        <f t="shared" si="65"/>
        <v>5.826836802586449</v>
      </c>
      <c r="O256" s="12">
        <f t="shared" si="65"/>
        <v>6.118178642715772</v>
      </c>
      <c r="P256" s="12">
        <f t="shared" si="65"/>
        <v>6.424087574851561</v>
      </c>
      <c r="Q256" s="12">
        <f t="shared" si="65"/>
        <v>6.74529195359414</v>
      </c>
      <c r="R256" s="12">
        <f t="shared" si="65"/>
        <v>7.082556551273847</v>
      </c>
      <c r="S256" s="12">
        <f t="shared" si="65"/>
        <v>7.43668437883754</v>
      </c>
      <c r="T256" s="12">
        <f t="shared" si="65"/>
        <v>7.8085185977794165</v>
      </c>
      <c r="U256" s="12">
        <f t="shared" si="65"/>
        <v>8.198944527668388</v>
      </c>
      <c r="V256" s="12">
        <f t="shared" si="65"/>
        <v>8.608891754051808</v>
      </c>
      <c r="W256" s="12">
        <f t="shared" si="65"/>
        <v>9.039336341754398</v>
      </c>
      <c r="X256" s="12">
        <f t="shared" si="65"/>
        <v>9.491303158842117</v>
      </c>
      <c r="Y256" s="12">
        <f t="shared" si="65"/>
        <v>9.965868316784224</v>
      </c>
      <c r="Z256" s="12">
        <f t="shared" si="65"/>
        <v>10.464161732623436</v>
      </c>
      <c r="AA256" s="12">
        <f t="shared" si="65"/>
        <v>10.987369819254608</v>
      </c>
      <c r="AB256" s="12">
        <f t="shared" si="65"/>
        <v>11.53673831021734</v>
      </c>
      <c r="AC256" s="12">
        <f t="shared" si="65"/>
        <v>12.113575225728205</v>
      </c>
      <c r="AD256" s="12">
        <f t="shared" si="65"/>
        <v>12.719253987014618</v>
      </c>
      <c r="AE256" s="12">
        <f t="shared" si="65"/>
        <v>13.355216686365349</v>
      </c>
      <c r="AF256" s="12">
        <f t="shared" si="65"/>
        <v>14.022977520683618</v>
      </c>
      <c r="AG256" s="12">
        <f t="shared" si="65"/>
        <v>14.7241263967178</v>
      </c>
      <c r="AH256" s="12">
        <f t="shared" si="65"/>
        <v>15.46033271655369</v>
      </c>
      <c r="AI256" s="12">
        <f t="shared" si="65"/>
        <v>16.233349352381378</v>
      </c>
      <c r="AJ256" s="12">
        <f t="shared" si="65"/>
        <v>17.045016820000445</v>
      </c>
      <c r="AK256" s="12">
        <f t="shared" si="65"/>
        <v>17.89726766100047</v>
      </c>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row>
    <row r="257" spans="1:61" ht="11.25">
      <c r="A257" s="15" t="s">
        <v>82</v>
      </c>
      <c r="H257" s="12">
        <f t="shared" si="65"/>
        <v>0</v>
      </c>
      <c r="I257" s="12">
        <f t="shared" si="65"/>
        <v>0</v>
      </c>
      <c r="J257" s="12">
        <f t="shared" si="65"/>
        <v>0</v>
      </c>
      <c r="K257" s="12">
        <f t="shared" si="65"/>
        <v>0</v>
      </c>
      <c r="L257" s="12">
        <f t="shared" si="65"/>
        <v>0</v>
      </c>
      <c r="M257" s="12">
        <f t="shared" si="65"/>
        <v>0</v>
      </c>
      <c r="N257" s="12">
        <f t="shared" si="65"/>
        <v>0</v>
      </c>
      <c r="O257" s="12">
        <f t="shared" si="65"/>
        <v>509.84822022631425</v>
      </c>
      <c r="P257" s="12">
        <f t="shared" si="65"/>
        <v>0</v>
      </c>
      <c r="Q257" s="12">
        <f t="shared" si="65"/>
        <v>0</v>
      </c>
      <c r="R257" s="12">
        <f t="shared" si="65"/>
        <v>0</v>
      </c>
      <c r="S257" s="12">
        <f t="shared" si="65"/>
        <v>0</v>
      </c>
      <c r="T257" s="12">
        <f t="shared" si="65"/>
        <v>0</v>
      </c>
      <c r="U257" s="12">
        <f t="shared" si="65"/>
        <v>0</v>
      </c>
      <c r="V257" s="12">
        <f t="shared" si="65"/>
        <v>0</v>
      </c>
      <c r="W257" s="12">
        <f t="shared" si="65"/>
        <v>753.2780284795331</v>
      </c>
      <c r="X257" s="12">
        <f t="shared" si="65"/>
        <v>0</v>
      </c>
      <c r="Y257" s="12">
        <f t="shared" si="65"/>
        <v>0</v>
      </c>
      <c r="Z257" s="12">
        <f t="shared" si="65"/>
        <v>0</v>
      </c>
      <c r="AA257" s="12">
        <f t="shared" si="65"/>
        <v>0</v>
      </c>
      <c r="AB257" s="12">
        <f t="shared" si="65"/>
        <v>0</v>
      </c>
      <c r="AC257" s="12">
        <f t="shared" si="65"/>
        <v>0</v>
      </c>
      <c r="AD257" s="12">
        <f t="shared" si="65"/>
        <v>0</v>
      </c>
      <c r="AE257" s="12">
        <f t="shared" si="65"/>
        <v>1112.934723863779</v>
      </c>
      <c r="AF257" s="12">
        <f t="shared" si="65"/>
        <v>0</v>
      </c>
      <c r="AG257" s="12">
        <f t="shared" si="65"/>
        <v>0</v>
      </c>
      <c r="AH257" s="12">
        <f t="shared" si="65"/>
        <v>0</v>
      </c>
      <c r="AI257" s="12">
        <f t="shared" si="65"/>
        <v>0</v>
      </c>
      <c r="AJ257" s="12">
        <f t="shared" si="65"/>
        <v>0</v>
      </c>
      <c r="AK257" s="12">
        <f t="shared" si="65"/>
        <v>0</v>
      </c>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row>
    <row r="258" spans="1:61" ht="11.25">
      <c r="A258" s="2" t="s">
        <v>93</v>
      </c>
      <c r="H258" s="12">
        <f>-H250</f>
        <v>0</v>
      </c>
      <c r="I258" s="12">
        <f aca="true" t="shared" si="66" ref="I258:AK258">-I250</f>
        <v>0</v>
      </c>
      <c r="J258" s="12">
        <f t="shared" si="66"/>
        <v>0</v>
      </c>
      <c r="K258" s="12">
        <f t="shared" si="66"/>
        <v>0</v>
      </c>
      <c r="L258" s="12">
        <f t="shared" si="66"/>
        <v>0</v>
      </c>
      <c r="M258" s="12">
        <f t="shared" si="66"/>
        <v>0</v>
      </c>
      <c r="N258" s="12">
        <f t="shared" si="66"/>
        <v>83.1522065298671</v>
      </c>
      <c r="O258" s="12">
        <f t="shared" si="66"/>
        <v>48.18158687924989</v>
      </c>
      <c r="P258" s="12">
        <f t="shared" si="66"/>
        <v>139.0707366854416</v>
      </c>
      <c r="Q258" s="12">
        <f t="shared" si="66"/>
        <v>341.1538532508638</v>
      </c>
      <c r="R258" s="12">
        <f t="shared" si="66"/>
        <v>412.50840031574205</v>
      </c>
      <c r="S258" s="12">
        <f t="shared" si="66"/>
        <v>495.27381185368466</v>
      </c>
      <c r="T258" s="12">
        <f t="shared" si="66"/>
        <v>584.5209637963911</v>
      </c>
      <c r="U258" s="12">
        <f t="shared" si="66"/>
        <v>654.0659350645453</v>
      </c>
      <c r="V258" s="12">
        <f t="shared" si="66"/>
        <v>731.1098026612616</v>
      </c>
      <c r="W258" s="12">
        <f t="shared" si="66"/>
        <v>631.0560614910424</v>
      </c>
      <c r="X258" s="12">
        <f t="shared" si="66"/>
        <v>911.1816629831648</v>
      </c>
      <c r="Y258" s="12">
        <f t="shared" si="66"/>
        <v>1016.2173180593696</v>
      </c>
      <c r="Z258" s="12">
        <f t="shared" si="66"/>
        <v>1093.7816354820234</v>
      </c>
      <c r="AA258" s="12">
        <f t="shared" si="66"/>
        <v>1181.7694319996353</v>
      </c>
      <c r="AB258" s="12">
        <f t="shared" si="66"/>
        <v>1269.8300330578152</v>
      </c>
      <c r="AC258" s="12">
        <f t="shared" si="66"/>
        <v>1344.9900700917096</v>
      </c>
      <c r="AD258" s="12">
        <f t="shared" si="66"/>
        <v>1424.7307136782424</v>
      </c>
      <c r="AE258" s="12">
        <f t="shared" si="66"/>
        <v>1235.6580119464493</v>
      </c>
      <c r="AF258" s="12">
        <f t="shared" si="66"/>
        <v>1599.3707691207271</v>
      </c>
      <c r="AG258" s="12">
        <f t="shared" si="66"/>
        <v>1695.0682221365785</v>
      </c>
      <c r="AH258" s="12">
        <f t="shared" si="66"/>
        <v>1785.3069087504548</v>
      </c>
      <c r="AI258" s="12">
        <f t="shared" si="66"/>
        <v>1885.52005401605</v>
      </c>
      <c r="AJ258" s="12">
        <f t="shared" si="66"/>
        <v>1979.5456816868243</v>
      </c>
      <c r="AK258" s="12">
        <f t="shared" si="66"/>
        <v>2084.008241278212</v>
      </c>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row>
    <row r="259" spans="1:61" ht="11.25">
      <c r="A259" s="2" t="s">
        <v>95</v>
      </c>
      <c r="C259" s="12">
        <f>C158</f>
        <v>1235.78543</v>
      </c>
      <c r="D259" s="12">
        <f>D158</f>
        <v>2823.037654512</v>
      </c>
      <c r="E259" s="12">
        <f>E158</f>
        <v>3531.1302560131203</v>
      </c>
      <c r="F259" s="12">
        <f>F158</f>
        <v>3582.6347621584805</v>
      </c>
      <c r="G259" s="12">
        <f>G158</f>
        <v>3730.5497488680617</v>
      </c>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row>
    <row r="260" spans="3:61" ht="11.25">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row>
    <row r="261" spans="1:61" ht="11.25">
      <c r="A261" s="2" t="s">
        <v>97</v>
      </c>
      <c r="B261" s="2"/>
      <c r="C261" s="12">
        <f aca="true" t="shared" si="67" ref="C261:AK261">C169+C179</f>
        <v>1226.8740000000003</v>
      </c>
      <c r="D261" s="12">
        <f t="shared" si="67"/>
        <v>2823.0622000000003</v>
      </c>
      <c r="E261" s="12">
        <f t="shared" si="67"/>
        <v>3531.151285714286</v>
      </c>
      <c r="F261" s="12">
        <f t="shared" si="67"/>
        <v>3582.6441050170074</v>
      </c>
      <c r="G261" s="12">
        <f t="shared" si="67"/>
        <v>3730.5482148340498</v>
      </c>
      <c r="H261" s="12">
        <f t="shared" si="67"/>
        <v>-641.1207407861136</v>
      </c>
      <c r="I261" s="12">
        <f t="shared" si="67"/>
        <v>-676.2996533449618</v>
      </c>
      <c r="J261" s="12">
        <f t="shared" si="67"/>
        <v>-714.1789130628451</v>
      </c>
      <c r="K261" s="12">
        <f t="shared" si="67"/>
        <v>-755.0510742786869</v>
      </c>
      <c r="L261" s="12">
        <f t="shared" si="67"/>
        <v>-799.2471369104853</v>
      </c>
      <c r="M261" s="12">
        <f t="shared" si="67"/>
        <v>-1056.9824875159873</v>
      </c>
      <c r="N261" s="12">
        <f t="shared" si="67"/>
        <v>-1136.5426410511845</v>
      </c>
      <c r="O261" s="12">
        <f t="shared" si="67"/>
        <v>-1224.5976867313395</v>
      </c>
      <c r="P261" s="12">
        <f t="shared" si="67"/>
        <v>-1322.2569784006914</v>
      </c>
      <c r="Q261" s="12">
        <f t="shared" si="67"/>
        <v>-1430.786255481033</v>
      </c>
      <c r="R261" s="12">
        <f t="shared" si="67"/>
        <v>-1551.6302244021294</v>
      </c>
      <c r="S261" s="12">
        <f t="shared" si="67"/>
        <v>-1686.4384237907511</v>
      </c>
      <c r="T261" s="12">
        <f t="shared" si="67"/>
        <v>-1837.0948519095184</v>
      </c>
      <c r="U261" s="12">
        <f t="shared" si="67"/>
        <v>-2005.7519046004375</v>
      </c>
      <c r="V261" s="12">
        <f t="shared" si="67"/>
        <v>-2194.8692519249253</v>
      </c>
      <c r="W261" s="12">
        <f t="shared" si="67"/>
        <v>-2407.258373285773</v>
      </c>
      <c r="X261" s="12">
        <f t="shared" si="67"/>
        <v>-2646.1335757668194</v>
      </c>
      <c r="Y261" s="12">
        <f t="shared" si="67"/>
        <v>-2915.170440680943</v>
      </c>
      <c r="Z261" s="12">
        <f t="shared" si="67"/>
        <v>-3218.57278110816</v>
      </c>
      <c r="AA261" s="12">
        <f t="shared" si="67"/>
        <v>-3561.1493510905093</v>
      </c>
      <c r="AB261" s="12">
        <f t="shared" si="67"/>
        <v>-1755.2116807347215</v>
      </c>
      <c r="AC261" s="12">
        <f t="shared" si="67"/>
        <v>-1973.2021161177233</v>
      </c>
      <c r="AD261" s="12">
        <f t="shared" si="67"/>
        <v>-2221.4004093805743</v>
      </c>
      <c r="AE261" s="12">
        <f t="shared" si="67"/>
        <v>-2504.1459392162997</v>
      </c>
      <c r="AF261" s="12">
        <f t="shared" si="67"/>
        <v>-2826.40816313089</v>
      </c>
      <c r="AG261" s="12">
        <f t="shared" si="67"/>
        <v>0</v>
      </c>
      <c r="AH261" s="12">
        <f t="shared" si="67"/>
        <v>0</v>
      </c>
      <c r="AI261" s="12">
        <f t="shared" si="67"/>
        <v>0</v>
      </c>
      <c r="AJ261" s="12">
        <f t="shared" si="67"/>
        <v>0</v>
      </c>
      <c r="AK261" s="12">
        <f t="shared" si="67"/>
        <v>0</v>
      </c>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row>
    <row r="262" spans="2:61" ht="11.25">
      <c r="B262" s="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row>
    <row r="263" ht="11.25">
      <c r="A263" s="1" t="s">
        <v>111</v>
      </c>
    </row>
    <row r="264" spans="1:61" ht="11.25">
      <c r="A264" s="11" t="s">
        <v>96</v>
      </c>
      <c r="B264" s="2"/>
      <c r="C264" s="12">
        <f aca="true" t="shared" si="68" ref="C264:AK264">C254-SUM(C255:C259)</f>
        <v>-1235.78543</v>
      </c>
      <c r="D264" s="12">
        <f t="shared" si="68"/>
        <v>-2823.037654512</v>
      </c>
      <c r="E264" s="12">
        <f t="shared" si="68"/>
        <v>-3531.1302560131203</v>
      </c>
      <c r="F264" s="12">
        <f t="shared" si="68"/>
        <v>-3582.6347621584805</v>
      </c>
      <c r="G264" s="12">
        <f t="shared" si="68"/>
        <v>-3730.5497488680617</v>
      </c>
      <c r="H264" s="12">
        <f t="shared" si="68"/>
        <v>772.1885050682637</v>
      </c>
      <c r="I264" s="12">
        <f t="shared" si="68"/>
        <v>878.5291548173003</v>
      </c>
      <c r="J264" s="12">
        <f t="shared" si="68"/>
        <v>999.5114859731837</v>
      </c>
      <c r="K264" s="12">
        <f t="shared" si="68"/>
        <v>1140.2033397316616</v>
      </c>
      <c r="L264" s="12">
        <f t="shared" si="68"/>
        <v>1293.5700373594811</v>
      </c>
      <c r="M264" s="12">
        <f t="shared" si="68"/>
        <v>1471.5687747508227</v>
      </c>
      <c r="N264" s="12">
        <f t="shared" si="68"/>
        <v>1590.8690001312616</v>
      </c>
      <c r="O264" s="12">
        <f t="shared" si="68"/>
        <v>1351.5062105414806</v>
      </c>
      <c r="P264" s="12">
        <f t="shared" si="68"/>
        <v>1990.7167930550324</v>
      </c>
      <c r="Q264" s="12">
        <f t="shared" si="68"/>
        <v>2040.7332714450235</v>
      </c>
      <c r="R264" s="12">
        <f t="shared" si="68"/>
        <v>2251.341796342697</v>
      </c>
      <c r="S264" s="12">
        <f t="shared" si="68"/>
        <v>2492.0201951994554</v>
      </c>
      <c r="T264" s="12">
        <f t="shared" si="68"/>
        <v>2747.2215805419037</v>
      </c>
      <c r="U264" s="12">
        <f t="shared" si="68"/>
        <v>2937.5175590530334</v>
      </c>
      <c r="V264" s="12">
        <f t="shared" si="68"/>
        <v>3143.500272935715</v>
      </c>
      <c r="W264" s="12">
        <f t="shared" si="68"/>
        <v>2810.2147751034563</v>
      </c>
      <c r="X264" s="12">
        <f t="shared" si="68"/>
        <v>3608.1493495080626</v>
      </c>
      <c r="Y264" s="12">
        <f t="shared" si="68"/>
        <v>3869.950288184045</v>
      </c>
      <c r="Z264" s="12">
        <f t="shared" si="68"/>
        <v>4036.6943510735637</v>
      </c>
      <c r="AA264" s="12">
        <f t="shared" si="68"/>
        <v>4220.019359789765</v>
      </c>
      <c r="AB264" s="12">
        <f t="shared" si="68"/>
        <v>4386.519742119718</v>
      </c>
      <c r="AC264" s="12">
        <f t="shared" si="68"/>
        <v>4594.1771938447</v>
      </c>
      <c r="AD264" s="12">
        <f t="shared" si="68"/>
        <v>4811.394913454989</v>
      </c>
      <c r="AE264" s="12">
        <f t="shared" si="68"/>
        <v>4217.3153017897375</v>
      </c>
      <c r="AF264" s="12">
        <f t="shared" si="68"/>
        <v>5275.957734793662</v>
      </c>
      <c r="AG264" s="12">
        <f t="shared" si="68"/>
        <v>5524.026706973531</v>
      </c>
      <c r="AH264" s="12">
        <f t="shared" si="68"/>
        <v>5794.7427668151595</v>
      </c>
      <c r="AI264" s="12">
        <f t="shared" si="68"/>
        <v>6095.382202611945</v>
      </c>
      <c r="AJ264" s="12">
        <f t="shared" si="68"/>
        <v>6377.459085624269</v>
      </c>
      <c r="AK264" s="12">
        <f t="shared" si="68"/>
        <v>6690.846764398435</v>
      </c>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row>
    <row r="265" spans="1:61" ht="11.25">
      <c r="A265" s="11" t="s">
        <v>108</v>
      </c>
      <c r="B265" s="2"/>
      <c r="C265" s="12">
        <f aca="true" t="shared" si="69" ref="C265:AK265">C264+C261</f>
        <v>-8.911429999999655</v>
      </c>
      <c r="D265" s="12">
        <f t="shared" si="69"/>
        <v>0.024545488000512705</v>
      </c>
      <c r="E265" s="12">
        <f t="shared" si="69"/>
        <v>0.021029701165844017</v>
      </c>
      <c r="F265" s="12">
        <f t="shared" si="69"/>
        <v>0.009342858526906639</v>
      </c>
      <c r="G265" s="12">
        <f t="shared" si="69"/>
        <v>-0.0015340340119109896</v>
      </c>
      <c r="H265" s="12">
        <f t="shared" si="69"/>
        <v>131.06776428215005</v>
      </c>
      <c r="I265" s="12">
        <f t="shared" si="69"/>
        <v>202.22950147233848</v>
      </c>
      <c r="J265" s="12">
        <f t="shared" si="69"/>
        <v>285.3325729103385</v>
      </c>
      <c r="K265" s="12">
        <f t="shared" si="69"/>
        <v>385.1522654529747</v>
      </c>
      <c r="L265" s="12">
        <f t="shared" si="69"/>
        <v>494.3229004489958</v>
      </c>
      <c r="M265" s="12">
        <f t="shared" si="69"/>
        <v>414.5862872348355</v>
      </c>
      <c r="N265" s="12">
        <f t="shared" si="69"/>
        <v>454.32635908007705</v>
      </c>
      <c r="O265" s="12">
        <f t="shared" si="69"/>
        <v>126.9085238101411</v>
      </c>
      <c r="P265" s="12">
        <f t="shared" si="69"/>
        <v>668.459814654341</v>
      </c>
      <c r="Q265" s="12">
        <f t="shared" si="69"/>
        <v>609.9470159639905</v>
      </c>
      <c r="R265" s="12">
        <f t="shared" si="69"/>
        <v>699.7115719405674</v>
      </c>
      <c r="S265" s="12">
        <f t="shared" si="69"/>
        <v>805.5817714087043</v>
      </c>
      <c r="T265" s="12">
        <f t="shared" si="69"/>
        <v>910.1267286323853</v>
      </c>
      <c r="U265" s="12">
        <f t="shared" si="69"/>
        <v>931.765654452596</v>
      </c>
      <c r="V265" s="12">
        <f t="shared" si="69"/>
        <v>948.6310210107899</v>
      </c>
      <c r="W265" s="12">
        <f t="shared" si="69"/>
        <v>402.9564018176834</v>
      </c>
      <c r="X265" s="12">
        <f t="shared" si="69"/>
        <v>962.0157737412433</v>
      </c>
      <c r="Y265" s="12">
        <f t="shared" si="69"/>
        <v>954.7798475031018</v>
      </c>
      <c r="Z265" s="12">
        <f t="shared" si="69"/>
        <v>818.1215699654035</v>
      </c>
      <c r="AA265" s="12">
        <f t="shared" si="69"/>
        <v>658.8700086992558</v>
      </c>
      <c r="AB265" s="12">
        <f t="shared" si="69"/>
        <v>2631.3080613849966</v>
      </c>
      <c r="AC265" s="12">
        <f t="shared" si="69"/>
        <v>2620.9750777269765</v>
      </c>
      <c r="AD265" s="12">
        <f t="shared" si="69"/>
        <v>2589.994504074415</v>
      </c>
      <c r="AE265" s="12">
        <f t="shared" si="69"/>
        <v>1713.1693625734379</v>
      </c>
      <c r="AF265" s="12">
        <f t="shared" si="69"/>
        <v>2449.549571662772</v>
      </c>
      <c r="AG265" s="12">
        <f t="shared" si="69"/>
        <v>5524.026706973531</v>
      </c>
      <c r="AH265" s="12">
        <f t="shared" si="69"/>
        <v>5794.7427668151595</v>
      </c>
      <c r="AI265" s="12">
        <f t="shared" si="69"/>
        <v>6095.382202611945</v>
      </c>
      <c r="AJ265" s="12">
        <f t="shared" si="69"/>
        <v>6377.459085624269</v>
      </c>
      <c r="AK265" s="12">
        <f t="shared" si="69"/>
        <v>6690.846764398435</v>
      </c>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row>
    <row r="266" spans="1:61" ht="11.25">
      <c r="A266" s="11" t="s">
        <v>109</v>
      </c>
      <c r="C266" s="12">
        <f aca="true" t="shared" si="70" ref="C266:AK266">C232-C250</f>
        <v>0</v>
      </c>
      <c r="D266" s="12">
        <f t="shared" si="70"/>
        <v>0</v>
      </c>
      <c r="E266" s="12">
        <f t="shared" si="70"/>
        <v>0</v>
      </c>
      <c r="F266" s="12">
        <f t="shared" si="70"/>
        <v>0</v>
      </c>
      <c r="G266" s="12">
        <f t="shared" si="70"/>
        <v>0</v>
      </c>
      <c r="H266" s="12">
        <f t="shared" si="70"/>
        <v>79.3777086154991</v>
      </c>
      <c r="I266" s="12">
        <f t="shared" si="70"/>
        <v>90.27070242367239</v>
      </c>
      <c r="J266" s="12">
        <f t="shared" si="70"/>
        <v>102.66161556411637</v>
      </c>
      <c r="K266" s="12">
        <f t="shared" si="70"/>
        <v>117.06861998640801</v>
      </c>
      <c r="L266" s="12">
        <f t="shared" si="70"/>
        <v>132.77268401854667</v>
      </c>
      <c r="M266" s="12">
        <f t="shared" si="70"/>
        <v>150.99614808319427</v>
      </c>
      <c r="N266" s="12">
        <f t="shared" si="70"/>
        <v>254.8731620805434</v>
      </c>
      <c r="O266" s="12">
        <f t="shared" si="70"/>
        <v>244.0088824739068</v>
      </c>
      <c r="P266" s="12">
        <f t="shared" si="70"/>
        <v>357.443743678712</v>
      </c>
      <c r="Q266" s="12">
        <f t="shared" si="70"/>
        <v>585.3296740832885</v>
      </c>
      <c r="R266" s="12">
        <f t="shared" si="70"/>
        <v>685.5412148720745</v>
      </c>
      <c r="S266" s="12">
        <f t="shared" si="70"/>
        <v>801.405561428028</v>
      </c>
      <c r="T266" s="12">
        <f t="shared" si="70"/>
        <v>925.9002809096767</v>
      </c>
      <c r="U266" s="12">
        <f t="shared" si="70"/>
        <v>1022.0125824909619</v>
      </c>
      <c r="V266" s="12">
        <f t="shared" si="70"/>
        <v>1127.9903905503754</v>
      </c>
      <c r="W266" s="12">
        <f t="shared" si="70"/>
        <v>1060.6395449133277</v>
      </c>
      <c r="X266" s="12">
        <f t="shared" si="70"/>
        <v>1373.9591371434014</v>
      </c>
      <c r="Y266" s="12">
        <f t="shared" si="70"/>
        <v>1516.482049674164</v>
      </c>
      <c r="Z266" s="12">
        <f t="shared" si="70"/>
        <v>1619.0596036775578</v>
      </c>
      <c r="AA266" s="12">
        <f t="shared" si="70"/>
        <v>1734.8223722120842</v>
      </c>
      <c r="AB266" s="12">
        <f t="shared" si="70"/>
        <v>1848.9489929933916</v>
      </c>
      <c r="AC266" s="12">
        <f t="shared" si="70"/>
        <v>1953.064978024065</v>
      </c>
      <c r="AD266" s="12">
        <f t="shared" si="70"/>
        <v>2063.209367007216</v>
      </c>
      <c r="AE266" s="12">
        <f t="shared" si="70"/>
        <v>1907.8973173555573</v>
      </c>
      <c r="AF266" s="12">
        <f t="shared" si="70"/>
        <v>2303.2934844159204</v>
      </c>
      <c r="AG266" s="12">
        <f t="shared" si="70"/>
        <v>2434.1870731965314</v>
      </c>
      <c r="AH266" s="12">
        <f t="shared" si="70"/>
        <v>2561.3817023634056</v>
      </c>
      <c r="AI266" s="12">
        <f t="shared" si="70"/>
        <v>2702.6311312364796</v>
      </c>
      <c r="AJ266" s="12">
        <f t="shared" si="70"/>
        <v>2835.168141645103</v>
      </c>
      <c r="AK266" s="12">
        <f t="shared" si="70"/>
        <v>2982.4118242344043</v>
      </c>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row>
    <row r="267" ht="11.25">
      <c r="A267" s="1" t="s">
        <v>112</v>
      </c>
    </row>
    <row r="268" spans="1:37" ht="11.25">
      <c r="A268" s="11" t="s">
        <v>96</v>
      </c>
      <c r="C268" s="12">
        <f aca="true" t="shared" si="71" ref="C268:AK270">C264/C$116</f>
        <v>-1030.6800917431192</v>
      </c>
      <c r="D268" s="12">
        <f t="shared" si="71"/>
        <v>-2204.5818882401995</v>
      </c>
      <c r="E268" s="12">
        <f t="shared" si="71"/>
        <v>-2553.2864870725602</v>
      </c>
      <c r="F268" s="12">
        <f t="shared" si="71"/>
        <v>-2421.0545037531274</v>
      </c>
      <c r="G268" s="12">
        <f t="shared" si="71"/>
        <v>-2378.312955796496</v>
      </c>
      <c r="H268" s="12">
        <f t="shared" si="71"/>
        <v>468.8459826363636</v>
      </c>
      <c r="I268" s="12">
        <f t="shared" si="71"/>
        <v>508.01173690909087</v>
      </c>
      <c r="J268" s="12">
        <f t="shared" si="71"/>
        <v>550.447695409091</v>
      </c>
      <c r="K268" s="12">
        <f t="shared" si="71"/>
        <v>598.0276693363636</v>
      </c>
      <c r="L268" s="12">
        <f t="shared" si="71"/>
        <v>646.1593276590908</v>
      </c>
      <c r="M268" s="12">
        <f t="shared" si="71"/>
        <v>700.0691424545455</v>
      </c>
      <c r="N268" s="12">
        <f t="shared" si="71"/>
        <v>720.7845873566012</v>
      </c>
      <c r="O268" s="12">
        <f t="shared" si="71"/>
        <v>583.1762366202723</v>
      </c>
      <c r="P268" s="12">
        <f t="shared" si="71"/>
        <v>818.0916390740085</v>
      </c>
      <c r="Q268" s="12">
        <f t="shared" si="71"/>
        <v>798.7105485840661</v>
      </c>
      <c r="R268" s="12">
        <f t="shared" si="71"/>
        <v>839.1803580129173</v>
      </c>
      <c r="S268" s="12">
        <f t="shared" si="71"/>
        <v>884.6594772864281</v>
      </c>
      <c r="T268" s="12">
        <f t="shared" si="71"/>
        <v>928.8144584419811</v>
      </c>
      <c r="U268" s="12">
        <f t="shared" si="71"/>
        <v>945.8591078070614</v>
      </c>
      <c r="V268" s="12">
        <f t="shared" si="71"/>
        <v>963.9847912647302</v>
      </c>
      <c r="W268" s="12">
        <f t="shared" si="71"/>
        <v>820.7424445535364</v>
      </c>
      <c r="X268" s="12">
        <f t="shared" si="71"/>
        <v>1003.6044706703207</v>
      </c>
      <c r="Y268" s="12">
        <f t="shared" si="71"/>
        <v>1025.1659399913267</v>
      </c>
      <c r="Z268" s="12">
        <f t="shared" si="71"/>
        <v>1018.4163203068592</v>
      </c>
      <c r="AA268" s="12">
        <f t="shared" si="71"/>
        <v>1013.9688836468766</v>
      </c>
      <c r="AB268" s="12">
        <f t="shared" si="71"/>
        <v>1003.7856288150385</v>
      </c>
      <c r="AC268" s="12">
        <f t="shared" si="71"/>
        <v>1001.2426196016708</v>
      </c>
      <c r="AD268" s="12">
        <f t="shared" si="71"/>
        <v>998.6499667739181</v>
      </c>
      <c r="AE268" s="12">
        <f t="shared" si="71"/>
        <v>833.6601837461442</v>
      </c>
      <c r="AF268" s="12">
        <f t="shared" si="71"/>
        <v>993.2646899926182</v>
      </c>
      <c r="AG268" s="12">
        <f t="shared" si="71"/>
        <v>990.4445339222949</v>
      </c>
      <c r="AH268" s="12">
        <f t="shared" si="71"/>
        <v>989.5078705526184</v>
      </c>
      <c r="AI268" s="12">
        <f t="shared" si="71"/>
        <v>991.2808913050911</v>
      </c>
      <c r="AJ268" s="12">
        <f t="shared" si="71"/>
        <v>987.7662289128577</v>
      </c>
      <c r="AK268" s="12">
        <f t="shared" si="71"/>
        <v>986.9571038769641</v>
      </c>
    </row>
    <row r="269" spans="1:37" ht="11.25">
      <c r="A269" s="11" t="s">
        <v>108</v>
      </c>
      <c r="C269" s="12">
        <f t="shared" si="71"/>
        <v>-7.432385321100629</v>
      </c>
      <c r="D269" s="12">
        <f t="shared" si="71"/>
        <v>0.019168195719054815</v>
      </c>
      <c r="E269" s="12">
        <f t="shared" si="71"/>
        <v>0.01520613738971743</v>
      </c>
      <c r="F269" s="12">
        <f t="shared" si="71"/>
        <v>0.006313668910215032</v>
      </c>
      <c r="G269" s="12">
        <f t="shared" si="71"/>
        <v>-0.000977982659597932</v>
      </c>
      <c r="H269" s="12">
        <f t="shared" si="71"/>
        <v>79.57978438358586</v>
      </c>
      <c r="I269" s="12">
        <f t="shared" si="71"/>
        <v>116.93972787799748</v>
      </c>
      <c r="J269" s="12">
        <f t="shared" si="71"/>
        <v>157.13742101794728</v>
      </c>
      <c r="K269" s="12">
        <f t="shared" si="71"/>
        <v>202.00932905763085</v>
      </c>
      <c r="L269" s="12">
        <f t="shared" si="71"/>
        <v>246.92234960282315</v>
      </c>
      <c r="M269" s="12">
        <f t="shared" si="71"/>
        <v>197.23105814544797</v>
      </c>
      <c r="N269" s="12">
        <f t="shared" si="71"/>
        <v>205.84437639286506</v>
      </c>
      <c r="O269" s="12">
        <f t="shared" si="71"/>
        <v>54.76115073195276</v>
      </c>
      <c r="P269" s="12">
        <f t="shared" si="71"/>
        <v>274.70576795931015</v>
      </c>
      <c r="Q269" s="12">
        <f t="shared" si="71"/>
        <v>238.72356203750812</v>
      </c>
      <c r="R269" s="12">
        <f t="shared" si="71"/>
        <v>260.81522068339285</v>
      </c>
      <c r="S269" s="12">
        <f t="shared" si="71"/>
        <v>285.97904229618774</v>
      </c>
      <c r="T269" s="12">
        <f t="shared" si="71"/>
        <v>307.7068375392979</v>
      </c>
      <c r="U269" s="12">
        <f t="shared" si="71"/>
        <v>300.02170638595453</v>
      </c>
      <c r="V269" s="12">
        <f t="shared" si="71"/>
        <v>290.9068863933371</v>
      </c>
      <c r="W269" s="12">
        <f t="shared" si="71"/>
        <v>117.68617303073114</v>
      </c>
      <c r="X269" s="12">
        <f t="shared" si="71"/>
        <v>267.5840819930899</v>
      </c>
      <c r="Y269" s="12">
        <f t="shared" si="71"/>
        <v>252.92515587056639</v>
      </c>
      <c r="Z269" s="12">
        <f t="shared" si="71"/>
        <v>206.40362791556154</v>
      </c>
      <c r="AA269" s="12">
        <f t="shared" si="71"/>
        <v>158.3105740117919</v>
      </c>
      <c r="AB269" s="12">
        <f t="shared" si="71"/>
        <v>602.1332109010561</v>
      </c>
      <c r="AC269" s="12">
        <f t="shared" si="71"/>
        <v>571.2082581947445</v>
      </c>
      <c r="AD269" s="12">
        <f t="shared" si="71"/>
        <v>537.5775574367102</v>
      </c>
      <c r="AE269" s="12">
        <f t="shared" si="71"/>
        <v>338.65172115187573</v>
      </c>
      <c r="AF269" s="12">
        <f t="shared" si="71"/>
        <v>461.1581855316603</v>
      </c>
      <c r="AG269" s="12">
        <f t="shared" si="71"/>
        <v>990.4445339222949</v>
      </c>
      <c r="AH269" s="12">
        <f t="shared" si="71"/>
        <v>989.5078705526184</v>
      </c>
      <c r="AI269" s="12">
        <f t="shared" si="71"/>
        <v>991.2808913050911</v>
      </c>
      <c r="AJ269" s="12">
        <f t="shared" si="71"/>
        <v>987.7662289128577</v>
      </c>
      <c r="AK269" s="12">
        <f t="shared" si="71"/>
        <v>986.9571038769641</v>
      </c>
    </row>
    <row r="270" spans="1:37" ht="11.25">
      <c r="A270" s="11" t="s">
        <v>109</v>
      </c>
      <c r="C270" s="12">
        <f t="shared" si="71"/>
        <v>0</v>
      </c>
      <c r="D270" s="12">
        <f t="shared" si="71"/>
        <v>0</v>
      </c>
      <c r="E270" s="12">
        <f t="shared" si="71"/>
        <v>0</v>
      </c>
      <c r="F270" s="12">
        <f t="shared" si="71"/>
        <v>0</v>
      </c>
      <c r="G270" s="12">
        <f t="shared" si="71"/>
        <v>0</v>
      </c>
      <c r="H270" s="12">
        <f t="shared" si="71"/>
        <v>48.19538176363636</v>
      </c>
      <c r="I270" s="12">
        <f t="shared" si="71"/>
        <v>52.199265190909095</v>
      </c>
      <c r="J270" s="12">
        <f t="shared" si="71"/>
        <v>56.5374690409091</v>
      </c>
      <c r="K270" s="12">
        <f t="shared" si="71"/>
        <v>61.40156893363636</v>
      </c>
      <c r="L270" s="12">
        <f t="shared" si="71"/>
        <v>66.32212076590908</v>
      </c>
      <c r="M270" s="12">
        <f t="shared" si="71"/>
        <v>71.83336974545455</v>
      </c>
      <c r="N270" s="12">
        <f t="shared" si="71"/>
        <v>115.47691666839879</v>
      </c>
      <c r="O270" s="12">
        <f t="shared" si="71"/>
        <v>105.2900687197277</v>
      </c>
      <c r="P270" s="12">
        <f t="shared" si="71"/>
        <v>146.8926866759914</v>
      </c>
      <c r="Q270" s="12">
        <f t="shared" si="71"/>
        <v>229.08872591593385</v>
      </c>
      <c r="R270" s="12">
        <f t="shared" si="71"/>
        <v>255.5332660120824</v>
      </c>
      <c r="S270" s="12">
        <f t="shared" si="71"/>
        <v>284.4965006435718</v>
      </c>
      <c r="T270" s="12">
        <f t="shared" si="71"/>
        <v>313.0397540830187</v>
      </c>
      <c r="U270" s="12">
        <f t="shared" si="71"/>
        <v>329.0805552679386</v>
      </c>
      <c r="V270" s="12">
        <f t="shared" si="71"/>
        <v>345.90917346026964</v>
      </c>
      <c r="W270" s="12">
        <f t="shared" si="71"/>
        <v>309.76703296646343</v>
      </c>
      <c r="X270" s="12">
        <f t="shared" si="71"/>
        <v>382.1658692546792</v>
      </c>
      <c r="Y270" s="12">
        <f t="shared" si="71"/>
        <v>401.72240730867316</v>
      </c>
      <c r="Z270" s="12">
        <f t="shared" si="71"/>
        <v>408.47202699314096</v>
      </c>
      <c r="AA270" s="12">
        <f t="shared" si="71"/>
        <v>416.83597967312335</v>
      </c>
      <c r="AB270" s="12">
        <f t="shared" si="71"/>
        <v>423.10271848496126</v>
      </c>
      <c r="AC270" s="12">
        <f t="shared" si="71"/>
        <v>425.645727698329</v>
      </c>
      <c r="AD270" s="12">
        <f t="shared" si="71"/>
        <v>428.23838052608187</v>
      </c>
      <c r="AE270" s="12">
        <f t="shared" si="71"/>
        <v>377.1446795738558</v>
      </c>
      <c r="AF270" s="12">
        <f t="shared" si="71"/>
        <v>433.6236573073817</v>
      </c>
      <c r="AG270" s="12">
        <f t="shared" si="71"/>
        <v>436.44381337770494</v>
      </c>
      <c r="AH270" s="12">
        <f t="shared" si="71"/>
        <v>437.38047674738135</v>
      </c>
      <c r="AI270" s="12">
        <f t="shared" si="71"/>
        <v>439.52397201490857</v>
      </c>
      <c r="AJ270" s="12">
        <f t="shared" si="71"/>
        <v>439.12211838714256</v>
      </c>
      <c r="AK270" s="12">
        <f t="shared" si="71"/>
        <v>439.931243423036</v>
      </c>
    </row>
    <row r="271" spans="1:37" ht="11.25">
      <c r="A271" s="11"/>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row>
    <row r="272" spans="1:61" ht="11.25">
      <c r="A272" s="1" t="s">
        <v>98</v>
      </c>
      <c r="C272" s="12"/>
      <c r="D272" s="12"/>
      <c r="E272" s="12"/>
      <c r="F272" s="12"/>
      <c r="G272" s="12"/>
      <c r="H272" s="12">
        <f aca="true" t="shared" si="72" ref="H272:AF272">H264/-H261</f>
        <v>1.2044353831408428</v>
      </c>
      <c r="I272" s="12">
        <f t="shared" si="72"/>
        <v>1.2990235178624094</v>
      </c>
      <c r="J272" s="12">
        <f t="shared" si="72"/>
        <v>1.3995253397872731</v>
      </c>
      <c r="K272" s="12">
        <f t="shared" si="72"/>
        <v>1.510100943596322</v>
      </c>
      <c r="L272" s="12">
        <f t="shared" si="72"/>
        <v>1.618485669351055</v>
      </c>
      <c r="M272" s="12">
        <f t="shared" si="72"/>
        <v>1.3922357202049336</v>
      </c>
      <c r="N272" s="12">
        <f t="shared" si="72"/>
        <v>1.399744226630927</v>
      </c>
      <c r="O272" s="12">
        <f t="shared" si="72"/>
        <v>1.1036328299368927</v>
      </c>
      <c r="P272" s="12">
        <f t="shared" si="72"/>
        <v>1.5055445541780106</v>
      </c>
      <c r="Q272" s="12">
        <f t="shared" si="72"/>
        <v>1.4263019816044606</v>
      </c>
      <c r="R272" s="12">
        <f t="shared" si="72"/>
        <v>1.4509525278229087</v>
      </c>
      <c r="S272" s="12">
        <f t="shared" si="72"/>
        <v>1.4776822918905805</v>
      </c>
      <c r="T272" s="12">
        <f t="shared" si="72"/>
        <v>1.4954162969246683</v>
      </c>
      <c r="U272" s="12">
        <f t="shared" si="72"/>
        <v>1.4645468127516057</v>
      </c>
      <c r="V272" s="12">
        <f t="shared" si="72"/>
        <v>1.4322038864860993</v>
      </c>
      <c r="W272" s="12">
        <f t="shared" si="72"/>
        <v>1.1673922526511644</v>
      </c>
      <c r="X272" s="12">
        <f t="shared" si="72"/>
        <v>1.3635552575846297</v>
      </c>
      <c r="Y272" s="12">
        <f t="shared" si="72"/>
        <v>1.3275211062033403</v>
      </c>
      <c r="Z272" s="12">
        <f t="shared" si="72"/>
        <v>1.2541876867807609</v>
      </c>
      <c r="AA272" s="12">
        <f t="shared" si="72"/>
        <v>1.1850161124237863</v>
      </c>
      <c r="AB272" s="12">
        <f t="shared" si="72"/>
        <v>2.49914001272117</v>
      </c>
      <c r="AC272" s="12">
        <f t="shared" si="72"/>
        <v>2.328285154530316</v>
      </c>
      <c r="AD272" s="12">
        <f t="shared" si="72"/>
        <v>2.16592870566573</v>
      </c>
      <c r="AE272" s="12">
        <f t="shared" si="72"/>
        <v>1.6841331951721605</v>
      </c>
      <c r="AF272" s="12">
        <f t="shared" si="72"/>
        <v>1.8666651913959018</v>
      </c>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row>
    <row r="273" spans="1:61" ht="11.25">
      <c r="A273" s="2" t="s">
        <v>121</v>
      </c>
      <c r="B273" s="16">
        <f>MIN(O272:AF272)</f>
        <v>1.1036328299368927</v>
      </c>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row>
    <row r="274" spans="1:61" ht="11.25">
      <c r="A274" s="1" t="s">
        <v>115</v>
      </c>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row>
    <row r="275" spans="1:61" ht="11.25">
      <c r="A275" s="11" t="s">
        <v>113</v>
      </c>
      <c r="B275" s="23">
        <f>IRR(C261:AK261)</f>
        <v>0.07137763045414348</v>
      </c>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row>
    <row r="276" spans="1:61" ht="11.25">
      <c r="A276" s="11" t="s">
        <v>105</v>
      </c>
      <c r="B276" s="33">
        <f>B111</f>
        <v>0.12</v>
      </c>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row>
    <row r="277" spans="1:61" ht="11.25">
      <c r="A277" s="11" t="s">
        <v>114</v>
      </c>
      <c r="B277" s="23">
        <f>B275</f>
        <v>0.07137763045414348</v>
      </c>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row>
    <row r="278" spans="1:61" ht="11.25">
      <c r="A278" s="11" t="s">
        <v>103</v>
      </c>
      <c r="B278" s="33">
        <f>B110</f>
        <v>0.1</v>
      </c>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row>
    <row r="279" spans="3:61" ht="11.25">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row>
    <row r="280" spans="1:61" ht="11.25">
      <c r="A280" s="1" t="s">
        <v>117</v>
      </c>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row>
    <row r="281" spans="1:61" ht="11.25">
      <c r="A281" s="11" t="s">
        <v>116</v>
      </c>
      <c r="B281" s="23">
        <f>IRR(C264:AK264)</f>
        <v>0.10811094265983234</v>
      </c>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row>
    <row r="282" spans="1:61" ht="11.25">
      <c r="A282" s="11" t="s">
        <v>1</v>
      </c>
      <c r="B282" s="23">
        <f>IRR(C265:AK265)</f>
        <v>1.1134603140793797</v>
      </c>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row>
    <row r="283" spans="1:61" ht="11.25">
      <c r="A283" s="1" t="s">
        <v>118</v>
      </c>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row>
    <row r="284" spans="1:61" ht="11.25">
      <c r="A284" s="11" t="s">
        <v>116</v>
      </c>
      <c r="B284" s="23">
        <f>IRR(C268:AK268)</f>
        <v>0.0533156066023865</v>
      </c>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row>
    <row r="285" spans="1:61" ht="11.25">
      <c r="A285" s="11" t="s">
        <v>1</v>
      </c>
      <c r="B285" s="23">
        <f>IRR(C269:AK269)</f>
        <v>0.9901908121783889</v>
      </c>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row>
    <row r="286" spans="1:61" ht="11.25">
      <c r="A286" s="1" t="s">
        <v>119</v>
      </c>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row>
    <row r="287" spans="1:61" ht="11.25">
      <c r="A287" s="11" t="s">
        <v>106</v>
      </c>
      <c r="B287" s="12">
        <f>NPV(B277,C264:AK264)</f>
        <v>8639.259721829352</v>
      </c>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row>
    <row r="288" spans="1:61" ht="11.25">
      <c r="A288" s="11" t="s">
        <v>107</v>
      </c>
      <c r="B288" s="12">
        <f>NPV(B111,C265:AK265)</f>
        <v>3153.5862438482104</v>
      </c>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row>
    <row r="289" spans="1:61" ht="11.25">
      <c r="A289" s="11" t="s">
        <v>110</v>
      </c>
      <c r="B289" s="12">
        <f>NPV(B110,C266:AK266)</f>
        <v>3574.992993865402</v>
      </c>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row>
    <row r="291" spans="1:61" ht="11.25">
      <c r="A291" s="2" t="s">
        <v>145</v>
      </c>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row>
    <row r="292" spans="1:61" ht="11.25">
      <c r="A292" s="2" t="s">
        <v>146</v>
      </c>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row>
    <row r="293" spans="1:61" ht="11.25">
      <c r="A293" s="2" t="s">
        <v>147</v>
      </c>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row>
    <row r="294" spans="1:61" ht="11.25">
      <c r="A294" s="2" t="s">
        <v>148</v>
      </c>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row>
    <row r="295" spans="1:61" ht="11.25">
      <c r="A295" s="2" t="s">
        <v>150</v>
      </c>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row>
    <row r="296" spans="1:61" ht="11.25">
      <c r="A296" s="2" t="s">
        <v>149</v>
      </c>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row>
    <row r="297" spans="1:61" ht="11.25">
      <c r="A297" s="2" t="s">
        <v>156</v>
      </c>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row>
    <row r="298" spans="8:61" ht="11.25">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row>
    <row r="299" spans="1:61" ht="11.25">
      <c r="A299" s="2" t="s">
        <v>151</v>
      </c>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row>
    <row r="300" spans="1:61" ht="11.25">
      <c r="A300" s="2" t="s">
        <v>152</v>
      </c>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row>
    <row r="301" spans="1:61" ht="11.25">
      <c r="A301" s="2" t="s">
        <v>153</v>
      </c>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row>
    <row r="302" spans="1:61" ht="11.25">
      <c r="A302" s="2" t="s">
        <v>154</v>
      </c>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row>
    <row r="303" spans="1:61" ht="11.25">
      <c r="A303" s="2" t="s">
        <v>155</v>
      </c>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row>
    <row r="304" spans="8:61" ht="11.25">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row>
    <row r="305" spans="1:61" ht="11.25">
      <c r="A305" s="2" t="str">
        <f>A289</f>
        <v>NPV ngân sách</v>
      </c>
      <c r="B305" s="16">
        <f>B289</f>
        <v>3574.992993865402</v>
      </c>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row>
    <row r="306" spans="8:61" ht="11.25">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row>
    <row r="307" spans="8:61" ht="11.25">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row>
    <row r="308" spans="8:61" ht="11.25">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row>
    <row r="309" spans="8:61" ht="11.25">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row>
    <row r="310" spans="8:61" ht="11.25">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row>
    <row r="311" spans="8:61" ht="11.25">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row>
    <row r="312" spans="8:61" ht="11.25">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row>
    <row r="313" spans="8:61" ht="11.25">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row>
    <row r="314" spans="8:61" ht="11.25">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row>
    <row r="315" spans="8:61" ht="11.25">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row>
    <row r="316" spans="8:61" ht="11.25">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row>
    <row r="317" spans="8:61" ht="11.25">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row>
    <row r="318" spans="8:61" ht="11.25">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row>
    <row r="319" spans="8:61" ht="11.25">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row>
    <row r="320" spans="8:61" ht="11.25">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row>
    <row r="321" spans="8:61" ht="11.25">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row>
    <row r="322" spans="8:61" ht="11.25">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row>
    <row r="323" spans="8:61" ht="11.25">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row>
    <row r="324" spans="8:61" ht="11.25">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row>
    <row r="325" spans="8:61" ht="11.25">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row>
    <row r="326" spans="8:61" ht="11.25">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row>
    <row r="327" spans="8:61" ht="11.25">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row>
    <row r="328" spans="8:61" ht="11.25">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row>
    <row r="329" spans="8:61" ht="11.25">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row>
    <row r="330" spans="8:61" ht="11.25">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row>
    <row r="331" spans="8:61" ht="11.25">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row>
    <row r="332" spans="8:61" ht="11.25">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row>
    <row r="333" spans="8:61" ht="11.25">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row>
    <row r="334" spans="8:61" ht="11.25">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row>
    <row r="335" spans="8:61" ht="11.25">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row>
    <row r="336" spans="8:61" ht="11.25">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row>
    <row r="337" spans="8:61" ht="11.25">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row>
    <row r="338" spans="8:61" ht="11.25">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row>
    <row r="339" spans="8:61" ht="11.25">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row>
    <row r="340" spans="8:61" ht="11.25">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row>
    <row r="341" spans="8:61" ht="11.25">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row>
    <row r="342" spans="8:61" ht="11.25">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row>
    <row r="343" spans="8:61" ht="11.25">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row>
    <row r="344" spans="8:61" ht="11.25">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row>
    <row r="345" spans="8:61" ht="11.25">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row>
    <row r="346" spans="8:61" ht="11.25">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row>
    <row r="347" spans="8:61" ht="11.25">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row>
    <row r="348" spans="8:61" ht="11.25">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row>
    <row r="349" spans="8:61" ht="11.25">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row>
    <row r="350" spans="8:61" ht="11.25">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row>
    <row r="351" spans="8:61" ht="11.25">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row>
    <row r="352" spans="8:61" ht="11.25">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row>
    <row r="353" spans="8:61" ht="11.25">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row>
    <row r="354" spans="8:61" ht="11.25">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row>
    <row r="355" spans="8:61" ht="11.25">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row>
    <row r="356" spans="8:61" ht="11.25">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row>
    <row r="357" spans="8:61" ht="11.25">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row>
    <row r="358" spans="8:61" ht="11.25">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row>
    <row r="359" spans="8:61" ht="11.25">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row>
    <row r="360" spans="8:61" ht="11.25">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row>
    <row r="361" spans="8:61" ht="11.25">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row>
    <row r="362" spans="8:61" ht="11.25">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row>
    <row r="363" spans="8:61" ht="11.25">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row>
    <row r="364" spans="8:61" ht="11.25">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row>
    <row r="365" spans="8:61" ht="11.25">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row>
    <row r="366" spans="8:61" ht="11.25">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row>
    <row r="367" spans="8:61" ht="11.25">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row>
    <row r="368" spans="8:61" ht="11.25">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row>
    <row r="369" spans="8:61" ht="11.25">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row>
    <row r="370" spans="37:61" ht="11.25">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row>
    <row r="371" spans="37:61" ht="11.25">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row>
    <row r="372" spans="37:61" ht="11.25">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row>
    <row r="373" spans="37:61" ht="11.25">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row>
    <row r="374" spans="37:61" ht="11.25">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row>
    <row r="375" spans="37:61" ht="11.25">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row>
    <row r="376" spans="37:61" ht="11.25">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row>
    <row r="377" spans="37:61" ht="11.25">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row>
    <row r="378" spans="37:61" ht="11.25">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row>
    <row r="379" spans="37:61" ht="11.25">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row>
    <row r="380" spans="37:61" ht="11.25">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row>
    <row r="381" spans="37:61" ht="11.25">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row>
    <row r="382" spans="37:61" ht="11.25">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row>
    <row r="383" spans="37:61" ht="11.25">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row>
    <row r="384" spans="37:61" ht="11.25">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row>
    <row r="385" spans="37:61" ht="11.25">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row>
    <row r="386" spans="37:61" ht="11.25">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row>
    <row r="387" spans="37:61" ht="11.25">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row>
    <row r="388" spans="37:61" ht="11.25">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row>
    <row r="389" spans="37:61" ht="11.25">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row>
    <row r="390" spans="37:61" ht="11.25">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row>
    <row r="391" spans="37:61" ht="11.25">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row>
    <row r="392" spans="37:61" ht="11.25">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row>
    <row r="393" spans="37:61" ht="11.25">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row>
    <row r="394" spans="37:61" ht="11.25">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row>
    <row r="395" spans="37:61" ht="11.25">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row>
    <row r="396" spans="37:61" ht="11.25">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row>
    <row r="397" spans="37:61" ht="11.25">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row>
    <row r="398" spans="37:61" ht="11.25">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row>
    <row r="399" spans="37:61" ht="11.25">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row>
    <row r="400" spans="37:61" ht="11.25">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row>
    <row r="401" spans="37:61" ht="11.25">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row>
    <row r="402" spans="37:61" ht="11.25">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row>
    <row r="403" spans="37:61" ht="11.25">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row>
    <row r="404" spans="37:61" ht="11.25">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row>
    <row r="405" spans="37:61" ht="11.25">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row>
    <row r="406" spans="37:61" ht="11.25">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row>
    <row r="407" spans="37:61" ht="11.25">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row>
    <row r="408" spans="37:61" ht="11.25">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row>
    <row r="409" spans="37:61" ht="11.25">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row>
    <row r="410" spans="37:61" ht="11.25">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row>
    <row r="411" spans="37:61" ht="11.25">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row>
    <row r="412" spans="37:61" ht="11.25">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row>
    <row r="413" spans="37:61" ht="11.25">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row>
    <row r="414" spans="37:61" ht="11.25">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row>
    <row r="415" spans="37:61" ht="11.25">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row>
    <row r="416" spans="37:61" ht="11.25">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row>
    <row r="417" spans="37:61" ht="11.25">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row>
    <row r="418" spans="37:61" ht="11.25">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row>
    <row r="419" spans="37:61" ht="11.25">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row>
    <row r="420" spans="37:61" ht="11.25">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row>
    <row r="421" spans="37:61" ht="11.25">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row>
    <row r="422" spans="37:61" ht="11.25">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row>
    <row r="423" spans="37:61" ht="11.25">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row>
    <row r="424" spans="37:61" ht="11.25">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row>
    <row r="425" spans="37:61" ht="11.25">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row>
    <row r="426" spans="37:61" ht="11.25">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row>
    <row r="427" spans="37:61" ht="11.25">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row>
    <row r="428" spans="37:61" ht="11.25">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row>
    <row r="429" spans="37:61" ht="11.25">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row>
    <row r="430" spans="37:61" ht="11.25">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row>
    <row r="431" spans="37:61" ht="11.25">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row>
    <row r="432" spans="37:61" ht="11.25">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row>
    <row r="433" spans="37:61" ht="11.25">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row>
    <row r="434" spans="37:61" ht="11.25">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row>
    <row r="435" spans="37:61" ht="11.25">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row>
    <row r="436" spans="37:61" ht="11.25">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row>
    <row r="437" spans="37:61" ht="11.25">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row>
    <row r="438" spans="37:61" ht="11.25">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row>
    <row r="439" spans="37:61" ht="11.25">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row>
    <row r="440" spans="37:61" ht="11.25">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row>
    <row r="441" spans="37:61" ht="11.25">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row>
    <row r="442" spans="37:61" ht="11.25">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row>
    <row r="443" spans="37:61" ht="11.25">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row>
    <row r="444" spans="37:61" ht="11.25">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row>
    <row r="445" spans="37:61" ht="11.25">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row>
    <row r="446" spans="37:61" ht="11.25">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row>
    <row r="447" spans="37:61" ht="11.25">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row>
    <row r="448" spans="37:61" ht="11.25">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row>
    <row r="449" spans="37:61" ht="11.25">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row>
    <row r="450" spans="37:61" ht="11.25">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row>
    <row r="451" spans="37:61" ht="11.25">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row>
    <row r="452" spans="37:61" ht="11.25">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row>
    <row r="453" spans="37:61" ht="11.25">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row>
    <row r="454" spans="37:61" ht="11.25">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row>
    <row r="455" spans="37:61" ht="11.25">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row>
    <row r="456" spans="37:61" ht="11.25">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row>
    <row r="457" spans="37:61" ht="11.25">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row>
    <row r="458" spans="37:61" ht="11.25">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row>
    <row r="459" spans="37:61" ht="11.25">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row>
    <row r="460" spans="37:61" ht="11.25">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row>
    <row r="461" spans="37:61" ht="11.25">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row>
    <row r="462" spans="37:61" ht="11.25">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row>
    <row r="463" spans="37:61" ht="11.25">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row>
    <row r="464" spans="37:61" ht="11.25">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row>
    <row r="465" spans="37:61" ht="11.25">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row>
    <row r="466" spans="37:61" ht="11.25">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row>
    <row r="467" spans="37:61" ht="11.25">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row>
    <row r="468" spans="37:61" ht="11.25">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row>
    <row r="469" spans="37:61" ht="11.25">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row>
    <row r="470" spans="37:61" ht="11.25">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row>
    <row r="471" spans="37:61" ht="11.25">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row>
    <row r="472" spans="37:61" ht="11.25">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row>
    <row r="473" spans="37:61" ht="11.25">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row>
    <row r="474" spans="37:61" ht="11.25">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row>
    <row r="475" spans="37:61" ht="11.25">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row>
    <row r="476" spans="37:61" ht="11.25">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row>
    <row r="477" spans="37:61" ht="11.25">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row>
    <row r="478" spans="37:61" ht="11.25">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row>
    <row r="479" spans="37:61" ht="11.25">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row>
    <row r="480" spans="37:61" ht="11.25">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row>
  </sheetData>
  <sheetProtection/>
  <conditionalFormatting sqref="H272:AF272">
    <cfRule type="cellIs" priority="1" dxfId="0" operator="lessThan" stopIfTrue="1">
      <formula>$B$112</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Fulbright Economics Teaching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Xuan Thanh</dc:creator>
  <cp:keywords/>
  <dc:description/>
  <cp:lastModifiedBy> </cp:lastModifiedBy>
  <dcterms:created xsi:type="dcterms:W3CDTF">2009-08-20T09:22:24Z</dcterms:created>
  <dcterms:modified xsi:type="dcterms:W3CDTF">2012-07-18T05:40:32Z</dcterms:modified>
  <cp:category/>
  <cp:version/>
  <cp:contentType/>
  <cp:contentStatus/>
</cp:coreProperties>
</file>