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7" yWindow="516" windowWidth="15011" windowHeight="9659" firstSheet="1" activeTab="1"/>
  </bookViews>
  <sheets>
    <sheet name="CB_DATA_" sheetId="1" state="veryHidden" r:id="rId1"/>
    <sheet name="Analysis" sheetId="2" r:id="rId2"/>
    <sheet name="Cost of Capital" sheetId="3" r:id="rId3"/>
  </sheets>
  <definedNames>
    <definedName name="CBWorkbookPriority" localSheetId="0" hidden="1">-1795614836</definedName>
    <definedName name="CBx_1912dedf28e947429602719c7b940cff" localSheetId="0" hidden="1">"'CB_DATA_'!$A$1"</definedName>
    <definedName name="CBx_20b2c040d8534bcca9e9b2c9ac12a94b" localSheetId="0" hidden="1">"'Analysis'!$A$1"</definedName>
    <definedName name="CBx_Sheet_Guid" localSheetId="1" hidden="1">"'20b2c040-d853-4bcc-a9e9-b2c9ac12a94b"</definedName>
    <definedName name="CBx_Sheet_Guid" localSheetId="0" hidden="1">"'1912dedf-28e9-4742-9602-719c7b940cff"</definedName>
    <definedName name="CBx_StorageType" localSheetId="1" hidden="1">1</definedName>
  </definedNames>
  <calcPr fullCalcOnLoad="1"/>
</workbook>
</file>

<file path=xl/comments2.xml><?xml version="1.0" encoding="utf-8"?>
<comments xmlns="http://schemas.openxmlformats.org/spreadsheetml/2006/main">
  <authors>
    <author>Nguyen Xuan Thanh</author>
  </authors>
  <commentList>
    <comment ref="A177" authorId="0">
      <text>
        <r>
          <rPr>
            <b/>
            <sz val="8"/>
            <rFont val="Tahoma"/>
            <family val="2"/>
          </rPr>
          <t>Bỏ qua việc hoàn thuế VAT</t>
        </r>
      </text>
    </comment>
  </commentList>
</comments>
</file>

<file path=xl/comments3.xml><?xml version="1.0" encoding="utf-8"?>
<comments xmlns="http://schemas.openxmlformats.org/spreadsheetml/2006/main">
  <authors>
    <author>Nguyen Xuan Thanh</author>
  </authors>
  <commentList>
    <comment ref="E4" authorId="0">
      <text>
        <r>
          <rPr>
            <b/>
            <sz val="8"/>
            <rFont val="Tahoma"/>
            <family val="2"/>
          </rPr>
          <t>1 = luật đinh
2 = bình quân</t>
        </r>
      </text>
    </comment>
    <comment ref="E6" authorId="0">
      <text>
        <r>
          <rPr>
            <b/>
            <sz val="8"/>
            <rFont val="Tahoma"/>
            <family val="2"/>
          </rPr>
          <t>1 = ban đầu
2 = bình quân</t>
        </r>
      </text>
    </comment>
  </commentList>
</comments>
</file>

<file path=xl/sharedStrings.xml><?xml version="1.0" encoding="utf-8"?>
<sst xmlns="http://schemas.openxmlformats.org/spreadsheetml/2006/main" count="266" uniqueCount="207">
  <si>
    <t>Chi phí đầu tư</t>
  </si>
  <si>
    <t>Công suất (MW)</t>
  </si>
  <si>
    <t>Tỷ lệ sử dụng công suất</t>
  </si>
  <si>
    <t>Hợp đồng EPC</t>
  </si>
  <si>
    <t>Phụ tùng ban đầu</t>
  </si>
  <si>
    <t>Dịch vụ tư vấn</t>
  </si>
  <si>
    <t>Quản lý</t>
  </si>
  <si>
    <t>Chi phí cam kết tài trợ</t>
  </si>
  <si>
    <t>Dự phòng tăng chi phí thực</t>
  </si>
  <si>
    <t>Dự phòng lạm phát</t>
  </si>
  <si>
    <t>Chi phí lãi vay trong thời gian xây dựng</t>
  </si>
  <si>
    <t>Chi phí cấu thành TSCĐ được khấu hao</t>
  </si>
  <si>
    <t>Chi phí bảo hiểm</t>
  </si>
  <si>
    <t>Chi phí nhiên liệu ban đầu</t>
  </si>
  <si>
    <t>Tổng chi phí đầu tư</t>
  </si>
  <si>
    <t>Số giờ hoạt động trong năm (giờ)</t>
  </si>
  <si>
    <t>Giá khí (USD/triệu BTU)</t>
  </si>
  <si>
    <t>Sản lượng điện (triệu kWh)</t>
  </si>
  <si>
    <t>Chi phí hoạt động cố định (triệu USD)</t>
  </si>
  <si>
    <t>Chi phí hoạt động cố định (USD/kW/tháng)</t>
  </si>
  <si>
    <t>Chi phí hoạt động biến đổi (xen/kWh)</t>
  </si>
  <si>
    <t>Lãi suất danh nghĩa</t>
  </si>
  <si>
    <t>Lạm phát USD</t>
  </si>
  <si>
    <t>Ân hạn (năm)</t>
  </si>
  <si>
    <t>Giải ngân</t>
  </si>
  <si>
    <t>Vốn chủ sở hữu</t>
  </si>
  <si>
    <t>Dư nợ đầu kỳ</t>
  </si>
  <si>
    <t>Trả lãi vay</t>
  </si>
  <si>
    <t>Trả nợ gốc</t>
  </si>
  <si>
    <t>Dư nợ cuối kỳ</t>
  </si>
  <si>
    <t>Lãi suất thực</t>
  </si>
  <si>
    <t>Lịch trả nợ gốc</t>
  </si>
  <si>
    <t>Kỳ hạn (số năm kể từ lúc bắt đầu giải ngân)</t>
  </si>
  <si>
    <t>Lãi vay trong thời gian xây dựng</t>
  </si>
  <si>
    <t>Lịch nợ vay ODA</t>
  </si>
  <si>
    <t>Lịch nợ vay thương mại</t>
  </si>
  <si>
    <t>Lịch khấu hao</t>
  </si>
  <si>
    <t>TSCĐ đầu kỳ</t>
  </si>
  <si>
    <t>Khấu hao</t>
  </si>
  <si>
    <t>TSCĐ cuối kỳ</t>
  </si>
  <si>
    <t>Doanh thu</t>
  </si>
  <si>
    <t>Chi phí sửa chữa bảo trì (triệu USD)</t>
  </si>
  <si>
    <t>Thuế thu nhập doanh nghiệp</t>
  </si>
  <si>
    <t>Thuế suất thuế TNDN</t>
  </si>
  <si>
    <t>Chi phí khí tự nhiên (xen/kWh)</t>
  </si>
  <si>
    <t>Suất nhiệt (BTU/kWh)</t>
  </si>
  <si>
    <t>Huy động vốn</t>
  </si>
  <si>
    <t>Ngân lưu</t>
  </si>
  <si>
    <t>Báo cáo thu nhập</t>
  </si>
  <si>
    <t>Thuế thu nhập DN</t>
  </si>
  <si>
    <t>Ngân lưu vào</t>
  </si>
  <si>
    <t>Ngân lưu ra</t>
  </si>
  <si>
    <t>Ngân lưu ròng dự án</t>
  </si>
  <si>
    <t>Ngân lưu nợ vay</t>
  </si>
  <si>
    <t>Ngân lưu chủ sở hữu</t>
  </si>
  <si>
    <t>PHÂN TÍCH</t>
  </si>
  <si>
    <t>IEEF</t>
  </si>
  <si>
    <t>Quỹ đầu tư</t>
  </si>
  <si>
    <t>UBND tỉnh</t>
  </si>
  <si>
    <t>Cơ cấu vốn chủ sở hữu</t>
  </si>
  <si>
    <t>Cơ cấu vốn dự án</t>
  </si>
  <si>
    <t>Nợ vay</t>
  </si>
  <si>
    <t>ADB</t>
  </si>
  <si>
    <t>NHTM quốc tế</t>
  </si>
  <si>
    <t>Lãi vay XD nhập gốc</t>
  </si>
  <si>
    <t>Chi phí vốn</t>
  </si>
  <si>
    <t>Chênh lệch lãi suất tương ứng tính theo điểm cơ bản</t>
  </si>
  <si>
    <t>A1</t>
  </si>
  <si>
    <t>Thị trường Hoa Kỳ</t>
  </si>
  <si>
    <t>Việt Nam</t>
  </si>
  <si>
    <t>A2</t>
  </si>
  <si>
    <t>Hệ số tín nhiệm vay nợ Moody's</t>
  </si>
  <si>
    <t>B1</t>
  </si>
  <si>
    <t>A3</t>
  </si>
  <si>
    <t>Mức bù rủi ro quốc gia</t>
  </si>
  <si>
    <t>Aa1</t>
  </si>
  <si>
    <t>Mức bù rủi ro thị trường</t>
  </si>
  <si>
    <t>Aa2</t>
  </si>
  <si>
    <t>Aa3</t>
  </si>
  <si>
    <t>Aaa</t>
  </si>
  <si>
    <t>Nợ/Vốn chủ sở hữu (D/E)</t>
  </si>
  <si>
    <t>Thuế suất thuế thu nhập</t>
  </si>
  <si>
    <t>B2</t>
  </si>
  <si>
    <t>B3</t>
  </si>
  <si>
    <t>Ba1</t>
  </si>
  <si>
    <t>Ba2</t>
  </si>
  <si>
    <t>Danh nghĩa</t>
  </si>
  <si>
    <t>Thực</t>
  </si>
  <si>
    <t>Ba3</t>
  </si>
  <si>
    <t>Baa1</t>
  </si>
  <si>
    <t>Baa2</t>
  </si>
  <si>
    <t>Baa3</t>
  </si>
  <si>
    <t>Caa1</t>
  </si>
  <si>
    <t>Caa2</t>
  </si>
  <si>
    <t>Caa3</t>
  </si>
  <si>
    <t>Lợi suất trái phiếu năm 2009</t>
  </si>
  <si>
    <t>Suất sinh lợi trung bình cổ phiếu, 1928-2008</t>
  </si>
  <si>
    <t>Suất sinh lợi trung bình trái phiếu CP, 1928-2008</t>
  </si>
  <si>
    <t>Hệ số beta có vay nợ ngành điện</t>
  </si>
  <si>
    <t>Hệ số beta không vay nợ ngành điện</t>
  </si>
  <si>
    <t>Hệ số beta có vay nợ tính cho Dự án DPA</t>
  </si>
  <si>
    <t>Ghi nhớ</t>
  </si>
  <si>
    <t>Thuế suất lợi nhuận hiệu dụng</t>
  </si>
  <si>
    <t>D/E</t>
  </si>
  <si>
    <t>Hệ số tín nhiệm</t>
  </si>
  <si>
    <t>NPV</t>
  </si>
  <si>
    <t>IRR</t>
  </si>
  <si>
    <t>Dự án</t>
  </si>
  <si>
    <t>Vốn CSH</t>
  </si>
  <si>
    <t>BẢNG THÔNG SỐ</t>
  </si>
  <si>
    <t>Ngân lưu thuế</t>
  </si>
  <si>
    <t>VAT</t>
  </si>
  <si>
    <t>Thuế TNDN</t>
  </si>
  <si>
    <t>Thuế suất VAT</t>
  </si>
  <si>
    <t>Chi phí đầu tư (triệu USD)</t>
  </si>
  <si>
    <t>Ngân lưu chi phí đầu tư</t>
  </si>
  <si>
    <t>Thời gian khấu hao (năm)</t>
  </si>
  <si>
    <t>Vay ODA (ADB OCR) (triệu USD)</t>
  </si>
  <si>
    <t>Vay NHTM quốc tế (triệu USD)</t>
  </si>
  <si>
    <t>Bảng cân đối tài sản</t>
  </si>
  <si>
    <t>Tài sản cố định</t>
  </si>
  <si>
    <t>Tài sản</t>
  </si>
  <si>
    <t>Cộng</t>
  </si>
  <si>
    <t>Nợ và vốn CSH</t>
  </si>
  <si>
    <t>Vốn chủ sở hữu, E (đầu kỳ)</t>
  </si>
  <si>
    <t>Nợ vay, D (đầu kỳ)</t>
  </si>
  <si>
    <t>Lạm phát VND</t>
  </si>
  <si>
    <t>Chỉ số giá USD</t>
  </si>
  <si>
    <t>- Khấu hao</t>
  </si>
  <si>
    <t>- Lãi vay</t>
  </si>
  <si>
    <t>Rủi ro hối đoái</t>
  </si>
  <si>
    <t>Giá điện (cent/kWh)</t>
  </si>
  <si>
    <t>Lợi nhuận hoạt động</t>
  </si>
  <si>
    <t>Phí quản lý</t>
  </si>
  <si>
    <t>Lợi nhuận trước khấu hao, lãi vay và thuế (EBITDA)</t>
  </si>
  <si>
    <t>Lợi nhuận trước lãi vay và thuế (EBIT)</t>
  </si>
  <si>
    <t>Lợi nhuận trước thuế (EBT)</t>
  </si>
  <si>
    <t>Lợi nhuận sau thuế (NI)</t>
  </si>
  <si>
    <t>Chỉ số kỹ thuật và vận hành</t>
  </si>
  <si>
    <t>Phí quản lý/doanh thu</t>
  </si>
  <si>
    <t>Phí quản lý/lợi nhuận hoạt động</t>
  </si>
  <si>
    <t>Thông số vĩ mô</t>
  </si>
  <si>
    <t>Ngân lưu chi phí đầu tư, không điều chỉnh lạm phát</t>
  </si>
  <si>
    <t>Vốn chủ sở hữu (triệu USD), không điều chỉnh lạm phát</t>
  </si>
  <si>
    <t>Tỷ lệ thời gian sử dụng (plant dispatch factor)</t>
  </si>
  <si>
    <t>- Chi phí nhiên liệu</t>
  </si>
  <si>
    <t>- Chi phí hoạt động cố định</t>
  </si>
  <si>
    <t>- Chi phí hoạt động biến đổi</t>
  </si>
  <si>
    <t>- Chi phí sửa chữa bảo trì</t>
  </si>
  <si>
    <t>Thuế</t>
  </si>
  <si>
    <t>Chi phi nợ vay</t>
  </si>
  <si>
    <t>Chi phí vốn chủ sở hữu</t>
  </si>
  <si>
    <t>DNNN</t>
  </si>
  <si>
    <t>Chi phi vốn CSH của IEEF</t>
  </si>
  <si>
    <t>Chi phí vốn CSH của Quỹ đầu tư</t>
  </si>
  <si>
    <t>Chi phí vốn ngân sách</t>
  </si>
  <si>
    <t>Chi phí nhiên liệu</t>
  </si>
  <si>
    <t>Chi phí hoạt động cố định</t>
  </si>
  <si>
    <t>Chi phí hoạt động biến đổi</t>
  </si>
  <si>
    <t>Chi phí sửa chữa bảo trì</t>
  </si>
  <si>
    <t>Sử dụng thuế suất TNDN theo luật định hay bình quân hiệu dụng</t>
  </si>
  <si>
    <t>Sử dụng tỷ lệ D/E ban đầu hay bình quân</t>
  </si>
  <si>
    <t>Tỷ lệ D/E</t>
  </si>
  <si>
    <t>Tỷ lệ E/V</t>
  </si>
  <si>
    <t>Tỷ lệ D/V</t>
  </si>
  <si>
    <t>Dự án DPE</t>
  </si>
  <si>
    <t>WACC trước thuế</t>
  </si>
  <si>
    <t>Ngân lưu ngân sách</t>
  </si>
  <si>
    <t>DSCR</t>
  </si>
  <si>
    <t>Tỷ lệ an toàn trả nợ</t>
  </si>
  <si>
    <t>Ngân lưu sẵn có để trả nợ (CADS)</t>
  </si>
  <si>
    <t>Trả lãi và nợ gốc</t>
  </si>
  <si>
    <t>IRR CSH</t>
  </si>
  <si>
    <t>NPV CSH</t>
  </si>
  <si>
    <t>Giá điện</t>
  </si>
  <si>
    <t>Giá khí</t>
  </si>
  <si>
    <t>Tỷ lệ điều độ</t>
  </si>
  <si>
    <t>Phân tích kịch bản</t>
  </si>
  <si>
    <t>PHÂN TÍCH ĐỘ NHẠY</t>
  </si>
  <si>
    <t>Thay đổi giá điện</t>
  </si>
  <si>
    <t>Chi phí xây dựng</t>
  </si>
  <si>
    <t>Độ nhạy hai chiều</t>
  </si>
  <si>
    <t>NPV chủ sở hữu</t>
  </si>
  <si>
    <t>Thay đổi tỷ lệ điều độ</t>
  </si>
  <si>
    <t>Thay đổi dự phòng chi phí thực</t>
  </si>
  <si>
    <t>Thay đổi
giá khí</t>
  </si>
  <si>
    <t>Kịch bản 1: giá điện được điều chỉnh theo lạm phát như trong mô hình cơ sở</t>
  </si>
  <si>
    <t>Chỉ số giá VND</t>
  </si>
  <si>
    <t>Tỷ giá</t>
  </si>
  <si>
    <t>Tỷ giá (VND/USD)</t>
  </si>
  <si>
    <t>Chọn kịch bản</t>
  </si>
  <si>
    <t>Thay đổi kịch bản</t>
  </si>
  <si>
    <t>Kịch bản 2: giá điện được giữ nguyên theo giá danh nghĩa USD là 8,5 xen/kWh</t>
  </si>
  <si>
    <t>Kịch bản 3: giá điện tính theo VND, điều chỉnh bằng ½ tỷ lệ lạm phát VND</t>
  </si>
  <si>
    <t>Tổng hợp</t>
  </si>
  <si>
    <t>Giá điện không điều chỉnh theo lạm phát</t>
  </si>
  <si>
    <t>Chi phí xây dựng tăng 50%</t>
  </si>
  <si>
    <t>Tăng cao hơn tỷ lệ lạm phát</t>
  </si>
  <si>
    <t>Thay đổi mức tăng cao hơn so với tỷ lệ lạm phát</t>
  </si>
  <si>
    <t>Giá khí tăng cao gấp đôi tỷ lệ lạm phát</t>
  </si>
  <si>
    <t>Mô hình cơ sở</t>
  </si>
  <si>
    <t>Tỷ lệ điều độ bằng 65%</t>
  </si>
  <si>
    <t>Tất cả các tình huống trên</t>
  </si>
  <si>
    <t>Số năm chuyển lỗ</t>
  </si>
  <si>
    <t>Số năm miễn thuế</t>
  </si>
  <si>
    <t>Thuế suất</t>
  </si>
  <si>
    <t>Số năm giảm thuế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</si>
</sst>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  <numFmt numFmtId="166" formatCode="0.00000"/>
    <numFmt numFmtId="167" formatCode="0.0000"/>
    <numFmt numFmtId="168" formatCode="0.0"/>
    <numFmt numFmtId="169" formatCode="#,##0.0"/>
    <numFmt numFmtId="170" formatCode="0.000000"/>
    <numFmt numFmtId="171" formatCode="#,##0.000"/>
    <numFmt numFmtId="172" formatCode="0.00000000"/>
    <numFmt numFmtId="173" formatCode="0.0000000"/>
    <numFmt numFmtId="174" formatCode="0.000%"/>
    <numFmt numFmtId="175" formatCode="0.000000000000000%"/>
    <numFmt numFmtId="176" formatCode="#,##0.0000"/>
    <numFmt numFmtId="177" formatCode="0.00000000000000%"/>
    <numFmt numFmtId="178" formatCode="0.0000000000000%"/>
    <numFmt numFmtId="179" formatCode="0.000000000000%"/>
    <numFmt numFmtId="180" formatCode="0.00000000000%"/>
    <numFmt numFmtId="181" formatCode="0.0000000000%"/>
    <numFmt numFmtId="182" formatCode="_(* #,##0.0_);_(* \(#,##0.0\);_(* &quot;-&quot;??_);_(@_)"/>
    <numFmt numFmtId="183" formatCode="#,##0;[Red]#,##0"/>
    <numFmt numFmtId="184" formatCode="#,##0.0;[Red]#,##0.0"/>
    <numFmt numFmtId="185" formatCode="#,##0.00;[Red]#,##0.00"/>
    <numFmt numFmtId="186" formatCode="m/d/yy\ h:mm"/>
    <numFmt numFmtId="187" formatCode="#,##0.000000"/>
  </numFmts>
  <fonts count="53">
    <font>
      <sz val="10"/>
      <color rgb="FF000000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8"/>
      <name val="Geneva"/>
      <family val="0"/>
    </font>
    <font>
      <b/>
      <i/>
      <sz val="8"/>
      <name val="Arial"/>
      <family val="2"/>
    </font>
    <font>
      <b/>
      <i/>
      <u val="single"/>
      <sz val="8"/>
      <name val="Arial"/>
      <family val="2"/>
    </font>
    <font>
      <b/>
      <sz val="8"/>
      <name val="Tahoma"/>
      <family val="2"/>
    </font>
    <font>
      <b/>
      <i/>
      <sz val="8"/>
      <color indexed="8"/>
      <name val="Tahoma"/>
      <family val="2"/>
    </font>
    <font>
      <i/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ahoma"/>
      <family val="2"/>
    </font>
    <font>
      <b/>
      <sz val="8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Tahoma"/>
      <family val="2"/>
    </font>
    <font>
      <b/>
      <sz val="10"/>
      <color rgb="FF00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32" borderId="7" applyNumberFormat="0" applyFont="0" applyAlignment="0" applyProtection="0"/>
    <xf numFmtId="0" fontId="47" fillId="27" borderId="8" applyNumberFormat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0" fontId="5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left" indent="1"/>
    </xf>
    <xf numFmtId="168" fontId="5" fillId="0" borderId="0" xfId="0" applyNumberFormat="1" applyFont="1" applyAlignment="1">
      <alignment/>
    </xf>
    <xf numFmtId="165" fontId="5" fillId="0" borderId="0" xfId="59" applyNumberFormat="1" applyFont="1" applyAlignment="1">
      <alignment/>
    </xf>
    <xf numFmtId="164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0" fontId="5" fillId="0" borderId="0" xfId="0" applyFont="1" applyAlignment="1">
      <alignment horizontal="left" indent="1"/>
    </xf>
    <xf numFmtId="9" fontId="5" fillId="0" borderId="0" xfId="59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2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10" fontId="4" fillId="0" borderId="13" xfId="59" applyNumberFormat="1" applyFont="1" applyBorder="1" applyAlignment="1">
      <alignment/>
    </xf>
    <xf numFmtId="174" fontId="4" fillId="0" borderId="13" xfId="0" applyNumberFormat="1" applyFont="1" applyBorder="1" applyAlignment="1">
      <alignment/>
    </xf>
    <xf numFmtId="10" fontId="4" fillId="0" borderId="13" xfId="0" applyNumberFormat="1" applyFont="1" applyBorder="1" applyAlignment="1">
      <alignment/>
    </xf>
    <xf numFmtId="10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10" fontId="4" fillId="0" borderId="15" xfId="59" applyNumberFormat="1" applyFont="1" applyBorder="1" applyAlignment="1">
      <alignment/>
    </xf>
    <xf numFmtId="10" fontId="4" fillId="0" borderId="15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0" fontId="4" fillId="0" borderId="12" xfId="0" applyFont="1" applyBorder="1" applyAlignment="1">
      <alignment horizontal="left" indent="1"/>
    </xf>
    <xf numFmtId="174" fontId="4" fillId="0" borderId="13" xfId="0" applyNumberFormat="1" applyFont="1" applyBorder="1" applyAlignment="1">
      <alignment/>
    </xf>
    <xf numFmtId="10" fontId="4" fillId="0" borderId="0" xfId="0" applyNumberFormat="1" applyFont="1" applyAlignment="1">
      <alignment/>
    </xf>
    <xf numFmtId="10" fontId="4" fillId="0" borderId="0" xfId="59" applyNumberFormat="1" applyFont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 horizontal="center"/>
    </xf>
    <xf numFmtId="10" fontId="4" fillId="0" borderId="13" xfId="59" applyNumberFormat="1" applyFont="1" applyBorder="1" applyAlignment="1">
      <alignment/>
    </xf>
    <xf numFmtId="41" fontId="12" fillId="0" borderId="0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/>
    </xf>
    <xf numFmtId="10" fontId="4" fillId="0" borderId="0" xfId="59" applyNumberFormat="1" applyFont="1" applyBorder="1" applyAlignment="1">
      <alignment/>
    </xf>
    <xf numFmtId="0" fontId="5" fillId="0" borderId="0" xfId="0" applyFont="1" applyAlignment="1">
      <alignment horizontal="left" indent="1"/>
    </xf>
    <xf numFmtId="4" fontId="5" fillId="0" borderId="0" xfId="0" applyNumberFormat="1" applyFont="1" applyAlignment="1">
      <alignment horizontal="left" indent="1"/>
    </xf>
    <xf numFmtId="4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10" fontId="5" fillId="0" borderId="0" xfId="59" applyNumberFormat="1" applyFont="1" applyAlignment="1">
      <alignment/>
    </xf>
    <xf numFmtId="176" fontId="5" fillId="0" borderId="0" xfId="0" applyNumberFormat="1" applyFont="1" applyAlignment="1">
      <alignment/>
    </xf>
    <xf numFmtId="4" fontId="6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left"/>
    </xf>
    <xf numFmtId="4" fontId="5" fillId="33" borderId="0" xfId="0" applyNumberFormat="1" applyFont="1" applyFill="1" applyAlignment="1">
      <alignment/>
    </xf>
    <xf numFmtId="10" fontId="5" fillId="33" borderId="0" xfId="0" applyNumberFormat="1" applyFont="1" applyFill="1" applyAlignment="1">
      <alignment/>
    </xf>
    <xf numFmtId="0" fontId="5" fillId="0" borderId="0" xfId="0" applyFont="1" applyAlignment="1" quotePrefix="1">
      <alignment/>
    </xf>
    <xf numFmtId="167" fontId="4" fillId="0" borderId="13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10" fontId="5" fillId="0" borderId="0" xfId="0" applyNumberFormat="1" applyFont="1" applyFill="1" applyAlignment="1">
      <alignment/>
    </xf>
    <xf numFmtId="169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indent="1"/>
    </xf>
    <xf numFmtId="2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10" xfId="0" applyFont="1" applyBorder="1" applyAlignment="1">
      <alignment/>
    </xf>
    <xf numFmtId="10" fontId="4" fillId="0" borderId="16" xfId="59" applyNumberFormat="1" applyFont="1" applyBorder="1" applyAlignment="1">
      <alignment/>
    </xf>
    <xf numFmtId="0" fontId="4" fillId="0" borderId="16" xfId="0" applyFont="1" applyBorder="1" applyAlignment="1">
      <alignment/>
    </xf>
    <xf numFmtId="10" fontId="4" fillId="0" borderId="11" xfId="59" applyNumberFormat="1" applyFont="1" applyBorder="1" applyAlignment="1">
      <alignment/>
    </xf>
    <xf numFmtId="10" fontId="4" fillId="0" borderId="17" xfId="59" applyNumberFormat="1" applyFont="1" applyBorder="1" applyAlignment="1">
      <alignment/>
    </xf>
    <xf numFmtId="0" fontId="4" fillId="0" borderId="17" xfId="0" applyFont="1" applyBorder="1" applyAlignment="1">
      <alignment/>
    </xf>
    <xf numFmtId="0" fontId="7" fillId="33" borderId="10" xfId="0" applyFont="1" applyFill="1" applyBorder="1" applyAlignment="1">
      <alignment/>
    </xf>
    <xf numFmtId="10" fontId="7" fillId="33" borderId="16" xfId="0" applyNumberFormat="1" applyFont="1" applyFill="1" applyBorder="1" applyAlignment="1">
      <alignment/>
    </xf>
    <xf numFmtId="10" fontId="7" fillId="33" borderId="11" xfId="59" applyNumberFormat="1" applyFont="1" applyFill="1" applyBorder="1" applyAlignment="1">
      <alignment/>
    </xf>
    <xf numFmtId="0" fontId="7" fillId="33" borderId="12" xfId="0" applyFont="1" applyFill="1" applyBorder="1" applyAlignment="1">
      <alignment/>
    </xf>
    <xf numFmtId="10" fontId="7" fillId="33" borderId="0" xfId="0" applyNumberFormat="1" applyFont="1" applyFill="1" applyBorder="1" applyAlignment="1">
      <alignment/>
    </xf>
    <xf numFmtId="10" fontId="7" fillId="33" borderId="13" xfId="59" applyNumberFormat="1" applyFont="1" applyFill="1" applyBorder="1" applyAlignment="1">
      <alignment/>
    </xf>
    <xf numFmtId="0" fontId="7" fillId="33" borderId="14" xfId="0" applyFont="1" applyFill="1" applyBorder="1" applyAlignment="1">
      <alignment/>
    </xf>
    <xf numFmtId="10" fontId="7" fillId="33" borderId="17" xfId="59" applyNumberFormat="1" applyFont="1" applyFill="1" applyBorder="1" applyAlignment="1">
      <alignment/>
    </xf>
    <xf numFmtId="10" fontId="7" fillId="33" borderId="15" xfId="59" applyNumberFormat="1" applyFont="1" applyFill="1" applyBorder="1" applyAlignment="1">
      <alignment/>
    </xf>
    <xf numFmtId="0" fontId="5" fillId="33" borderId="0" xfId="0" applyFont="1" applyFill="1" applyAlignment="1">
      <alignment/>
    </xf>
    <xf numFmtId="1" fontId="5" fillId="33" borderId="0" xfId="0" applyNumberFormat="1" applyFont="1" applyFill="1" applyAlignment="1">
      <alignment/>
    </xf>
    <xf numFmtId="3" fontId="5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/>
    </xf>
    <xf numFmtId="0" fontId="14" fillId="0" borderId="0" xfId="0" applyFont="1" applyAlignment="1">
      <alignment/>
    </xf>
    <xf numFmtId="2" fontId="6" fillId="0" borderId="0" xfId="0" applyNumberFormat="1" applyFont="1" applyAlignment="1">
      <alignment/>
    </xf>
    <xf numFmtId="2" fontId="5" fillId="0" borderId="1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0" fontId="5" fillId="0" borderId="0" xfId="0" applyFont="1" applyAlignment="1">
      <alignment horizontal="right"/>
    </xf>
    <xf numFmtId="185" fontId="5" fillId="0" borderId="0" xfId="0" applyNumberFormat="1" applyFont="1" applyAlignment="1">
      <alignment/>
    </xf>
    <xf numFmtId="0" fontId="15" fillId="0" borderId="0" xfId="0" applyFont="1" applyAlignment="1">
      <alignment/>
    </xf>
    <xf numFmtId="10" fontId="5" fillId="0" borderId="21" xfId="0" applyNumberFormat="1" applyFont="1" applyBorder="1" applyAlignment="1">
      <alignment/>
    </xf>
    <xf numFmtId="10" fontId="5" fillId="0" borderId="22" xfId="0" applyNumberFormat="1" applyFont="1" applyBorder="1" applyAlignment="1">
      <alignment/>
    </xf>
    <xf numFmtId="10" fontId="5" fillId="0" borderId="23" xfId="0" applyNumberFormat="1" applyFont="1" applyBorder="1" applyAlignment="1">
      <alignment/>
    </xf>
    <xf numFmtId="10" fontId="5" fillId="0" borderId="0" xfId="59" applyNumberFormat="1" applyFont="1" applyFill="1" applyBorder="1" applyAlignment="1">
      <alignment/>
    </xf>
    <xf numFmtId="10" fontId="5" fillId="0" borderId="22" xfId="59" applyNumberFormat="1" applyFont="1" applyFill="1" applyBorder="1" applyAlignment="1">
      <alignment/>
    </xf>
    <xf numFmtId="168" fontId="5" fillId="0" borderId="19" xfId="0" applyNumberFormat="1" applyFont="1" applyFill="1" applyBorder="1" applyAlignment="1">
      <alignment/>
    </xf>
    <xf numFmtId="37" fontId="5" fillId="0" borderId="0" xfId="42" applyNumberFormat="1" applyFont="1" applyAlignment="1">
      <alignment/>
    </xf>
    <xf numFmtId="167" fontId="5" fillId="0" borderId="0" xfId="0" applyNumberFormat="1" applyFont="1" applyAlignment="1">
      <alignment/>
    </xf>
    <xf numFmtId="165" fontId="5" fillId="0" borderId="0" xfId="0" applyNumberFormat="1" applyFont="1" applyFill="1" applyAlignment="1">
      <alignment/>
    </xf>
    <xf numFmtId="9" fontId="5" fillId="0" borderId="0" xfId="0" applyNumberFormat="1" applyFont="1" applyFill="1" applyAlignment="1">
      <alignment/>
    </xf>
    <xf numFmtId="2" fontId="6" fillId="0" borderId="0" xfId="42" applyNumberFormat="1" applyFont="1" applyFill="1" applyBorder="1" applyAlignment="1">
      <alignment/>
    </xf>
    <xf numFmtId="168" fontId="5" fillId="0" borderId="18" xfId="0" applyNumberFormat="1" applyFont="1" applyFill="1" applyBorder="1" applyAlignment="1">
      <alignment/>
    </xf>
    <xf numFmtId="168" fontId="5" fillId="0" borderId="20" xfId="0" applyNumberFormat="1" applyFont="1" applyFill="1" applyBorder="1" applyAlignment="1">
      <alignment/>
    </xf>
    <xf numFmtId="165" fontId="5" fillId="0" borderId="21" xfId="59" applyNumberFormat="1" applyFont="1" applyFill="1" applyBorder="1" applyAlignment="1">
      <alignment/>
    </xf>
    <xf numFmtId="165" fontId="5" fillId="0" borderId="23" xfId="59" applyNumberFormat="1" applyFont="1" applyFill="1" applyBorder="1" applyAlignment="1">
      <alignment/>
    </xf>
    <xf numFmtId="165" fontId="5" fillId="0" borderId="22" xfId="59" applyNumberFormat="1" applyFont="1" applyFill="1" applyBorder="1" applyAlignment="1">
      <alignment/>
    </xf>
    <xf numFmtId="165" fontId="5" fillId="0" borderId="0" xfId="59" applyNumberFormat="1" applyFont="1" applyFill="1" applyBorder="1" applyAlignment="1">
      <alignment/>
    </xf>
    <xf numFmtId="10" fontId="5" fillId="0" borderId="21" xfId="59" applyNumberFormat="1" applyFont="1" applyFill="1" applyBorder="1" applyAlignment="1">
      <alignment/>
    </xf>
    <xf numFmtId="10" fontId="5" fillId="0" borderId="23" xfId="59" applyNumberFormat="1" applyFont="1" applyFill="1" applyBorder="1" applyAlignment="1">
      <alignment/>
    </xf>
    <xf numFmtId="168" fontId="5" fillId="0" borderId="18" xfId="42" applyNumberFormat="1" applyFont="1" applyFill="1" applyBorder="1" applyAlignment="1">
      <alignment/>
    </xf>
    <xf numFmtId="168" fontId="5" fillId="0" borderId="19" xfId="42" applyNumberFormat="1" applyFont="1" applyFill="1" applyBorder="1" applyAlignment="1">
      <alignment/>
    </xf>
    <xf numFmtId="168" fontId="5" fillId="0" borderId="20" xfId="42" applyNumberFormat="1" applyFont="1" applyFill="1" applyBorder="1" applyAlignment="1">
      <alignment/>
    </xf>
    <xf numFmtId="168" fontId="5" fillId="0" borderId="24" xfId="42" applyNumberFormat="1" applyFont="1" applyFill="1" applyBorder="1" applyAlignment="1">
      <alignment/>
    </xf>
    <xf numFmtId="168" fontId="5" fillId="0" borderId="0" xfId="42" applyNumberFormat="1" applyFont="1" applyFill="1" applyBorder="1" applyAlignment="1">
      <alignment/>
    </xf>
    <xf numFmtId="168" fontId="5" fillId="0" borderId="25" xfId="42" applyNumberFormat="1" applyFont="1" applyFill="1" applyBorder="1" applyAlignment="1">
      <alignment/>
    </xf>
    <xf numFmtId="168" fontId="5" fillId="0" borderId="21" xfId="42" applyNumberFormat="1" applyFont="1" applyFill="1" applyBorder="1" applyAlignment="1">
      <alignment/>
    </xf>
    <xf numFmtId="168" fontId="5" fillId="0" borderId="22" xfId="42" applyNumberFormat="1" applyFont="1" applyFill="1" applyBorder="1" applyAlignment="1">
      <alignment/>
    </xf>
    <xf numFmtId="168" fontId="5" fillId="0" borderId="23" xfId="42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165" fontId="5" fillId="0" borderId="0" xfId="59" applyNumberFormat="1" applyFont="1" applyBorder="1" applyAlignment="1">
      <alignment/>
    </xf>
    <xf numFmtId="10" fontId="5" fillId="0" borderId="0" xfId="59" applyNumberFormat="1" applyFont="1" applyBorder="1" applyAlignment="1">
      <alignment/>
    </xf>
    <xf numFmtId="1" fontId="5" fillId="0" borderId="0" xfId="0" applyNumberFormat="1" applyFont="1" applyFill="1" applyAlignment="1">
      <alignment/>
    </xf>
    <xf numFmtId="2" fontId="6" fillId="34" borderId="0" xfId="0" applyNumberFormat="1" applyFont="1" applyFill="1" applyAlignment="1">
      <alignment/>
    </xf>
    <xf numFmtId="10" fontId="6" fillId="34" borderId="0" xfId="0" applyNumberFormat="1" applyFont="1" applyFill="1" applyAlignment="1">
      <alignment/>
    </xf>
    <xf numFmtId="0" fontId="51" fillId="35" borderId="0" xfId="0" applyFont="1" applyFill="1" applyAlignment="1">
      <alignment/>
    </xf>
    <xf numFmtId="0" fontId="13" fillId="36" borderId="0" xfId="0" applyFont="1" applyFill="1" applyAlignment="1">
      <alignment/>
    </xf>
    <xf numFmtId="0" fontId="6" fillId="0" borderId="0" xfId="0" applyFont="1" applyAlignment="1">
      <alignment horizontal="right" vertical="center" textRotation="90" wrapText="1"/>
    </xf>
    <xf numFmtId="0" fontId="5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65" fontId="6" fillId="0" borderId="0" xfId="59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auto="1"/>
      </font>
      <fill>
        <patternFill>
          <bgColor indexed="46"/>
        </patternFill>
      </fill>
    </dxf>
    <dxf>
      <font>
        <color auto="1"/>
      </font>
      <fill>
        <patternFill>
          <bgColor rgb="FFCC99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000000000000000000000000000000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CB_000000000000000000000000000000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42"/>
  <sheetViews>
    <sheetView tabSelected="1" zoomScalePageLayoutView="0" workbookViewId="0" topLeftCell="A211">
      <selection activeCell="D24" sqref="D24"/>
    </sheetView>
  </sheetViews>
  <sheetFormatPr defaultColWidth="9.140625" defaultRowHeight="12.75"/>
  <cols>
    <col min="1" max="1" width="25.57421875" style="2" customWidth="1"/>
    <col min="2" max="2" width="8.7109375" style="2" customWidth="1"/>
    <col min="3" max="9" width="7.00390625" style="2" customWidth="1"/>
    <col min="10" max="15" width="6.57421875" style="2" bestFit="1" customWidth="1"/>
    <col min="16" max="24" width="5.8515625" style="2" bestFit="1" customWidth="1"/>
    <col min="25" max="16384" width="9.140625" style="2" customWidth="1"/>
  </cols>
  <sheetData>
    <row r="1" spans="1:24" ht="10.5">
      <c r="A1" s="136"/>
      <c r="B1" s="136">
        <v>2009</v>
      </c>
      <c r="C1" s="136">
        <v>2010</v>
      </c>
      <c r="D1" s="136">
        <v>2011</v>
      </c>
      <c r="E1" s="136">
        <v>2012</v>
      </c>
      <c r="F1" s="136">
        <v>2013</v>
      </c>
      <c r="G1" s="136">
        <v>2014</v>
      </c>
      <c r="H1" s="136">
        <v>2015</v>
      </c>
      <c r="I1" s="136">
        <v>2016</v>
      </c>
      <c r="J1" s="136">
        <v>2017</v>
      </c>
      <c r="K1" s="136">
        <v>2018</v>
      </c>
      <c r="L1" s="136">
        <v>2019</v>
      </c>
      <c r="M1" s="136">
        <v>2020</v>
      </c>
      <c r="N1" s="136">
        <v>2021</v>
      </c>
      <c r="O1" s="136">
        <v>2022</v>
      </c>
      <c r="P1" s="136">
        <v>2023</v>
      </c>
      <c r="Q1" s="136">
        <v>2024</v>
      </c>
      <c r="R1" s="136">
        <v>2025</v>
      </c>
      <c r="S1" s="136">
        <v>2026</v>
      </c>
      <c r="T1" s="136">
        <v>2027</v>
      </c>
      <c r="U1" s="136">
        <v>2028</v>
      </c>
      <c r="V1" s="136">
        <v>2029</v>
      </c>
      <c r="W1" s="136">
        <v>2030</v>
      </c>
      <c r="X1" s="136">
        <v>2031</v>
      </c>
    </row>
    <row r="2" spans="1:24" ht="10.5">
      <c r="A2" s="136"/>
      <c r="B2" s="137">
        <v>0</v>
      </c>
      <c r="C2" s="137">
        <v>1</v>
      </c>
      <c r="D2" s="137">
        <v>2</v>
      </c>
      <c r="E2" s="137">
        <v>3</v>
      </c>
      <c r="F2" s="137">
        <v>4</v>
      </c>
      <c r="G2" s="137">
        <v>5</v>
      </c>
      <c r="H2" s="137">
        <v>6</v>
      </c>
      <c r="I2" s="137">
        <v>7</v>
      </c>
      <c r="J2" s="137">
        <v>8</v>
      </c>
      <c r="K2" s="137">
        <v>9</v>
      </c>
      <c r="L2" s="137">
        <v>10</v>
      </c>
      <c r="M2" s="137">
        <v>11</v>
      </c>
      <c r="N2" s="137">
        <v>12</v>
      </c>
      <c r="O2" s="137">
        <v>13</v>
      </c>
      <c r="P2" s="137">
        <v>14</v>
      </c>
      <c r="Q2" s="137">
        <v>15</v>
      </c>
      <c r="R2" s="137">
        <v>16</v>
      </c>
      <c r="S2" s="137">
        <v>17</v>
      </c>
      <c r="T2" s="137">
        <v>18</v>
      </c>
      <c r="U2" s="137">
        <v>19</v>
      </c>
      <c r="V2" s="137">
        <v>20</v>
      </c>
      <c r="W2" s="137">
        <v>21</v>
      </c>
      <c r="X2" s="137">
        <v>22</v>
      </c>
    </row>
    <row r="3" ht="10.5">
      <c r="A3" s="9" t="s">
        <v>109</v>
      </c>
    </row>
    <row r="4" ht="10.5">
      <c r="A4" s="9" t="s">
        <v>141</v>
      </c>
    </row>
    <row r="5" spans="1:2" ht="10.5">
      <c r="A5" s="68" t="s">
        <v>126</v>
      </c>
      <c r="B5" s="69">
        <v>0.068</v>
      </c>
    </row>
    <row r="6" spans="1:2" ht="10.5">
      <c r="A6" s="67" t="s">
        <v>22</v>
      </c>
      <c r="B6" s="69">
        <v>0.008</v>
      </c>
    </row>
    <row r="7" spans="1:2" ht="10.5">
      <c r="A7" s="67" t="s">
        <v>189</v>
      </c>
      <c r="B7" s="10">
        <v>18000</v>
      </c>
    </row>
    <row r="8" spans="1:4" ht="10.5">
      <c r="A8" s="9" t="s">
        <v>114</v>
      </c>
      <c r="B8" s="8"/>
      <c r="C8" s="8"/>
      <c r="D8" s="8"/>
    </row>
    <row r="9" spans="1:4" ht="10.5">
      <c r="A9" s="2" t="s">
        <v>3</v>
      </c>
      <c r="B9" s="7">
        <v>295</v>
      </c>
      <c r="C9" s="8"/>
      <c r="D9" s="8"/>
    </row>
    <row r="10" spans="1:4" ht="10.5">
      <c r="A10" s="2" t="s">
        <v>4</v>
      </c>
      <c r="B10" s="7">
        <v>12.3</v>
      </c>
      <c r="C10" s="8"/>
      <c r="D10" s="8"/>
    </row>
    <row r="11" spans="1:4" ht="11.25">
      <c r="A11" s="1" t="s">
        <v>5</v>
      </c>
      <c r="B11" s="7">
        <v>10.2</v>
      </c>
      <c r="C11" s="8"/>
      <c r="D11" s="8"/>
    </row>
    <row r="12" spans="1:4" ht="11.25">
      <c r="A12" s="1" t="s">
        <v>6</v>
      </c>
      <c r="B12" s="7">
        <v>12</v>
      </c>
      <c r="C12" s="8"/>
      <c r="D12" s="8"/>
    </row>
    <row r="13" spans="1:4" ht="11.25">
      <c r="A13" s="1" t="s">
        <v>13</v>
      </c>
      <c r="B13" s="7">
        <v>12</v>
      </c>
      <c r="C13" s="8"/>
      <c r="D13" s="8"/>
    </row>
    <row r="14" spans="1:4" ht="11.25">
      <c r="A14" s="1" t="s">
        <v>12</v>
      </c>
      <c r="B14" s="7">
        <v>6.6</v>
      </c>
      <c r="C14" s="8"/>
      <c r="D14" s="8"/>
    </row>
    <row r="15" spans="1:4" ht="11.25">
      <c r="A15" s="1" t="s">
        <v>7</v>
      </c>
      <c r="B15" s="7">
        <v>6.7</v>
      </c>
      <c r="C15" s="8"/>
      <c r="D15" s="8"/>
    </row>
    <row r="16" spans="1:4" ht="11.25">
      <c r="A16" s="1" t="s">
        <v>8</v>
      </c>
      <c r="B16" s="71">
        <v>40</v>
      </c>
      <c r="C16" s="8"/>
      <c r="D16" s="8"/>
    </row>
    <row r="17" spans="1:2" ht="11.25">
      <c r="A17" s="1" t="s">
        <v>9</v>
      </c>
      <c r="B17" s="62">
        <f>SUM(B82:D82)-SUM(B20:D20)</f>
        <v>3.841465600000049</v>
      </c>
    </row>
    <row r="18" spans="1:2" ht="11.25">
      <c r="A18" s="1" t="s">
        <v>10</v>
      </c>
      <c r="B18" s="62">
        <f>SUM(B99:D99)</f>
        <v>11.329477248000009</v>
      </c>
    </row>
    <row r="19" spans="1:2" ht="11.25">
      <c r="A19" s="1" t="s">
        <v>14</v>
      </c>
      <c r="B19" s="7">
        <f>SUM(B9:B18)</f>
        <v>409.97094284800005</v>
      </c>
    </row>
    <row r="20" spans="1:7" ht="11.25">
      <c r="A20" s="1" t="s">
        <v>142</v>
      </c>
      <c r="B20" s="7">
        <v>38.5</v>
      </c>
      <c r="C20" s="7">
        <v>233.4</v>
      </c>
      <c r="D20" s="62">
        <f>SUM(B9:B16)-B20-C20</f>
        <v>122.9</v>
      </c>
      <c r="F20" s="8"/>
      <c r="G20" s="8"/>
    </row>
    <row r="21" spans="1:4" ht="11.25">
      <c r="A21" s="1" t="s">
        <v>11</v>
      </c>
      <c r="B21" s="7">
        <f>SUM(B9:B11)+B14+B15+B16+B18+B13+B12+B17</f>
        <v>409.97094284800005</v>
      </c>
      <c r="D21" s="8"/>
    </row>
    <row r="22" spans="1:2" ht="11.25">
      <c r="A22" s="1" t="s">
        <v>116</v>
      </c>
      <c r="B22" s="2">
        <v>20</v>
      </c>
    </row>
    <row r="23" ht="11.25">
      <c r="A23" s="15" t="s">
        <v>46</v>
      </c>
    </row>
    <row r="24" spans="1:2" ht="11.25">
      <c r="A24" s="1" t="s">
        <v>117</v>
      </c>
      <c r="B24" s="2">
        <v>120</v>
      </c>
    </row>
    <row r="25" spans="1:2" ht="11.25">
      <c r="A25" s="11" t="s">
        <v>21</v>
      </c>
      <c r="B25" s="63">
        <f>(1+B26)*(1+$B$6)-1</f>
        <v>0.05360000000000009</v>
      </c>
    </row>
    <row r="26" spans="1:2" ht="11.25">
      <c r="A26" s="11" t="s">
        <v>30</v>
      </c>
      <c r="B26" s="63">
        <f>(1+5.36%)/(1+0.8%)-1</f>
        <v>0.0452380952380953</v>
      </c>
    </row>
    <row r="27" spans="1:2" ht="11.25">
      <c r="A27" s="11" t="s">
        <v>32</v>
      </c>
      <c r="B27" s="2">
        <v>14</v>
      </c>
    </row>
    <row r="28" spans="1:2" ht="11.25">
      <c r="A28" s="11" t="s">
        <v>23</v>
      </c>
      <c r="B28" s="2">
        <v>2</v>
      </c>
    </row>
    <row r="29" spans="1:3" ht="11.25">
      <c r="A29" s="11" t="s">
        <v>24</v>
      </c>
      <c r="B29" s="2">
        <v>3.8</v>
      </c>
      <c r="C29" s="90">
        <f>B24-B29</f>
        <v>116.2</v>
      </c>
    </row>
    <row r="30" spans="1:15" ht="11.25">
      <c r="A30" s="11" t="s">
        <v>31</v>
      </c>
      <c r="F30" s="3">
        <v>0.05</v>
      </c>
      <c r="G30" s="3">
        <v>0.05</v>
      </c>
      <c r="H30" s="3">
        <v>0.05</v>
      </c>
      <c r="I30" s="3">
        <v>0.1</v>
      </c>
      <c r="J30" s="3">
        <v>0.1</v>
      </c>
      <c r="K30" s="3">
        <v>0.1</v>
      </c>
      <c r="L30" s="3">
        <v>0.1</v>
      </c>
      <c r="M30" s="3">
        <v>0.15</v>
      </c>
      <c r="N30" s="3">
        <v>0.15</v>
      </c>
      <c r="O30" s="3">
        <v>0.15</v>
      </c>
    </row>
    <row r="31" spans="1:2" ht="11.25">
      <c r="A31" s="1" t="s">
        <v>118</v>
      </c>
      <c r="B31" s="2">
        <v>156</v>
      </c>
    </row>
    <row r="32" spans="1:2" ht="11.25">
      <c r="A32" s="11" t="s">
        <v>21</v>
      </c>
      <c r="B32" s="63">
        <f>(1+B33)*(1+$B$6)-1</f>
        <v>0.08129999999999993</v>
      </c>
    </row>
    <row r="33" spans="1:2" ht="11.25">
      <c r="A33" s="11" t="s">
        <v>30</v>
      </c>
      <c r="B33" s="63">
        <f>(1+8.13%)/(1+0.8%)-1</f>
        <v>0.07271825396825382</v>
      </c>
    </row>
    <row r="34" spans="1:2" ht="11.25">
      <c r="A34" s="11" t="s">
        <v>32</v>
      </c>
      <c r="B34" s="2">
        <v>11</v>
      </c>
    </row>
    <row r="35" spans="1:2" ht="11.25">
      <c r="A35" s="11" t="s">
        <v>23</v>
      </c>
      <c r="B35" s="2">
        <v>1</v>
      </c>
    </row>
    <row r="36" spans="1:4" ht="11.25">
      <c r="A36" s="11" t="s">
        <v>24</v>
      </c>
      <c r="B36" s="7"/>
      <c r="C36" s="7">
        <v>57.6</v>
      </c>
      <c r="D36" s="62">
        <f>B31-C36</f>
        <v>98.4</v>
      </c>
    </row>
    <row r="37" spans="1:13" ht="11.25">
      <c r="A37" s="11" t="s">
        <v>31</v>
      </c>
      <c r="B37" s="7"/>
      <c r="C37" s="7"/>
      <c r="D37" s="7"/>
      <c r="F37" s="13">
        <f aca="true" t="shared" si="0" ref="F37:M37">(100/8)%</f>
        <v>0.125</v>
      </c>
      <c r="G37" s="13">
        <f t="shared" si="0"/>
        <v>0.125</v>
      </c>
      <c r="H37" s="13">
        <f t="shared" si="0"/>
        <v>0.125</v>
      </c>
      <c r="I37" s="13">
        <f t="shared" si="0"/>
        <v>0.125</v>
      </c>
      <c r="J37" s="13">
        <f t="shared" si="0"/>
        <v>0.125</v>
      </c>
      <c r="K37" s="13">
        <f t="shared" si="0"/>
        <v>0.125</v>
      </c>
      <c r="L37" s="13">
        <f t="shared" si="0"/>
        <v>0.125</v>
      </c>
      <c r="M37" s="13">
        <f t="shared" si="0"/>
        <v>0.125</v>
      </c>
    </row>
    <row r="38" spans="1:4" ht="11.25">
      <c r="A38" s="1" t="s">
        <v>143</v>
      </c>
      <c r="B38" s="7">
        <f>B20-B29-B36</f>
        <v>34.7</v>
      </c>
      <c r="C38" s="7">
        <f>C20-C29-C36</f>
        <v>59.6</v>
      </c>
      <c r="D38" s="7">
        <f>D20-D29-D36</f>
        <v>24.5</v>
      </c>
    </row>
    <row r="39" spans="1:4" ht="11.25">
      <c r="A39" s="1" t="s">
        <v>59</v>
      </c>
      <c r="B39" s="8"/>
      <c r="C39" s="8"/>
      <c r="D39" s="8"/>
    </row>
    <row r="40" spans="1:4" ht="10.5">
      <c r="A40" s="18" t="s">
        <v>56</v>
      </c>
      <c r="B40" s="19">
        <f>1-B41-B42</f>
        <v>0.5</v>
      </c>
      <c r="C40" s="8"/>
      <c r="D40" s="8"/>
    </row>
    <row r="41" spans="1:4" ht="10.5">
      <c r="A41" s="18" t="s">
        <v>57</v>
      </c>
      <c r="B41" s="19">
        <v>0.45</v>
      </c>
      <c r="C41" s="8"/>
      <c r="D41" s="8"/>
    </row>
    <row r="42" spans="1:4" ht="10.5">
      <c r="A42" s="18" t="s">
        <v>58</v>
      </c>
      <c r="B42" s="19">
        <v>0.05</v>
      </c>
      <c r="C42" s="8"/>
      <c r="D42" s="8"/>
    </row>
    <row r="43" spans="1:4" ht="10.5">
      <c r="A43" s="21" t="s">
        <v>60</v>
      </c>
      <c r="B43" s="7">
        <f>B19</f>
        <v>409.97094284800005</v>
      </c>
      <c r="C43" s="13">
        <f aca="true" t="shared" si="1" ref="C43:C50">B43/$B$43</f>
        <v>1</v>
      </c>
      <c r="D43" s="7"/>
    </row>
    <row r="44" spans="1:4" ht="10.5">
      <c r="A44" s="18" t="s">
        <v>25</v>
      </c>
      <c r="B44" s="7">
        <f>B43-B48</f>
        <v>122.64146560000006</v>
      </c>
      <c r="C44" s="13">
        <f t="shared" si="1"/>
        <v>0.29914672671197173</v>
      </c>
      <c r="D44" s="59"/>
    </row>
    <row r="45" spans="1:4" ht="10.5">
      <c r="A45" s="22" t="s">
        <v>56</v>
      </c>
      <c r="B45" s="7">
        <f>$B$44*B40</f>
        <v>61.32073280000003</v>
      </c>
      <c r="C45" s="13">
        <f t="shared" si="1"/>
        <v>0.14957336335598587</v>
      </c>
      <c r="D45" s="7"/>
    </row>
    <row r="46" spans="1:4" ht="10.5">
      <c r="A46" s="22" t="s">
        <v>57</v>
      </c>
      <c r="B46" s="7">
        <f>$B$44*B41</f>
        <v>55.18865952000003</v>
      </c>
      <c r="C46" s="13">
        <f t="shared" si="1"/>
        <v>0.1346160270203873</v>
      </c>
      <c r="D46" s="8"/>
    </row>
    <row r="47" spans="1:4" ht="10.5">
      <c r="A47" s="22" t="s">
        <v>58</v>
      </c>
      <c r="B47" s="7">
        <f>$B$44*B42</f>
        <v>6.132073280000004</v>
      </c>
      <c r="C47" s="13">
        <f t="shared" si="1"/>
        <v>0.014957336335598589</v>
      </c>
      <c r="D47" s="8"/>
    </row>
    <row r="48" spans="1:4" ht="10.5">
      <c r="A48" s="18" t="s">
        <v>61</v>
      </c>
      <c r="B48" s="7">
        <f>B49+B50</f>
        <v>287.329477248</v>
      </c>
      <c r="C48" s="13">
        <f t="shared" si="1"/>
        <v>0.7008532732880283</v>
      </c>
      <c r="D48" s="8"/>
    </row>
    <row r="49" spans="1:4" ht="10.5">
      <c r="A49" s="22" t="s">
        <v>62</v>
      </c>
      <c r="B49" s="7">
        <f>D89</f>
        <v>126.64659724800002</v>
      </c>
      <c r="C49" s="13">
        <f t="shared" si="1"/>
        <v>0.3089160328490774</v>
      </c>
      <c r="D49" s="8"/>
    </row>
    <row r="50" spans="1:4" ht="10.5">
      <c r="A50" s="22" t="s">
        <v>63</v>
      </c>
      <c r="B50" s="7">
        <f>D97</f>
        <v>160.68287999999998</v>
      </c>
      <c r="C50" s="13">
        <f t="shared" si="1"/>
        <v>0.3919372404389509</v>
      </c>
      <c r="D50" s="8"/>
    </row>
    <row r="51" ht="11.25">
      <c r="A51" s="15" t="s">
        <v>138</v>
      </c>
    </row>
    <row r="52" spans="1:2" ht="10.5">
      <c r="A52" s="2" t="s">
        <v>1</v>
      </c>
      <c r="B52" s="2">
        <v>700</v>
      </c>
    </row>
    <row r="53" spans="1:2" ht="10.5">
      <c r="A53" s="2" t="s">
        <v>2</v>
      </c>
      <c r="B53" s="4">
        <v>0.9</v>
      </c>
    </row>
    <row r="54" spans="1:2" ht="10.5">
      <c r="A54" s="2" t="s">
        <v>144</v>
      </c>
      <c r="B54" s="111">
        <v>0.75</v>
      </c>
    </row>
    <row r="55" spans="1:2" ht="10.5">
      <c r="A55" s="2" t="s">
        <v>15</v>
      </c>
      <c r="B55" s="91">
        <f>B54*365*24</f>
        <v>6570</v>
      </c>
    </row>
    <row r="56" spans="1:3" ht="10.5">
      <c r="A56" s="2" t="s">
        <v>17</v>
      </c>
      <c r="B56" s="92">
        <f>B52*1000*B55/10^6</f>
        <v>4599</v>
      </c>
      <c r="C56" s="109"/>
    </row>
    <row r="57" spans="1:2" ht="10.5">
      <c r="A57" s="2" t="s">
        <v>45</v>
      </c>
      <c r="B57" s="5">
        <v>6200</v>
      </c>
    </row>
    <row r="58" spans="1:24" ht="10.5">
      <c r="A58" s="2" t="s">
        <v>131</v>
      </c>
      <c r="B58" s="70">
        <v>8.5</v>
      </c>
      <c r="D58" s="6"/>
      <c r="E58" s="6">
        <f aca="true" t="shared" si="2" ref="E58:X58">$B$58</f>
        <v>8.5</v>
      </c>
      <c r="F58" s="6">
        <f t="shared" si="2"/>
        <v>8.5</v>
      </c>
      <c r="G58" s="6">
        <f t="shared" si="2"/>
        <v>8.5</v>
      </c>
      <c r="H58" s="6">
        <f t="shared" si="2"/>
        <v>8.5</v>
      </c>
      <c r="I58" s="6">
        <f t="shared" si="2"/>
        <v>8.5</v>
      </c>
      <c r="J58" s="6">
        <f t="shared" si="2"/>
        <v>8.5</v>
      </c>
      <c r="K58" s="6">
        <f t="shared" si="2"/>
        <v>8.5</v>
      </c>
      <c r="L58" s="6">
        <f t="shared" si="2"/>
        <v>8.5</v>
      </c>
      <c r="M58" s="6">
        <f t="shared" si="2"/>
        <v>8.5</v>
      </c>
      <c r="N58" s="6">
        <f t="shared" si="2"/>
        <v>8.5</v>
      </c>
      <c r="O58" s="6">
        <f t="shared" si="2"/>
        <v>8.5</v>
      </c>
      <c r="P58" s="6">
        <f t="shared" si="2"/>
        <v>8.5</v>
      </c>
      <c r="Q58" s="6">
        <f t="shared" si="2"/>
        <v>8.5</v>
      </c>
      <c r="R58" s="6">
        <f t="shared" si="2"/>
        <v>8.5</v>
      </c>
      <c r="S58" s="6">
        <f t="shared" si="2"/>
        <v>8.5</v>
      </c>
      <c r="T58" s="6">
        <f t="shared" si="2"/>
        <v>8.5</v>
      </c>
      <c r="U58" s="6">
        <f t="shared" si="2"/>
        <v>8.5</v>
      </c>
      <c r="V58" s="6">
        <f t="shared" si="2"/>
        <v>8.5</v>
      </c>
      <c r="W58" s="6">
        <f t="shared" si="2"/>
        <v>8.5</v>
      </c>
      <c r="X58" s="6">
        <f t="shared" si="2"/>
        <v>8.5</v>
      </c>
    </row>
    <row r="59" spans="1:2" ht="10.5">
      <c r="A59" s="2" t="s">
        <v>16</v>
      </c>
      <c r="B59" s="12">
        <v>9.5</v>
      </c>
    </row>
    <row r="60" spans="1:2" ht="10.5">
      <c r="A60" s="2" t="s">
        <v>44</v>
      </c>
      <c r="B60" s="93">
        <f>B59*B57/10^6*100</f>
        <v>5.89</v>
      </c>
    </row>
    <row r="61" spans="1:2" ht="10.5">
      <c r="A61" s="2" t="s">
        <v>19</v>
      </c>
      <c r="B61" s="7">
        <v>1.15</v>
      </c>
    </row>
    <row r="62" spans="1:2" ht="10.5">
      <c r="A62" s="2" t="s">
        <v>18</v>
      </c>
      <c r="B62" s="90">
        <f>B61*B52*1000*12/10^6</f>
        <v>9.659999999999998</v>
      </c>
    </row>
    <row r="63" spans="1:2" ht="10.5">
      <c r="A63" s="2" t="s">
        <v>20</v>
      </c>
      <c r="B63" s="2">
        <v>0.2</v>
      </c>
    </row>
    <row r="64" spans="1:24" ht="11.25">
      <c r="A64" s="2" t="s">
        <v>41</v>
      </c>
      <c r="B64" s="8"/>
      <c r="E64" s="20">
        <v>9.07</v>
      </c>
      <c r="F64" s="20">
        <v>6</v>
      </c>
      <c r="G64" s="20">
        <v>37.54</v>
      </c>
      <c r="H64" s="20">
        <v>6.3</v>
      </c>
      <c r="I64" s="20">
        <v>16.46</v>
      </c>
      <c r="J64" s="20">
        <v>28.02</v>
      </c>
      <c r="K64" s="20">
        <v>20.91</v>
      </c>
      <c r="L64" s="20">
        <v>9.8</v>
      </c>
      <c r="M64" s="20">
        <v>18.53</v>
      </c>
      <c r="N64" s="20">
        <v>10.98</v>
      </c>
      <c r="O64" s="20">
        <v>10.55</v>
      </c>
      <c r="P64" s="20">
        <v>21.64</v>
      </c>
      <c r="Q64" s="20">
        <v>12.05</v>
      </c>
      <c r="R64" s="20">
        <v>11.37</v>
      </c>
      <c r="S64" s="20">
        <v>24.9</v>
      </c>
      <c r="T64" s="20">
        <v>15.13</v>
      </c>
      <c r="U64" s="20">
        <v>12.24</v>
      </c>
      <c r="V64" s="20">
        <v>23.61</v>
      </c>
      <c r="W64" s="20">
        <v>10.22</v>
      </c>
      <c r="X64" s="20">
        <v>12.94</v>
      </c>
    </row>
    <row r="65" spans="1:24" ht="11.25">
      <c r="A65" s="2" t="s">
        <v>139</v>
      </c>
      <c r="B65" s="19">
        <v>0.01</v>
      </c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</row>
    <row r="66" spans="1:24" ht="11.25">
      <c r="A66" s="2" t="s">
        <v>140</v>
      </c>
      <c r="B66" s="19">
        <v>0.03</v>
      </c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</row>
    <row r="67" ht="10.5">
      <c r="A67" s="9" t="s">
        <v>149</v>
      </c>
    </row>
    <row r="68" spans="1:2" ht="10.5">
      <c r="A68" s="2" t="s">
        <v>43</v>
      </c>
      <c r="B68" s="4">
        <v>0.25</v>
      </c>
    </row>
    <row r="69" spans="1:2" ht="10.5">
      <c r="A69" s="2" t="s">
        <v>113</v>
      </c>
      <c r="B69" s="4">
        <v>0.05</v>
      </c>
    </row>
    <row r="70" ht="10.5">
      <c r="B70" s="4"/>
    </row>
    <row r="71" spans="1:2" ht="10.5">
      <c r="A71" s="2" t="s">
        <v>203</v>
      </c>
      <c r="B71" s="108">
        <v>0</v>
      </c>
    </row>
    <row r="72" spans="1:2" ht="10.5">
      <c r="A72" s="2" t="s">
        <v>204</v>
      </c>
      <c r="B72" s="108">
        <v>3</v>
      </c>
    </row>
    <row r="73" spans="1:2" ht="10.5">
      <c r="A73" s="2" t="s">
        <v>205</v>
      </c>
      <c r="B73" s="4">
        <v>0</v>
      </c>
    </row>
    <row r="74" spans="1:2" ht="10.5">
      <c r="A74" s="2" t="s">
        <v>206</v>
      </c>
      <c r="B74" s="108">
        <v>0</v>
      </c>
    </row>
    <row r="75" spans="1:2" ht="10.5">
      <c r="A75" s="2" t="s">
        <v>205</v>
      </c>
      <c r="B75" s="4">
        <v>0.25</v>
      </c>
    </row>
    <row r="76" ht="10.5"/>
    <row r="77" ht="10.5">
      <c r="A77" s="9" t="s">
        <v>55</v>
      </c>
    </row>
    <row r="78" spans="1:24" ht="10.5">
      <c r="A78" s="16" t="s">
        <v>187</v>
      </c>
      <c r="B78" s="2">
        <v>1</v>
      </c>
      <c r="C78" s="14">
        <f aca="true" t="shared" si="3" ref="C78:X78">B78*(1+$B5)</f>
        <v>1.068</v>
      </c>
      <c r="D78" s="14">
        <f t="shared" si="3"/>
        <v>1.140624</v>
      </c>
      <c r="E78" s="14">
        <f t="shared" si="3"/>
        <v>1.2181864320000002</v>
      </c>
      <c r="F78" s="14">
        <f t="shared" si="3"/>
        <v>1.3010231093760003</v>
      </c>
      <c r="G78" s="14">
        <f t="shared" si="3"/>
        <v>1.3894926808135684</v>
      </c>
      <c r="H78" s="14">
        <f t="shared" si="3"/>
        <v>1.4839781831088912</v>
      </c>
      <c r="I78" s="14">
        <f t="shared" si="3"/>
        <v>1.5848886995602958</v>
      </c>
      <c r="J78" s="14">
        <f t="shared" si="3"/>
        <v>1.692661131130396</v>
      </c>
      <c r="K78" s="14">
        <f t="shared" si="3"/>
        <v>1.8077620880472631</v>
      </c>
      <c r="L78" s="14">
        <f t="shared" si="3"/>
        <v>1.9306899100344772</v>
      </c>
      <c r="M78" s="14">
        <f t="shared" si="3"/>
        <v>2.061976823916822</v>
      </c>
      <c r="N78" s="14">
        <f t="shared" si="3"/>
        <v>2.202191247943166</v>
      </c>
      <c r="O78" s="14">
        <f t="shared" si="3"/>
        <v>2.3519402528033013</v>
      </c>
      <c r="P78" s="14">
        <f t="shared" si="3"/>
        <v>2.511872189993926</v>
      </c>
      <c r="Q78" s="14">
        <f t="shared" si="3"/>
        <v>2.682679498913513</v>
      </c>
      <c r="R78" s="14">
        <f t="shared" si="3"/>
        <v>2.865101704839632</v>
      </c>
      <c r="S78" s="14">
        <f t="shared" si="3"/>
        <v>3.0599286207687273</v>
      </c>
      <c r="T78" s="14">
        <f t="shared" si="3"/>
        <v>3.268003766981001</v>
      </c>
      <c r="U78" s="14">
        <f t="shared" si="3"/>
        <v>3.4902280231357095</v>
      </c>
      <c r="V78" s="14">
        <f t="shared" si="3"/>
        <v>3.727563528708938</v>
      </c>
      <c r="W78" s="14">
        <f t="shared" si="3"/>
        <v>3.981037848661146</v>
      </c>
      <c r="X78" s="14">
        <f t="shared" si="3"/>
        <v>4.251748422370104</v>
      </c>
    </row>
    <row r="79" spans="1:25" ht="10.5">
      <c r="A79" s="16" t="s">
        <v>127</v>
      </c>
      <c r="B79" s="2">
        <v>1</v>
      </c>
      <c r="C79" s="14">
        <f aca="true" t="shared" si="4" ref="C79:X79">B79*(1+$B6)</f>
        <v>1.008</v>
      </c>
      <c r="D79" s="14">
        <f t="shared" si="4"/>
        <v>1.016064</v>
      </c>
      <c r="E79" s="14">
        <f t="shared" si="4"/>
        <v>1.0241925120000002</v>
      </c>
      <c r="F79" s="14">
        <f t="shared" si="4"/>
        <v>1.0323860520960002</v>
      </c>
      <c r="G79" s="14">
        <f t="shared" si="4"/>
        <v>1.0406451405127681</v>
      </c>
      <c r="H79" s="14">
        <f t="shared" si="4"/>
        <v>1.0489703016368703</v>
      </c>
      <c r="I79" s="14">
        <f t="shared" si="4"/>
        <v>1.0573620640499652</v>
      </c>
      <c r="J79" s="14">
        <f t="shared" si="4"/>
        <v>1.065820960562365</v>
      </c>
      <c r="K79" s="14">
        <f t="shared" si="4"/>
        <v>1.074347528246864</v>
      </c>
      <c r="L79" s="14">
        <f t="shared" si="4"/>
        <v>1.082942308472839</v>
      </c>
      <c r="M79" s="14">
        <f t="shared" si="4"/>
        <v>1.0916058469406216</v>
      </c>
      <c r="N79" s="14">
        <f t="shared" si="4"/>
        <v>1.1003386937161466</v>
      </c>
      <c r="O79" s="14">
        <f t="shared" si="4"/>
        <v>1.1091414032658757</v>
      </c>
      <c r="P79" s="14">
        <f t="shared" si="4"/>
        <v>1.1180145344920027</v>
      </c>
      <c r="Q79" s="14">
        <f t="shared" si="4"/>
        <v>1.1269586507679388</v>
      </c>
      <c r="R79" s="14">
        <f t="shared" si="4"/>
        <v>1.1359743199740824</v>
      </c>
      <c r="S79" s="14">
        <f t="shared" si="4"/>
        <v>1.145062114533875</v>
      </c>
      <c r="T79" s="14">
        <f t="shared" si="4"/>
        <v>1.1542226114501462</v>
      </c>
      <c r="U79" s="14">
        <f t="shared" si="4"/>
        <v>1.1634563923417474</v>
      </c>
      <c r="V79" s="14">
        <f t="shared" si="4"/>
        <v>1.1727640434804814</v>
      </c>
      <c r="W79" s="14">
        <f t="shared" si="4"/>
        <v>1.1821461558283253</v>
      </c>
      <c r="X79" s="14">
        <f t="shared" si="4"/>
        <v>1.1916033250749518</v>
      </c>
      <c r="Y79" s="14"/>
    </row>
    <row r="80" spans="1:25" ht="10.5">
      <c r="A80" s="16" t="s">
        <v>188</v>
      </c>
      <c r="B80" s="10">
        <f>B7</f>
        <v>18000</v>
      </c>
      <c r="C80" s="10">
        <f>$B$80*C78/C79</f>
        <v>19071.428571428572</v>
      </c>
      <c r="D80" s="10">
        <f aca="true" t="shared" si="5" ref="D80:X80">$B$80*D78/D79</f>
        <v>20206.632653061224</v>
      </c>
      <c r="E80" s="10">
        <f t="shared" si="5"/>
        <v>21409.40840621963</v>
      </c>
      <c r="F80" s="10">
        <f t="shared" si="5"/>
        <v>22683.777954208894</v>
      </c>
      <c r="G80" s="10">
        <f t="shared" si="5"/>
        <v>24034.002832435617</v>
      </c>
      <c r="H80" s="10">
        <f t="shared" si="5"/>
        <v>25464.598239128216</v>
      </c>
      <c r="I80" s="10">
        <f t="shared" si="5"/>
        <v>26980.34813431442</v>
      </c>
      <c r="J80" s="10">
        <f t="shared" si="5"/>
        <v>28586.32123754742</v>
      </c>
      <c r="K80" s="10">
        <f t="shared" si="5"/>
        <v>30287.887977877628</v>
      </c>
      <c r="L80" s="10">
        <f t="shared" si="5"/>
        <v>32090.7384527513</v>
      </c>
      <c r="M80" s="10">
        <f t="shared" si="5"/>
        <v>34000.90145589127</v>
      </c>
      <c r="N80" s="10">
        <f t="shared" si="5"/>
        <v>36024.76463778955</v>
      </c>
      <c r="O80" s="10">
        <f t="shared" si="5"/>
        <v>38169.09586622941</v>
      </c>
      <c r="P80" s="10">
        <f t="shared" si="5"/>
        <v>40441.06585826687</v>
      </c>
      <c r="Q80" s="10">
        <f t="shared" si="5"/>
        <v>42848.272159354194</v>
      </c>
      <c r="R80" s="10">
        <f t="shared" si="5"/>
        <v>45398.76454979194</v>
      </c>
      <c r="S80" s="10">
        <f t="shared" si="5"/>
        <v>48101.07196347003</v>
      </c>
      <c r="T80" s="10">
        <f t="shared" si="5"/>
        <v>50964.231008914685</v>
      </c>
      <c r="U80" s="10">
        <f t="shared" si="5"/>
        <v>53997.81618801675</v>
      </c>
      <c r="V80" s="10">
        <f t="shared" si="5"/>
        <v>57211.971913493944</v>
      </c>
      <c r="W80" s="10">
        <f t="shared" si="5"/>
        <v>60617.44643215429</v>
      </c>
      <c r="X80" s="10">
        <f t="shared" si="5"/>
        <v>64225.62776740159</v>
      </c>
      <c r="Y80" s="10"/>
    </row>
    <row r="81" spans="1:25" ht="10.5">
      <c r="A81" s="9" t="s">
        <v>0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0.5">
      <c r="A82" s="16" t="s">
        <v>115</v>
      </c>
      <c r="B82" s="71">
        <f>B20*B79</f>
        <v>38.5</v>
      </c>
      <c r="C82" s="71">
        <f>C20*C79</f>
        <v>235.2672</v>
      </c>
      <c r="D82" s="71">
        <f>D20*D79</f>
        <v>124.87426560000002</v>
      </c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4" ht="10.5">
      <c r="A83" s="9" t="s">
        <v>34</v>
      </c>
      <c r="B83" s="7"/>
      <c r="C83" s="7"/>
      <c r="D83" s="7"/>
    </row>
    <row r="84" spans="1:15" ht="10.5">
      <c r="A84" s="2" t="s">
        <v>26</v>
      </c>
      <c r="B84" s="6">
        <v>0</v>
      </c>
      <c r="C84" s="6">
        <f aca="true" t="shared" si="6" ref="C84:O84">B89</f>
        <v>3.8</v>
      </c>
      <c r="D84" s="6">
        <f t="shared" si="6"/>
        <v>120.20368</v>
      </c>
      <c r="E84" s="14">
        <f t="shared" si="6"/>
        <v>126.64659724800002</v>
      </c>
      <c r="F84" s="6">
        <f t="shared" si="6"/>
        <v>126.64659724800002</v>
      </c>
      <c r="G84" s="6">
        <f t="shared" si="6"/>
        <v>120.31426738560002</v>
      </c>
      <c r="H84" s="6">
        <f t="shared" si="6"/>
        <v>113.98193752320002</v>
      </c>
      <c r="I84" s="6">
        <f t="shared" si="6"/>
        <v>107.64960766080002</v>
      </c>
      <c r="J84" s="6">
        <f t="shared" si="6"/>
        <v>94.98494793600001</v>
      </c>
      <c r="K84" s="6">
        <f t="shared" si="6"/>
        <v>82.32028821120001</v>
      </c>
      <c r="L84" s="6">
        <f t="shared" si="6"/>
        <v>69.6556284864</v>
      </c>
      <c r="M84" s="6">
        <f t="shared" si="6"/>
        <v>56.9909687616</v>
      </c>
      <c r="N84" s="6">
        <f t="shared" si="6"/>
        <v>37.993979174399996</v>
      </c>
      <c r="O84" s="6">
        <f t="shared" si="6"/>
        <v>18.996989587199995</v>
      </c>
    </row>
    <row r="85" spans="1:15" ht="10.5">
      <c r="A85" s="2" t="s">
        <v>24</v>
      </c>
      <c r="B85" s="6">
        <f aca="true" t="shared" si="7" ref="B85:O85">B29</f>
        <v>3.8</v>
      </c>
      <c r="C85" s="6">
        <f t="shared" si="7"/>
        <v>116.2</v>
      </c>
      <c r="D85" s="6">
        <f t="shared" si="7"/>
        <v>0</v>
      </c>
      <c r="E85" s="6">
        <f t="shared" si="7"/>
        <v>0</v>
      </c>
      <c r="F85" s="6">
        <f t="shared" si="7"/>
        <v>0</v>
      </c>
      <c r="G85" s="6">
        <f t="shared" si="7"/>
        <v>0</v>
      </c>
      <c r="H85" s="6">
        <f t="shared" si="7"/>
        <v>0</v>
      </c>
      <c r="I85" s="6">
        <f t="shared" si="7"/>
        <v>0</v>
      </c>
      <c r="J85" s="6">
        <f t="shared" si="7"/>
        <v>0</v>
      </c>
      <c r="K85" s="6">
        <f t="shared" si="7"/>
        <v>0</v>
      </c>
      <c r="L85" s="6">
        <f t="shared" si="7"/>
        <v>0</v>
      </c>
      <c r="M85" s="6">
        <f t="shared" si="7"/>
        <v>0</v>
      </c>
      <c r="N85" s="6">
        <f t="shared" si="7"/>
        <v>0</v>
      </c>
      <c r="O85" s="6">
        <f t="shared" si="7"/>
        <v>0</v>
      </c>
    </row>
    <row r="86" spans="1:15" ht="10.5">
      <c r="A86" s="2" t="s">
        <v>27</v>
      </c>
      <c r="B86" s="6">
        <v>0</v>
      </c>
      <c r="C86" s="6">
        <v>0</v>
      </c>
      <c r="D86" s="6">
        <v>0</v>
      </c>
      <c r="E86" s="6">
        <f aca="true" t="shared" si="8" ref="E86:O86">E84*$B$25</f>
        <v>6.788257612492813</v>
      </c>
      <c r="F86" s="6">
        <f t="shared" si="8"/>
        <v>6.788257612492813</v>
      </c>
      <c r="G86" s="6">
        <f t="shared" si="8"/>
        <v>6.448844731868172</v>
      </c>
      <c r="H86" s="6">
        <f t="shared" si="8"/>
        <v>6.1094318512435315</v>
      </c>
      <c r="I86" s="6">
        <f t="shared" si="8"/>
        <v>5.7700189706188905</v>
      </c>
      <c r="J86" s="6">
        <f t="shared" si="8"/>
        <v>5.091193209369609</v>
      </c>
      <c r="K86" s="6">
        <f t="shared" si="8"/>
        <v>4.412367448120328</v>
      </c>
      <c r="L86" s="6">
        <f t="shared" si="8"/>
        <v>3.7335416868710465</v>
      </c>
      <c r="M86" s="6">
        <f t="shared" si="8"/>
        <v>3.0547159256217653</v>
      </c>
      <c r="N86" s="6">
        <f t="shared" si="8"/>
        <v>2.036477283747843</v>
      </c>
      <c r="O86" s="6">
        <f t="shared" si="8"/>
        <v>1.0182386418739215</v>
      </c>
    </row>
    <row r="87" spans="1:15" ht="10.5">
      <c r="A87" s="2" t="s">
        <v>64</v>
      </c>
      <c r="B87" s="6">
        <f>B84*$B$25</f>
        <v>0</v>
      </c>
      <c r="C87" s="6">
        <f>C84*$B$25</f>
        <v>0.20368000000000033</v>
      </c>
      <c r="D87" s="6">
        <f>D84*$B$25</f>
        <v>6.442917248000011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0.5">
      <c r="A88" s="2" t="s">
        <v>28</v>
      </c>
      <c r="B88" s="6">
        <v>0</v>
      </c>
      <c r="C88" s="6">
        <v>0</v>
      </c>
      <c r="D88" s="6">
        <v>0</v>
      </c>
      <c r="E88" s="6">
        <v>0</v>
      </c>
      <c r="F88" s="6">
        <f aca="true" t="shared" si="9" ref="F88:O88">$D$89*F$30</f>
        <v>6.332329862400002</v>
      </c>
      <c r="G88" s="6">
        <f t="shared" si="9"/>
        <v>6.332329862400002</v>
      </c>
      <c r="H88" s="6">
        <f t="shared" si="9"/>
        <v>6.332329862400002</v>
      </c>
      <c r="I88" s="6">
        <f t="shared" si="9"/>
        <v>12.664659724800003</v>
      </c>
      <c r="J88" s="6">
        <f t="shared" si="9"/>
        <v>12.664659724800003</v>
      </c>
      <c r="K88" s="6">
        <f t="shared" si="9"/>
        <v>12.664659724800003</v>
      </c>
      <c r="L88" s="6">
        <f t="shared" si="9"/>
        <v>12.664659724800003</v>
      </c>
      <c r="M88" s="6">
        <f t="shared" si="9"/>
        <v>18.9969895872</v>
      </c>
      <c r="N88" s="6">
        <f t="shared" si="9"/>
        <v>18.9969895872</v>
      </c>
      <c r="O88" s="6">
        <f t="shared" si="9"/>
        <v>18.9969895872</v>
      </c>
    </row>
    <row r="89" spans="1:15" ht="10.5">
      <c r="A89" s="2" t="s">
        <v>29</v>
      </c>
      <c r="B89" s="6">
        <f aca="true" t="shared" si="10" ref="B89:O89">B84+B85-B88+B87</f>
        <v>3.8</v>
      </c>
      <c r="C89" s="6">
        <f t="shared" si="10"/>
        <v>120.20368</v>
      </c>
      <c r="D89" s="6">
        <f t="shared" si="10"/>
        <v>126.64659724800002</v>
      </c>
      <c r="E89" s="6">
        <f t="shared" si="10"/>
        <v>126.64659724800002</v>
      </c>
      <c r="F89" s="6">
        <f t="shared" si="10"/>
        <v>120.31426738560002</v>
      </c>
      <c r="G89" s="6">
        <f t="shared" si="10"/>
        <v>113.98193752320002</v>
      </c>
      <c r="H89" s="6">
        <f t="shared" si="10"/>
        <v>107.64960766080002</v>
      </c>
      <c r="I89" s="6">
        <f t="shared" si="10"/>
        <v>94.98494793600001</v>
      </c>
      <c r="J89" s="6">
        <f t="shared" si="10"/>
        <v>82.32028821120001</v>
      </c>
      <c r="K89" s="6">
        <f t="shared" si="10"/>
        <v>69.6556284864</v>
      </c>
      <c r="L89" s="6">
        <f t="shared" si="10"/>
        <v>56.9909687616</v>
      </c>
      <c r="M89" s="6">
        <f t="shared" si="10"/>
        <v>37.993979174399996</v>
      </c>
      <c r="N89" s="6">
        <f t="shared" si="10"/>
        <v>18.996989587199995</v>
      </c>
      <c r="O89" s="6">
        <f t="shared" si="10"/>
        <v>-7.105427357601002E-15</v>
      </c>
    </row>
    <row r="90" spans="1:17" ht="10.5">
      <c r="A90" s="2" t="s">
        <v>47</v>
      </c>
      <c r="B90" s="6">
        <f aca="true" t="shared" si="11" ref="B90:O90">B85-B86-B88</f>
        <v>3.8</v>
      </c>
      <c r="C90" s="6">
        <f t="shared" si="11"/>
        <v>116.2</v>
      </c>
      <c r="D90" s="6">
        <f t="shared" si="11"/>
        <v>0</v>
      </c>
      <c r="E90" s="6">
        <f t="shared" si="11"/>
        <v>-6.788257612492813</v>
      </c>
      <c r="F90" s="6">
        <f t="shared" si="11"/>
        <v>-13.120587474892815</v>
      </c>
      <c r="G90" s="6">
        <f t="shared" si="11"/>
        <v>-12.781174594268172</v>
      </c>
      <c r="H90" s="6">
        <f t="shared" si="11"/>
        <v>-12.441761713643533</v>
      </c>
      <c r="I90" s="6">
        <f t="shared" si="11"/>
        <v>-18.434678695418896</v>
      </c>
      <c r="J90" s="6">
        <f t="shared" si="11"/>
        <v>-17.755852934169614</v>
      </c>
      <c r="K90" s="6">
        <f t="shared" si="11"/>
        <v>-17.07702717292033</v>
      </c>
      <c r="L90" s="6">
        <f t="shared" si="11"/>
        <v>-16.39820141167105</v>
      </c>
      <c r="M90" s="6">
        <f t="shared" si="11"/>
        <v>-22.051705512821766</v>
      </c>
      <c r="N90" s="6">
        <f t="shared" si="11"/>
        <v>-21.033466870947844</v>
      </c>
      <c r="O90" s="6">
        <f t="shared" si="11"/>
        <v>-20.015228229073923</v>
      </c>
      <c r="P90" s="3"/>
      <c r="Q90" s="3"/>
    </row>
    <row r="91" spans="1:2" ht="10.5">
      <c r="A91" s="9" t="s">
        <v>35</v>
      </c>
      <c r="B91" s="3"/>
    </row>
    <row r="92" spans="1:15" ht="10.5">
      <c r="A92" s="2" t="s">
        <v>26</v>
      </c>
      <c r="B92" s="6">
        <v>0</v>
      </c>
      <c r="C92" s="6">
        <f aca="true" t="shared" si="12" ref="C92:M92">B97</f>
        <v>0</v>
      </c>
      <c r="D92" s="6">
        <f t="shared" si="12"/>
        <v>57.6</v>
      </c>
      <c r="E92" s="14">
        <f t="shared" si="12"/>
        <v>160.68287999999998</v>
      </c>
      <c r="F92" s="6">
        <f t="shared" si="12"/>
        <v>160.68287999999998</v>
      </c>
      <c r="G92" s="6">
        <f t="shared" si="12"/>
        <v>140.59751999999997</v>
      </c>
      <c r="H92" s="6">
        <f t="shared" si="12"/>
        <v>120.51215999999998</v>
      </c>
      <c r="I92" s="6">
        <f t="shared" si="12"/>
        <v>100.42679999999999</v>
      </c>
      <c r="J92" s="6">
        <f t="shared" si="12"/>
        <v>80.34143999999999</v>
      </c>
      <c r="K92" s="6">
        <f t="shared" si="12"/>
        <v>60.25608</v>
      </c>
      <c r="L92" s="6">
        <f t="shared" si="12"/>
        <v>40.17072</v>
      </c>
      <c r="M92" s="6">
        <f t="shared" si="12"/>
        <v>20.085360000000005</v>
      </c>
      <c r="N92" s="12"/>
      <c r="O92" s="12"/>
    </row>
    <row r="93" spans="1:15" ht="10.5">
      <c r="A93" s="2" t="s">
        <v>24</v>
      </c>
      <c r="B93" s="6">
        <f aca="true" t="shared" si="13" ref="B93:M93">B36</f>
        <v>0</v>
      </c>
      <c r="C93" s="6">
        <f t="shared" si="13"/>
        <v>57.6</v>
      </c>
      <c r="D93" s="6">
        <f t="shared" si="13"/>
        <v>98.4</v>
      </c>
      <c r="E93" s="6">
        <f t="shared" si="13"/>
        <v>0</v>
      </c>
      <c r="F93" s="6">
        <f t="shared" si="13"/>
        <v>0</v>
      </c>
      <c r="G93" s="6">
        <f t="shared" si="13"/>
        <v>0</v>
      </c>
      <c r="H93" s="6">
        <f t="shared" si="13"/>
        <v>0</v>
      </c>
      <c r="I93" s="6">
        <f t="shared" si="13"/>
        <v>0</v>
      </c>
      <c r="J93" s="6">
        <f t="shared" si="13"/>
        <v>0</v>
      </c>
      <c r="K93" s="6">
        <f t="shared" si="13"/>
        <v>0</v>
      </c>
      <c r="L93" s="6">
        <f t="shared" si="13"/>
        <v>0</v>
      </c>
      <c r="M93" s="6">
        <f t="shared" si="13"/>
        <v>0</v>
      </c>
      <c r="N93" s="12"/>
      <c r="O93" s="12"/>
    </row>
    <row r="94" spans="1:15" ht="10.5">
      <c r="A94" s="2" t="s">
        <v>27</v>
      </c>
      <c r="B94" s="6">
        <v>0</v>
      </c>
      <c r="C94" s="6">
        <v>0</v>
      </c>
      <c r="D94" s="6">
        <v>0</v>
      </c>
      <c r="E94" s="6">
        <f aca="true" t="shared" si="14" ref="E94:M94">E92*$B$32</f>
        <v>13.063518143999987</v>
      </c>
      <c r="F94" s="6">
        <f t="shared" si="14"/>
        <v>13.063518143999987</v>
      </c>
      <c r="G94" s="6">
        <f t="shared" si="14"/>
        <v>11.430578375999987</v>
      </c>
      <c r="H94" s="6">
        <f t="shared" si="14"/>
        <v>9.797638607999989</v>
      </c>
      <c r="I94" s="6">
        <f t="shared" si="14"/>
        <v>8.164698839999991</v>
      </c>
      <c r="J94" s="6">
        <f t="shared" si="14"/>
        <v>6.531759071999994</v>
      </c>
      <c r="K94" s="6">
        <f t="shared" si="14"/>
        <v>4.898819303999995</v>
      </c>
      <c r="L94" s="6">
        <f t="shared" si="14"/>
        <v>3.2658795359999973</v>
      </c>
      <c r="M94" s="6">
        <f t="shared" si="14"/>
        <v>1.6329397679999988</v>
      </c>
      <c r="N94" s="12"/>
      <c r="O94" s="12"/>
    </row>
    <row r="95" spans="1:15" ht="10.5">
      <c r="A95" s="2" t="s">
        <v>64</v>
      </c>
      <c r="B95" s="6">
        <f>B92*$B$32</f>
        <v>0</v>
      </c>
      <c r="C95" s="6">
        <f>C92*$B$32</f>
        <v>0</v>
      </c>
      <c r="D95" s="6">
        <f>D92*$B$32</f>
        <v>4.682879999999996</v>
      </c>
      <c r="E95" s="6"/>
      <c r="F95" s="6"/>
      <c r="G95" s="6"/>
      <c r="H95" s="6"/>
      <c r="I95" s="6"/>
      <c r="J95" s="6"/>
      <c r="K95" s="6"/>
      <c r="L95" s="6"/>
      <c r="M95" s="6"/>
      <c r="N95" s="12"/>
      <c r="O95" s="12"/>
    </row>
    <row r="96" spans="1:15" ht="10.5">
      <c r="A96" s="2" t="s">
        <v>28</v>
      </c>
      <c r="B96" s="6">
        <f>$B$31*B37</f>
        <v>0</v>
      </c>
      <c r="C96" s="6">
        <f>$B$31*C37</f>
        <v>0</v>
      </c>
      <c r="D96" s="6">
        <f>$B$31*D37</f>
        <v>0</v>
      </c>
      <c r="E96" s="6">
        <f>$B$31*E37</f>
        <v>0</v>
      </c>
      <c r="F96" s="6">
        <f aca="true" t="shared" si="15" ref="F96:M96">$D$97*F37</f>
        <v>20.085359999999998</v>
      </c>
      <c r="G96" s="6">
        <f t="shared" si="15"/>
        <v>20.085359999999998</v>
      </c>
      <c r="H96" s="6">
        <f t="shared" si="15"/>
        <v>20.085359999999998</v>
      </c>
      <c r="I96" s="6">
        <f t="shared" si="15"/>
        <v>20.085359999999998</v>
      </c>
      <c r="J96" s="6">
        <f t="shared" si="15"/>
        <v>20.085359999999998</v>
      </c>
      <c r="K96" s="6">
        <f t="shared" si="15"/>
        <v>20.085359999999998</v>
      </c>
      <c r="L96" s="6">
        <f t="shared" si="15"/>
        <v>20.085359999999998</v>
      </c>
      <c r="M96" s="6">
        <f t="shared" si="15"/>
        <v>20.085359999999998</v>
      </c>
      <c r="N96" s="12"/>
      <c r="O96" s="12"/>
    </row>
    <row r="97" spans="1:15" ht="10.5">
      <c r="A97" s="2" t="s">
        <v>29</v>
      </c>
      <c r="B97" s="6">
        <f aca="true" t="shared" si="16" ref="B97:M97">B92+B93-B96+B95</f>
        <v>0</v>
      </c>
      <c r="C97" s="6">
        <f t="shared" si="16"/>
        <v>57.6</v>
      </c>
      <c r="D97" s="6">
        <f t="shared" si="16"/>
        <v>160.68287999999998</v>
      </c>
      <c r="E97" s="6">
        <f t="shared" si="16"/>
        <v>160.68287999999998</v>
      </c>
      <c r="F97" s="6">
        <f t="shared" si="16"/>
        <v>140.59751999999997</v>
      </c>
      <c r="G97" s="6">
        <f t="shared" si="16"/>
        <v>120.51215999999998</v>
      </c>
      <c r="H97" s="6">
        <f t="shared" si="16"/>
        <v>100.42679999999999</v>
      </c>
      <c r="I97" s="6">
        <f t="shared" si="16"/>
        <v>80.34143999999999</v>
      </c>
      <c r="J97" s="6">
        <f t="shared" si="16"/>
        <v>60.25608</v>
      </c>
      <c r="K97" s="6">
        <f t="shared" si="16"/>
        <v>40.17072</v>
      </c>
      <c r="L97" s="6">
        <f t="shared" si="16"/>
        <v>20.085360000000005</v>
      </c>
      <c r="M97" s="6">
        <f t="shared" si="16"/>
        <v>7.105427357601002E-15</v>
      </c>
      <c r="N97" s="12"/>
      <c r="O97" s="12"/>
    </row>
    <row r="98" spans="1:17" ht="10.5">
      <c r="A98" s="2" t="s">
        <v>47</v>
      </c>
      <c r="B98" s="6">
        <f aca="true" t="shared" si="17" ref="B98:M98">B93-B94-B96</f>
        <v>0</v>
      </c>
      <c r="C98" s="6">
        <f t="shared" si="17"/>
        <v>57.6</v>
      </c>
      <c r="D98" s="6">
        <f t="shared" si="17"/>
        <v>98.4</v>
      </c>
      <c r="E98" s="6">
        <f t="shared" si="17"/>
        <v>-13.063518143999987</v>
      </c>
      <c r="F98" s="6">
        <f t="shared" si="17"/>
        <v>-33.14887814399999</v>
      </c>
      <c r="G98" s="6">
        <f t="shared" si="17"/>
        <v>-31.515938375999987</v>
      </c>
      <c r="H98" s="6">
        <f t="shared" si="17"/>
        <v>-29.882998607999987</v>
      </c>
      <c r="I98" s="6">
        <f t="shared" si="17"/>
        <v>-28.250058839999987</v>
      </c>
      <c r="J98" s="6">
        <f t="shared" si="17"/>
        <v>-26.61711907199999</v>
      </c>
      <c r="K98" s="6">
        <f t="shared" si="17"/>
        <v>-24.984179303999994</v>
      </c>
      <c r="L98" s="6">
        <f t="shared" si="17"/>
        <v>-23.351239535999994</v>
      </c>
      <c r="M98" s="6">
        <f t="shared" si="17"/>
        <v>-21.718299767999998</v>
      </c>
      <c r="P98" s="3"/>
      <c r="Q98" s="3"/>
    </row>
    <row r="99" spans="1:13" ht="10.5">
      <c r="A99" s="9" t="s">
        <v>33</v>
      </c>
      <c r="B99" s="6">
        <f>B87+B95</f>
        <v>0</v>
      </c>
      <c r="C99" s="6">
        <f>C87+C95</f>
        <v>0.20368000000000033</v>
      </c>
      <c r="D99" s="6">
        <f>D87+D95</f>
        <v>11.125797248000008</v>
      </c>
      <c r="E99" s="12"/>
      <c r="F99" s="3"/>
      <c r="G99" s="3"/>
      <c r="H99" s="3"/>
      <c r="I99" s="3"/>
      <c r="J99" s="3"/>
      <c r="K99" s="3"/>
      <c r="L99" s="3"/>
      <c r="M99" s="3"/>
    </row>
    <row r="100" spans="2:13" ht="10.5">
      <c r="B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0.5">
      <c r="A101" s="9" t="s">
        <v>36</v>
      </c>
      <c r="B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24" ht="10.5">
      <c r="A102" s="2" t="s">
        <v>37</v>
      </c>
      <c r="B102" s="3"/>
      <c r="D102" s="3"/>
      <c r="E102" s="12">
        <f>$B$21</f>
        <v>409.97094284800005</v>
      </c>
      <c r="F102" s="12">
        <f aca="true" t="shared" si="18" ref="F102:X102">E104</f>
        <v>389.47239570560004</v>
      </c>
      <c r="G102" s="12">
        <f t="shared" si="18"/>
        <v>368.9738485632</v>
      </c>
      <c r="H102" s="12">
        <f t="shared" si="18"/>
        <v>348.4753014208</v>
      </c>
      <c r="I102" s="12">
        <f t="shared" si="18"/>
        <v>327.9767542784</v>
      </c>
      <c r="J102" s="12">
        <f t="shared" si="18"/>
        <v>307.478207136</v>
      </c>
      <c r="K102" s="12">
        <f t="shared" si="18"/>
        <v>286.97965999359997</v>
      </c>
      <c r="L102" s="12">
        <f t="shared" si="18"/>
        <v>266.48111285119995</v>
      </c>
      <c r="M102" s="12">
        <f t="shared" si="18"/>
        <v>245.98256570879994</v>
      </c>
      <c r="N102" s="12">
        <f t="shared" si="18"/>
        <v>225.48401856639993</v>
      </c>
      <c r="O102" s="12">
        <f t="shared" si="18"/>
        <v>204.9854714239999</v>
      </c>
      <c r="P102" s="12">
        <f t="shared" si="18"/>
        <v>184.4869242815999</v>
      </c>
      <c r="Q102" s="12">
        <f t="shared" si="18"/>
        <v>163.98837713919988</v>
      </c>
      <c r="R102" s="12">
        <f t="shared" si="18"/>
        <v>143.48982999679987</v>
      </c>
      <c r="S102" s="12">
        <f t="shared" si="18"/>
        <v>122.99128285439987</v>
      </c>
      <c r="T102" s="12">
        <f t="shared" si="18"/>
        <v>102.49273571199987</v>
      </c>
      <c r="U102" s="12">
        <f t="shared" si="18"/>
        <v>81.99418856959987</v>
      </c>
      <c r="V102" s="12">
        <f t="shared" si="18"/>
        <v>61.49564142719987</v>
      </c>
      <c r="W102" s="12">
        <f t="shared" si="18"/>
        <v>40.99709428479987</v>
      </c>
      <c r="X102" s="12">
        <f t="shared" si="18"/>
        <v>20.498547142399868</v>
      </c>
    </row>
    <row r="103" spans="1:24" ht="10.5">
      <c r="A103" s="2" t="s">
        <v>38</v>
      </c>
      <c r="B103" s="3"/>
      <c r="D103" s="3"/>
      <c r="E103" s="12">
        <f aca="true" t="shared" si="19" ref="E103:X103">$E$102/$B$22</f>
        <v>20.498547142400003</v>
      </c>
      <c r="F103" s="12">
        <f t="shared" si="19"/>
        <v>20.498547142400003</v>
      </c>
      <c r="G103" s="12">
        <f t="shared" si="19"/>
        <v>20.498547142400003</v>
      </c>
      <c r="H103" s="12">
        <f t="shared" si="19"/>
        <v>20.498547142400003</v>
      </c>
      <c r="I103" s="12">
        <f t="shared" si="19"/>
        <v>20.498547142400003</v>
      </c>
      <c r="J103" s="12">
        <f t="shared" si="19"/>
        <v>20.498547142400003</v>
      </c>
      <c r="K103" s="12">
        <f t="shared" si="19"/>
        <v>20.498547142400003</v>
      </c>
      <c r="L103" s="12">
        <f t="shared" si="19"/>
        <v>20.498547142400003</v>
      </c>
      <c r="M103" s="12">
        <f t="shared" si="19"/>
        <v>20.498547142400003</v>
      </c>
      <c r="N103" s="12">
        <f t="shared" si="19"/>
        <v>20.498547142400003</v>
      </c>
      <c r="O103" s="12">
        <f t="shared" si="19"/>
        <v>20.498547142400003</v>
      </c>
      <c r="P103" s="12">
        <f t="shared" si="19"/>
        <v>20.498547142400003</v>
      </c>
      <c r="Q103" s="12">
        <f t="shared" si="19"/>
        <v>20.498547142400003</v>
      </c>
      <c r="R103" s="12">
        <f t="shared" si="19"/>
        <v>20.498547142400003</v>
      </c>
      <c r="S103" s="12">
        <f t="shared" si="19"/>
        <v>20.498547142400003</v>
      </c>
      <c r="T103" s="12">
        <f t="shared" si="19"/>
        <v>20.498547142400003</v>
      </c>
      <c r="U103" s="12">
        <f t="shared" si="19"/>
        <v>20.498547142400003</v>
      </c>
      <c r="V103" s="12">
        <f t="shared" si="19"/>
        <v>20.498547142400003</v>
      </c>
      <c r="W103" s="12">
        <f t="shared" si="19"/>
        <v>20.498547142400003</v>
      </c>
      <c r="X103" s="12">
        <f t="shared" si="19"/>
        <v>20.498547142400003</v>
      </c>
    </row>
    <row r="104" spans="1:24" ht="10.5">
      <c r="A104" s="2" t="s">
        <v>39</v>
      </c>
      <c r="B104" s="3"/>
      <c r="D104" s="12"/>
      <c r="E104" s="12">
        <f aca="true" t="shared" si="20" ref="E104:X104">E102-E103</f>
        <v>389.47239570560004</v>
      </c>
      <c r="F104" s="12">
        <f t="shared" si="20"/>
        <v>368.9738485632</v>
      </c>
      <c r="G104" s="12">
        <f t="shared" si="20"/>
        <v>348.4753014208</v>
      </c>
      <c r="H104" s="12">
        <f t="shared" si="20"/>
        <v>327.9767542784</v>
      </c>
      <c r="I104" s="12">
        <f t="shared" si="20"/>
        <v>307.478207136</v>
      </c>
      <c r="J104" s="12">
        <f t="shared" si="20"/>
        <v>286.97965999359997</v>
      </c>
      <c r="K104" s="12">
        <f t="shared" si="20"/>
        <v>266.48111285119995</v>
      </c>
      <c r="L104" s="12">
        <f t="shared" si="20"/>
        <v>245.98256570879994</v>
      </c>
      <c r="M104" s="12">
        <f t="shared" si="20"/>
        <v>225.48401856639993</v>
      </c>
      <c r="N104" s="12">
        <f t="shared" si="20"/>
        <v>204.9854714239999</v>
      </c>
      <c r="O104" s="12">
        <f t="shared" si="20"/>
        <v>184.4869242815999</v>
      </c>
      <c r="P104" s="12">
        <f t="shared" si="20"/>
        <v>163.98837713919988</v>
      </c>
      <c r="Q104" s="12">
        <f t="shared" si="20"/>
        <v>143.48982999679987</v>
      </c>
      <c r="R104" s="12">
        <f t="shared" si="20"/>
        <v>122.99128285439987</v>
      </c>
      <c r="S104" s="12">
        <f t="shared" si="20"/>
        <v>102.49273571199987</v>
      </c>
      <c r="T104" s="12">
        <f t="shared" si="20"/>
        <v>81.99418856959987</v>
      </c>
      <c r="U104" s="12">
        <f t="shared" si="20"/>
        <v>61.49564142719987</v>
      </c>
      <c r="V104" s="12">
        <f t="shared" si="20"/>
        <v>40.99709428479987</v>
      </c>
      <c r="W104" s="12">
        <f t="shared" si="20"/>
        <v>20.498547142399868</v>
      </c>
      <c r="X104" s="12">
        <f t="shared" si="20"/>
        <v>-1.3500311979441904E-13</v>
      </c>
    </row>
    <row r="105" spans="2:24" ht="10.5">
      <c r="B105" s="3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1:13" ht="10.5">
      <c r="A106" s="9" t="s">
        <v>48</v>
      </c>
      <c r="B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26" ht="10.5">
      <c r="A107" s="2" t="s">
        <v>40</v>
      </c>
      <c r="B107" s="3"/>
      <c r="D107" s="3"/>
      <c r="E107" s="6">
        <f>$B$56*$B$58*E79/100</f>
        <v>400.37221582848</v>
      </c>
      <c r="F107" s="6">
        <f aca="true" t="shared" si="21" ref="F107:X107">$B$56*$B$58*F79/100</f>
        <v>403.5751935551079</v>
      </c>
      <c r="G107" s="6">
        <f t="shared" si="21"/>
        <v>406.80379510354874</v>
      </c>
      <c r="H107" s="6">
        <f t="shared" si="21"/>
        <v>410.0582254643772</v>
      </c>
      <c r="I107" s="6">
        <f t="shared" si="21"/>
        <v>413.33869126809213</v>
      </c>
      <c r="J107" s="6">
        <f t="shared" si="21"/>
        <v>416.6454007982369</v>
      </c>
      <c r="K107" s="6">
        <f t="shared" si="21"/>
        <v>419.9785640046228</v>
      </c>
      <c r="L107" s="6">
        <f t="shared" si="21"/>
        <v>423.3383925166598</v>
      </c>
      <c r="M107" s="6">
        <f t="shared" si="21"/>
        <v>426.7250996567931</v>
      </c>
      <c r="N107" s="6">
        <f t="shared" si="21"/>
        <v>430.1389004540475</v>
      </c>
      <c r="O107" s="6">
        <f t="shared" si="21"/>
        <v>433.5800116576798</v>
      </c>
      <c r="P107" s="6">
        <f t="shared" si="21"/>
        <v>437.0486517509412</v>
      </c>
      <c r="Q107" s="6">
        <f t="shared" si="21"/>
        <v>440.5450409649488</v>
      </c>
      <c r="R107" s="6">
        <f t="shared" si="21"/>
        <v>444.06940129266843</v>
      </c>
      <c r="S107" s="6">
        <f t="shared" si="21"/>
        <v>447.6219565030098</v>
      </c>
      <c r="T107" s="6">
        <f t="shared" si="21"/>
        <v>451.20293215503386</v>
      </c>
      <c r="U107" s="6">
        <f t="shared" si="21"/>
        <v>454.81255561227414</v>
      </c>
      <c r="V107" s="6">
        <f t="shared" si="21"/>
        <v>458.45105605717237</v>
      </c>
      <c r="W107" s="6">
        <f t="shared" si="21"/>
        <v>462.1186645056298</v>
      </c>
      <c r="X107" s="6">
        <f t="shared" si="21"/>
        <v>465.8156138216748</v>
      </c>
      <c r="Y107" s="12"/>
      <c r="Z107" s="12"/>
    </row>
    <row r="108" spans="1:24" ht="10.5">
      <c r="A108" s="64" t="s">
        <v>145</v>
      </c>
      <c r="B108" s="3"/>
      <c r="D108" s="3"/>
      <c r="E108" s="6">
        <f>$B$60*$B$56/100*E79</f>
        <v>277.43439426232317</v>
      </c>
      <c r="F108" s="6">
        <f aca="true" t="shared" si="22" ref="F108:X108">$B$60*$B$56/100*F79</f>
        <v>279.6538694164218</v>
      </c>
      <c r="G108" s="6">
        <f t="shared" si="22"/>
        <v>281.8911003717531</v>
      </c>
      <c r="H108" s="6">
        <f t="shared" si="22"/>
        <v>284.1462291747272</v>
      </c>
      <c r="I108" s="6">
        <f t="shared" si="22"/>
        <v>286.41939900812497</v>
      </c>
      <c r="J108" s="6">
        <f t="shared" si="22"/>
        <v>288.71075420018997</v>
      </c>
      <c r="K108" s="6">
        <f t="shared" si="22"/>
        <v>291.02044023379153</v>
      </c>
      <c r="L108" s="6">
        <f t="shared" si="22"/>
        <v>293.3486037556619</v>
      </c>
      <c r="M108" s="6">
        <f t="shared" si="22"/>
        <v>295.69539258570717</v>
      </c>
      <c r="N108" s="6">
        <f t="shared" si="22"/>
        <v>298.0609557263928</v>
      </c>
      <c r="O108" s="6">
        <f t="shared" si="22"/>
        <v>300.44544337220395</v>
      </c>
      <c r="P108" s="6">
        <f t="shared" si="22"/>
        <v>302.8490069191816</v>
      </c>
      <c r="Q108" s="6">
        <f t="shared" si="22"/>
        <v>305.27179897453505</v>
      </c>
      <c r="R108" s="6">
        <f t="shared" si="22"/>
        <v>307.71397336633135</v>
      </c>
      <c r="S108" s="6">
        <f t="shared" si="22"/>
        <v>310.175685153262</v>
      </c>
      <c r="T108" s="6">
        <f t="shared" si="22"/>
        <v>312.6570906344881</v>
      </c>
      <c r="U108" s="6">
        <f t="shared" si="22"/>
        <v>315.15834735956406</v>
      </c>
      <c r="V108" s="6">
        <f t="shared" si="22"/>
        <v>317.67961413844057</v>
      </c>
      <c r="W108" s="6">
        <f t="shared" si="22"/>
        <v>320.2210510515481</v>
      </c>
      <c r="X108" s="6">
        <f t="shared" si="22"/>
        <v>322.7828194599605</v>
      </c>
    </row>
    <row r="109" spans="1:24" ht="10.5">
      <c r="A109" s="64" t="s">
        <v>146</v>
      </c>
      <c r="B109" s="3"/>
      <c r="D109" s="3"/>
      <c r="E109" s="6">
        <f aca="true" t="shared" si="23" ref="E109:X109">$B$62*E79</f>
        <v>9.89369966592</v>
      </c>
      <c r="F109" s="6">
        <f t="shared" si="23"/>
        <v>9.97284926324736</v>
      </c>
      <c r="G109" s="6">
        <f t="shared" si="23"/>
        <v>10.052632057353339</v>
      </c>
      <c r="H109" s="6">
        <f t="shared" si="23"/>
        <v>10.133053113812165</v>
      </c>
      <c r="I109" s="6">
        <f t="shared" si="23"/>
        <v>10.214117538722663</v>
      </c>
      <c r="J109" s="6">
        <f t="shared" si="23"/>
        <v>10.295830479032444</v>
      </c>
      <c r="K109" s="6">
        <f t="shared" si="23"/>
        <v>10.378197122864703</v>
      </c>
      <c r="L109" s="6">
        <f t="shared" si="23"/>
        <v>10.461222699847623</v>
      </c>
      <c r="M109" s="6">
        <f t="shared" si="23"/>
        <v>10.544912481446403</v>
      </c>
      <c r="N109" s="6">
        <f t="shared" si="23"/>
        <v>10.629271781297975</v>
      </c>
      <c r="O109" s="6">
        <f t="shared" si="23"/>
        <v>10.714305955548358</v>
      </c>
      <c r="P109" s="6">
        <f t="shared" si="23"/>
        <v>10.800020403192745</v>
      </c>
      <c r="Q109" s="6">
        <f t="shared" si="23"/>
        <v>10.886420566418288</v>
      </c>
      <c r="R109" s="6">
        <f t="shared" si="23"/>
        <v>10.973511930949634</v>
      </c>
      <c r="S109" s="6">
        <f t="shared" si="23"/>
        <v>11.061300026397232</v>
      </c>
      <c r="T109" s="6">
        <f t="shared" si="23"/>
        <v>11.14979042660841</v>
      </c>
      <c r="U109" s="6">
        <f t="shared" si="23"/>
        <v>11.238988750021278</v>
      </c>
      <c r="V109" s="6">
        <f t="shared" si="23"/>
        <v>11.328900660021448</v>
      </c>
      <c r="W109" s="6">
        <f t="shared" si="23"/>
        <v>11.41953186530162</v>
      </c>
      <c r="X109" s="6">
        <f t="shared" si="23"/>
        <v>11.510888120224033</v>
      </c>
    </row>
    <row r="110" spans="1:26" ht="10.5">
      <c r="A110" s="64" t="s">
        <v>147</v>
      </c>
      <c r="B110" s="3"/>
      <c r="D110" s="3"/>
      <c r="E110" s="6">
        <f aca="true" t="shared" si="24" ref="E110:X110">$B$63*$B$56/100*E79</f>
        <v>9.420522725376001</v>
      </c>
      <c r="F110" s="6">
        <f t="shared" si="24"/>
        <v>9.49588690717901</v>
      </c>
      <c r="G110" s="6">
        <f t="shared" si="24"/>
        <v>9.571854002436442</v>
      </c>
      <c r="H110" s="6">
        <f t="shared" si="24"/>
        <v>9.648428834455935</v>
      </c>
      <c r="I110" s="6">
        <f t="shared" si="24"/>
        <v>9.725616265131581</v>
      </c>
      <c r="J110" s="6">
        <f t="shared" si="24"/>
        <v>9.803421195252634</v>
      </c>
      <c r="K110" s="6">
        <f t="shared" si="24"/>
        <v>9.881848564814655</v>
      </c>
      <c r="L110" s="6">
        <f t="shared" si="24"/>
        <v>9.960903353333173</v>
      </c>
      <c r="M110" s="6">
        <f t="shared" si="24"/>
        <v>10.040590580159838</v>
      </c>
      <c r="N110" s="6">
        <f t="shared" si="24"/>
        <v>10.120915304801116</v>
      </c>
      <c r="O110" s="6">
        <f t="shared" si="24"/>
        <v>10.201882627239526</v>
      </c>
      <c r="P110" s="6">
        <f t="shared" si="24"/>
        <v>10.283497688257441</v>
      </c>
      <c r="Q110" s="6">
        <f t="shared" si="24"/>
        <v>10.365765669763501</v>
      </c>
      <c r="R110" s="6">
        <f t="shared" si="24"/>
        <v>10.44869179512161</v>
      </c>
      <c r="S110" s="6">
        <f t="shared" si="24"/>
        <v>10.532281329482583</v>
      </c>
      <c r="T110" s="6">
        <f t="shared" si="24"/>
        <v>10.616539580118445</v>
      </c>
      <c r="U110" s="6">
        <f t="shared" si="24"/>
        <v>10.701471896759392</v>
      </c>
      <c r="V110" s="6">
        <f t="shared" si="24"/>
        <v>10.787083671933468</v>
      </c>
      <c r="W110" s="6">
        <f t="shared" si="24"/>
        <v>10.873380341308936</v>
      </c>
      <c r="X110" s="6">
        <f t="shared" si="24"/>
        <v>10.960367384039408</v>
      </c>
      <c r="Y110" s="12"/>
      <c r="Z110" s="12"/>
    </row>
    <row r="111" spans="1:27" ht="10.5">
      <c r="A111" s="64" t="s">
        <v>148</v>
      </c>
      <c r="B111" s="3"/>
      <c r="D111" s="3"/>
      <c r="E111" s="6">
        <f aca="true" t="shared" si="25" ref="E111:X111">E64*E79</f>
        <v>9.289426083840002</v>
      </c>
      <c r="F111" s="6">
        <f t="shared" si="25"/>
        <v>6.194316312576001</v>
      </c>
      <c r="G111" s="6">
        <f t="shared" si="25"/>
        <v>39.06581857484932</v>
      </c>
      <c r="H111" s="6">
        <f t="shared" si="25"/>
        <v>6.608512900312283</v>
      </c>
      <c r="I111" s="6">
        <f t="shared" si="25"/>
        <v>17.40417957426243</v>
      </c>
      <c r="J111" s="6">
        <f t="shared" si="25"/>
        <v>29.864303314957468</v>
      </c>
      <c r="K111" s="6">
        <f t="shared" si="25"/>
        <v>22.464606815641925</v>
      </c>
      <c r="L111" s="6">
        <f t="shared" si="25"/>
        <v>10.612834623033821</v>
      </c>
      <c r="M111" s="6">
        <f t="shared" si="25"/>
        <v>20.22745634380972</v>
      </c>
      <c r="N111" s="6">
        <f t="shared" si="25"/>
        <v>12.08171885700329</v>
      </c>
      <c r="O111" s="6">
        <f t="shared" si="25"/>
        <v>11.70144180445499</v>
      </c>
      <c r="P111" s="6">
        <f t="shared" si="25"/>
        <v>24.19383452640694</v>
      </c>
      <c r="Q111" s="6">
        <f t="shared" si="25"/>
        <v>13.579851741753663</v>
      </c>
      <c r="R111" s="6">
        <f t="shared" si="25"/>
        <v>12.916028018105315</v>
      </c>
      <c r="S111" s="6">
        <f t="shared" si="25"/>
        <v>28.51204665189349</v>
      </c>
      <c r="T111" s="6">
        <f t="shared" si="25"/>
        <v>17.46338811124071</v>
      </c>
      <c r="U111" s="6">
        <f t="shared" si="25"/>
        <v>14.240706242262988</v>
      </c>
      <c r="V111" s="6">
        <f t="shared" si="25"/>
        <v>27.688959066574164</v>
      </c>
      <c r="W111" s="6">
        <f t="shared" si="25"/>
        <v>12.081533712565484</v>
      </c>
      <c r="X111" s="6">
        <f t="shared" si="25"/>
        <v>15.419347026469875</v>
      </c>
      <c r="Y111" s="12"/>
      <c r="Z111" s="12"/>
      <c r="AA111" s="12"/>
    </row>
    <row r="112" spans="1:27" s="67" customFormat="1" ht="10.5">
      <c r="A112" s="67" t="s">
        <v>132</v>
      </c>
      <c r="B112" s="69"/>
      <c r="D112" s="69"/>
      <c r="E112" s="73">
        <f aca="true" t="shared" si="26" ref="E112:X112">E107-SUM(E108:E111)</f>
        <v>94.33417309102089</v>
      </c>
      <c r="F112" s="73">
        <f t="shared" si="26"/>
        <v>98.2582716556837</v>
      </c>
      <c r="G112" s="73">
        <f t="shared" si="26"/>
        <v>66.22239009715656</v>
      </c>
      <c r="H112" s="73">
        <f t="shared" si="26"/>
        <v>99.52200144106962</v>
      </c>
      <c r="I112" s="73">
        <f t="shared" si="26"/>
        <v>89.5753788818505</v>
      </c>
      <c r="J112" s="73">
        <f t="shared" si="26"/>
        <v>77.97109160880444</v>
      </c>
      <c r="K112" s="73">
        <f t="shared" si="26"/>
        <v>86.23347126750997</v>
      </c>
      <c r="L112" s="73">
        <f t="shared" si="26"/>
        <v>98.95482808478329</v>
      </c>
      <c r="M112" s="73">
        <f t="shared" si="26"/>
        <v>90.21674766566991</v>
      </c>
      <c r="N112" s="73">
        <f t="shared" si="26"/>
        <v>99.2460387845523</v>
      </c>
      <c r="O112" s="73">
        <f t="shared" si="26"/>
        <v>100.51693789823298</v>
      </c>
      <c r="P112" s="73">
        <f t="shared" si="26"/>
        <v>88.9222922139025</v>
      </c>
      <c r="Q112" s="73">
        <f t="shared" si="26"/>
        <v>100.4412040124783</v>
      </c>
      <c r="R112" s="73">
        <f t="shared" si="26"/>
        <v>102.01719618216055</v>
      </c>
      <c r="S112" s="73">
        <f t="shared" si="26"/>
        <v>87.34064334197444</v>
      </c>
      <c r="T112" s="73">
        <f t="shared" si="26"/>
        <v>99.31612340257817</v>
      </c>
      <c r="U112" s="73">
        <f t="shared" si="26"/>
        <v>103.47304136366637</v>
      </c>
      <c r="V112" s="73">
        <f t="shared" si="26"/>
        <v>90.96649852020266</v>
      </c>
      <c r="W112" s="73">
        <f t="shared" si="26"/>
        <v>107.52316753490567</v>
      </c>
      <c r="X112" s="73">
        <f t="shared" si="26"/>
        <v>105.142191830981</v>
      </c>
      <c r="Y112" s="74"/>
      <c r="Z112" s="74"/>
      <c r="AA112" s="74"/>
    </row>
    <row r="113" spans="1:27" s="67" customFormat="1" ht="10.5">
      <c r="A113" s="67" t="s">
        <v>133</v>
      </c>
      <c r="B113" s="69"/>
      <c r="D113" s="69"/>
      <c r="E113" s="73">
        <f aca="true" t="shared" si="27" ref="E113:X113">E107*$B$65+E112*$B$66</f>
        <v>6.833747351015427</v>
      </c>
      <c r="F113" s="73">
        <f t="shared" si="27"/>
        <v>6.983500085221589</v>
      </c>
      <c r="G113" s="73">
        <f t="shared" si="27"/>
        <v>6.054709653950184</v>
      </c>
      <c r="H113" s="73">
        <f t="shared" si="27"/>
        <v>7.08624229787586</v>
      </c>
      <c r="I113" s="73">
        <f t="shared" si="27"/>
        <v>6.820648279136437</v>
      </c>
      <c r="J113" s="73">
        <f t="shared" si="27"/>
        <v>6.505586756246503</v>
      </c>
      <c r="K113" s="73">
        <f t="shared" si="27"/>
        <v>6.786789778071527</v>
      </c>
      <c r="L113" s="73">
        <f t="shared" si="27"/>
        <v>7.202028767710096</v>
      </c>
      <c r="M113" s="73">
        <f t="shared" si="27"/>
        <v>6.973753426538028</v>
      </c>
      <c r="N113" s="73">
        <f t="shared" si="27"/>
        <v>7.278770168077044</v>
      </c>
      <c r="O113" s="73">
        <f t="shared" si="27"/>
        <v>7.351308253523787</v>
      </c>
      <c r="P113" s="73">
        <f t="shared" si="27"/>
        <v>7.0381552839264865</v>
      </c>
      <c r="Q113" s="73">
        <f t="shared" si="27"/>
        <v>7.4186865300238365</v>
      </c>
      <c r="R113" s="73">
        <f t="shared" si="27"/>
        <v>7.501209898391501</v>
      </c>
      <c r="S113" s="73">
        <f t="shared" si="27"/>
        <v>7.096438865289332</v>
      </c>
      <c r="T113" s="73">
        <f t="shared" si="27"/>
        <v>7.491513023627683</v>
      </c>
      <c r="U113" s="73">
        <f t="shared" si="27"/>
        <v>7.652316797032732</v>
      </c>
      <c r="V113" s="73">
        <f t="shared" si="27"/>
        <v>7.313505516177804</v>
      </c>
      <c r="W113" s="73">
        <f t="shared" si="27"/>
        <v>7.846881671103468</v>
      </c>
      <c r="X113" s="73">
        <f t="shared" si="27"/>
        <v>7.812421893146178</v>
      </c>
      <c r="Y113" s="74"/>
      <c r="Z113" s="74"/>
      <c r="AA113" s="74"/>
    </row>
    <row r="114" spans="1:27" ht="10.5">
      <c r="A114" s="67" t="s">
        <v>134</v>
      </c>
      <c r="B114" s="3"/>
      <c r="D114" s="3"/>
      <c r="E114" s="6">
        <f aca="true" t="shared" si="28" ref="E114:X114">E112-E113</f>
        <v>87.50042574000545</v>
      </c>
      <c r="F114" s="6">
        <f t="shared" si="28"/>
        <v>91.27477157046211</v>
      </c>
      <c r="G114" s="6">
        <f t="shared" si="28"/>
        <v>60.16768044320638</v>
      </c>
      <c r="H114" s="6">
        <f t="shared" si="28"/>
        <v>92.43575914319376</v>
      </c>
      <c r="I114" s="6">
        <f t="shared" si="28"/>
        <v>82.75473060271406</v>
      </c>
      <c r="J114" s="6">
        <f t="shared" si="28"/>
        <v>71.46550485255794</v>
      </c>
      <c r="K114" s="6">
        <f t="shared" si="28"/>
        <v>79.44668148943845</v>
      </c>
      <c r="L114" s="6">
        <f t="shared" si="28"/>
        <v>91.7527993170732</v>
      </c>
      <c r="M114" s="6">
        <f t="shared" si="28"/>
        <v>83.24299423913189</v>
      </c>
      <c r="N114" s="6">
        <f t="shared" si="28"/>
        <v>91.96726861647525</v>
      </c>
      <c r="O114" s="6">
        <f t="shared" si="28"/>
        <v>93.1656296447092</v>
      </c>
      <c r="P114" s="6">
        <f t="shared" si="28"/>
        <v>81.88413692997601</v>
      </c>
      <c r="Q114" s="6">
        <f t="shared" si="28"/>
        <v>93.02251748245446</v>
      </c>
      <c r="R114" s="6">
        <f t="shared" si="28"/>
        <v>94.51598628376905</v>
      </c>
      <c r="S114" s="6">
        <f t="shared" si="28"/>
        <v>80.24420447668511</v>
      </c>
      <c r="T114" s="6">
        <f t="shared" si="28"/>
        <v>91.82461037895048</v>
      </c>
      <c r="U114" s="6">
        <f t="shared" si="28"/>
        <v>95.82072456663363</v>
      </c>
      <c r="V114" s="6">
        <f t="shared" si="28"/>
        <v>83.65299300402486</v>
      </c>
      <c r="W114" s="6">
        <f t="shared" si="28"/>
        <v>99.6762858638022</v>
      </c>
      <c r="X114" s="6">
        <f t="shared" si="28"/>
        <v>97.32976993783483</v>
      </c>
      <c r="Y114" s="12"/>
      <c r="Z114" s="12"/>
      <c r="AA114" s="12"/>
    </row>
    <row r="115" spans="1:27" ht="10.5">
      <c r="A115" s="64" t="s">
        <v>128</v>
      </c>
      <c r="B115" s="3"/>
      <c r="D115" s="3"/>
      <c r="E115" s="6">
        <f aca="true" t="shared" si="29" ref="E115:X115">E103</f>
        <v>20.498547142400003</v>
      </c>
      <c r="F115" s="6">
        <f t="shared" si="29"/>
        <v>20.498547142400003</v>
      </c>
      <c r="G115" s="6">
        <f t="shared" si="29"/>
        <v>20.498547142400003</v>
      </c>
      <c r="H115" s="6">
        <f t="shared" si="29"/>
        <v>20.498547142400003</v>
      </c>
      <c r="I115" s="6">
        <f t="shared" si="29"/>
        <v>20.498547142400003</v>
      </c>
      <c r="J115" s="6">
        <f t="shared" si="29"/>
        <v>20.498547142400003</v>
      </c>
      <c r="K115" s="6">
        <f t="shared" si="29"/>
        <v>20.498547142400003</v>
      </c>
      <c r="L115" s="6">
        <f t="shared" si="29"/>
        <v>20.498547142400003</v>
      </c>
      <c r="M115" s="6">
        <f t="shared" si="29"/>
        <v>20.498547142400003</v>
      </c>
      <c r="N115" s="6">
        <f t="shared" si="29"/>
        <v>20.498547142400003</v>
      </c>
      <c r="O115" s="6">
        <f t="shared" si="29"/>
        <v>20.498547142400003</v>
      </c>
      <c r="P115" s="6">
        <f t="shared" si="29"/>
        <v>20.498547142400003</v>
      </c>
      <c r="Q115" s="6">
        <f t="shared" si="29"/>
        <v>20.498547142400003</v>
      </c>
      <c r="R115" s="6">
        <f t="shared" si="29"/>
        <v>20.498547142400003</v>
      </c>
      <c r="S115" s="6">
        <f t="shared" si="29"/>
        <v>20.498547142400003</v>
      </c>
      <c r="T115" s="6">
        <f t="shared" si="29"/>
        <v>20.498547142400003</v>
      </c>
      <c r="U115" s="6">
        <f t="shared" si="29"/>
        <v>20.498547142400003</v>
      </c>
      <c r="V115" s="6">
        <f t="shared" si="29"/>
        <v>20.498547142400003</v>
      </c>
      <c r="W115" s="6">
        <f t="shared" si="29"/>
        <v>20.498547142400003</v>
      </c>
      <c r="X115" s="6">
        <f t="shared" si="29"/>
        <v>20.498547142400003</v>
      </c>
      <c r="Y115" s="12"/>
      <c r="Z115" s="12"/>
      <c r="AA115" s="12"/>
    </row>
    <row r="116" spans="1:27" ht="10.5">
      <c r="A116" s="67" t="s">
        <v>135</v>
      </c>
      <c r="B116" s="3"/>
      <c r="D116" s="3"/>
      <c r="E116" s="6">
        <f aca="true" t="shared" si="30" ref="E116:X116">E114-E115</f>
        <v>67.00187859760545</v>
      </c>
      <c r="F116" s="6">
        <f t="shared" si="30"/>
        <v>70.77622442806211</v>
      </c>
      <c r="G116" s="6">
        <f t="shared" si="30"/>
        <v>39.66913330080638</v>
      </c>
      <c r="H116" s="6">
        <f t="shared" si="30"/>
        <v>71.93721200079376</v>
      </c>
      <c r="I116" s="6">
        <f t="shared" si="30"/>
        <v>62.25618346031406</v>
      </c>
      <c r="J116" s="6">
        <f t="shared" si="30"/>
        <v>50.96695771015794</v>
      </c>
      <c r="K116" s="6">
        <f t="shared" si="30"/>
        <v>58.94813434703845</v>
      </c>
      <c r="L116" s="6">
        <f t="shared" si="30"/>
        <v>71.2542521746732</v>
      </c>
      <c r="M116" s="6">
        <f t="shared" si="30"/>
        <v>62.74444709673189</v>
      </c>
      <c r="N116" s="6">
        <f t="shared" si="30"/>
        <v>71.46872147407525</v>
      </c>
      <c r="O116" s="6">
        <f t="shared" si="30"/>
        <v>72.6670825023092</v>
      </c>
      <c r="P116" s="6">
        <f t="shared" si="30"/>
        <v>61.38558978757601</v>
      </c>
      <c r="Q116" s="6">
        <f t="shared" si="30"/>
        <v>72.52397034005446</v>
      </c>
      <c r="R116" s="6">
        <f t="shared" si="30"/>
        <v>74.01743914136905</v>
      </c>
      <c r="S116" s="6">
        <f t="shared" si="30"/>
        <v>59.74565733428511</v>
      </c>
      <c r="T116" s="6">
        <f t="shared" si="30"/>
        <v>71.32606323655048</v>
      </c>
      <c r="U116" s="6">
        <f t="shared" si="30"/>
        <v>75.32217742423363</v>
      </c>
      <c r="V116" s="6">
        <f t="shared" si="30"/>
        <v>63.154445861624865</v>
      </c>
      <c r="W116" s="6">
        <f t="shared" si="30"/>
        <v>79.1777387214022</v>
      </c>
      <c r="X116" s="6">
        <f t="shared" si="30"/>
        <v>76.83122279543483</v>
      </c>
      <c r="Y116" s="12"/>
      <c r="Z116" s="12"/>
      <c r="AA116" s="12"/>
    </row>
    <row r="117" spans="1:27" ht="10.5">
      <c r="A117" s="64" t="s">
        <v>129</v>
      </c>
      <c r="B117" s="3"/>
      <c r="D117" s="12"/>
      <c r="E117" s="6">
        <f aca="true" t="shared" si="31" ref="E117:X117">E86+E94</f>
        <v>19.8517757564928</v>
      </c>
      <c r="F117" s="6">
        <f t="shared" si="31"/>
        <v>19.8517757564928</v>
      </c>
      <c r="G117" s="6">
        <f t="shared" si="31"/>
        <v>17.87942310786816</v>
      </c>
      <c r="H117" s="6">
        <f t="shared" si="31"/>
        <v>15.90707045924352</v>
      </c>
      <c r="I117" s="6">
        <f t="shared" si="31"/>
        <v>13.934717810618881</v>
      </c>
      <c r="J117" s="6">
        <f t="shared" si="31"/>
        <v>11.622952281369603</v>
      </c>
      <c r="K117" s="6">
        <f t="shared" si="31"/>
        <v>9.311186752120324</v>
      </c>
      <c r="L117" s="6">
        <f t="shared" si="31"/>
        <v>6.999421222871044</v>
      </c>
      <c r="M117" s="6">
        <f t="shared" si="31"/>
        <v>4.687655693621764</v>
      </c>
      <c r="N117" s="6">
        <f t="shared" si="31"/>
        <v>2.036477283747843</v>
      </c>
      <c r="O117" s="6">
        <f t="shared" si="31"/>
        <v>1.0182386418739215</v>
      </c>
      <c r="P117" s="6">
        <f t="shared" si="31"/>
        <v>0</v>
      </c>
      <c r="Q117" s="6">
        <f t="shared" si="31"/>
        <v>0</v>
      </c>
      <c r="R117" s="6">
        <f t="shared" si="31"/>
        <v>0</v>
      </c>
      <c r="S117" s="6">
        <f t="shared" si="31"/>
        <v>0</v>
      </c>
      <c r="T117" s="6">
        <f t="shared" si="31"/>
        <v>0</v>
      </c>
      <c r="U117" s="6">
        <f t="shared" si="31"/>
        <v>0</v>
      </c>
      <c r="V117" s="6">
        <f t="shared" si="31"/>
        <v>0</v>
      </c>
      <c r="W117" s="6">
        <f t="shared" si="31"/>
        <v>0</v>
      </c>
      <c r="X117" s="6">
        <f t="shared" si="31"/>
        <v>0</v>
      </c>
      <c r="Y117" s="12"/>
      <c r="Z117" s="12"/>
      <c r="AA117" s="12"/>
    </row>
    <row r="118" spans="1:27" s="67" customFormat="1" ht="10.5">
      <c r="A118" s="67" t="s">
        <v>136</v>
      </c>
      <c r="B118" s="69"/>
      <c r="D118" s="69"/>
      <c r="E118" s="73">
        <f aca="true" t="shared" si="32" ref="E118:X118">E116-E117</f>
        <v>47.150102841112655</v>
      </c>
      <c r="F118" s="73">
        <f t="shared" si="32"/>
        <v>50.92444867156931</v>
      </c>
      <c r="G118" s="73">
        <f t="shared" si="32"/>
        <v>21.78971019293822</v>
      </c>
      <c r="H118" s="73">
        <f t="shared" si="32"/>
        <v>56.03014154155024</v>
      </c>
      <c r="I118" s="73">
        <f t="shared" si="32"/>
        <v>48.321465649695185</v>
      </c>
      <c r="J118" s="73">
        <f t="shared" si="32"/>
        <v>39.344005428788336</v>
      </c>
      <c r="K118" s="73">
        <f t="shared" si="32"/>
        <v>49.63694759491813</v>
      </c>
      <c r="L118" s="73">
        <f t="shared" si="32"/>
        <v>64.25483095180215</v>
      </c>
      <c r="M118" s="73">
        <f t="shared" si="32"/>
        <v>58.056791403110125</v>
      </c>
      <c r="N118" s="73">
        <f t="shared" si="32"/>
        <v>69.43224419032741</v>
      </c>
      <c r="O118" s="73">
        <f t="shared" si="32"/>
        <v>71.64884386043528</v>
      </c>
      <c r="P118" s="73">
        <f t="shared" si="32"/>
        <v>61.38558978757601</v>
      </c>
      <c r="Q118" s="73">
        <f t="shared" si="32"/>
        <v>72.52397034005446</v>
      </c>
      <c r="R118" s="73">
        <f t="shared" si="32"/>
        <v>74.01743914136905</v>
      </c>
      <c r="S118" s="73">
        <f t="shared" si="32"/>
        <v>59.74565733428511</v>
      </c>
      <c r="T118" s="73">
        <f t="shared" si="32"/>
        <v>71.32606323655048</v>
      </c>
      <c r="U118" s="73">
        <f t="shared" si="32"/>
        <v>75.32217742423363</v>
      </c>
      <c r="V118" s="73">
        <f t="shared" si="32"/>
        <v>63.154445861624865</v>
      </c>
      <c r="W118" s="73">
        <f t="shared" si="32"/>
        <v>79.1777387214022</v>
      </c>
      <c r="X118" s="73">
        <f t="shared" si="32"/>
        <v>76.83122279543483</v>
      </c>
      <c r="Y118" s="74"/>
      <c r="Z118" s="74"/>
      <c r="AA118" s="74"/>
    </row>
    <row r="119" spans="1:27" s="67" customFormat="1" ht="10.5">
      <c r="A119" s="67" t="s">
        <v>42</v>
      </c>
      <c r="B119" s="69"/>
      <c r="D119" s="69"/>
      <c r="E119" s="73">
        <v>0</v>
      </c>
      <c r="F119" s="73">
        <v>0</v>
      </c>
      <c r="G119" s="73">
        <v>0</v>
      </c>
      <c r="H119" s="73">
        <f>MAX(0,$B$75*H118)</f>
        <v>14.00753538538756</v>
      </c>
      <c r="I119" s="73">
        <f aca="true" t="shared" si="33" ref="I119:X119">MAX(0,$B$75*I118)</f>
        <v>12.080366412423796</v>
      </c>
      <c r="J119" s="73">
        <f t="shared" si="33"/>
        <v>9.836001357197084</v>
      </c>
      <c r="K119" s="73">
        <f t="shared" si="33"/>
        <v>12.409236898729532</v>
      </c>
      <c r="L119" s="73">
        <f t="shared" si="33"/>
        <v>16.063707737950537</v>
      </c>
      <c r="M119" s="73">
        <f t="shared" si="33"/>
        <v>14.514197850777531</v>
      </c>
      <c r="N119" s="73">
        <f t="shared" si="33"/>
        <v>17.358061047581852</v>
      </c>
      <c r="O119" s="73">
        <f t="shared" si="33"/>
        <v>17.91221096510882</v>
      </c>
      <c r="P119" s="73">
        <f t="shared" si="33"/>
        <v>15.346397446894002</v>
      </c>
      <c r="Q119" s="73">
        <f t="shared" si="33"/>
        <v>18.130992585013615</v>
      </c>
      <c r="R119" s="73">
        <f t="shared" si="33"/>
        <v>18.504359785342263</v>
      </c>
      <c r="S119" s="73">
        <f t="shared" si="33"/>
        <v>14.936414333571278</v>
      </c>
      <c r="T119" s="73">
        <f t="shared" si="33"/>
        <v>17.83151580913762</v>
      </c>
      <c r="U119" s="73">
        <f t="shared" si="33"/>
        <v>18.830544356058407</v>
      </c>
      <c r="V119" s="73">
        <f t="shared" si="33"/>
        <v>15.788611465406216</v>
      </c>
      <c r="W119" s="73">
        <f t="shared" si="33"/>
        <v>19.79443468035055</v>
      </c>
      <c r="X119" s="73">
        <f t="shared" si="33"/>
        <v>19.207805698858706</v>
      </c>
      <c r="Y119" s="74"/>
      <c r="Z119" s="74"/>
      <c r="AA119" s="74"/>
    </row>
    <row r="120" spans="1:27" ht="10.5">
      <c r="A120" s="67" t="s">
        <v>137</v>
      </c>
      <c r="B120" s="3"/>
      <c r="D120" s="3"/>
      <c r="E120" s="6">
        <f aca="true" t="shared" si="34" ref="E120:X120">E118-E119</f>
        <v>47.150102841112655</v>
      </c>
      <c r="F120" s="6">
        <f t="shared" si="34"/>
        <v>50.92444867156931</v>
      </c>
      <c r="G120" s="6">
        <f t="shared" si="34"/>
        <v>21.78971019293822</v>
      </c>
      <c r="H120" s="6">
        <f t="shared" si="34"/>
        <v>42.02260615616268</v>
      </c>
      <c r="I120" s="6">
        <f t="shared" si="34"/>
        <v>36.241099237271385</v>
      </c>
      <c r="J120" s="6">
        <f t="shared" si="34"/>
        <v>29.50800407159125</v>
      </c>
      <c r="K120" s="6">
        <f t="shared" si="34"/>
        <v>37.227710696188595</v>
      </c>
      <c r="L120" s="6">
        <f t="shared" si="34"/>
        <v>48.19112321385161</v>
      </c>
      <c r="M120" s="6">
        <f t="shared" si="34"/>
        <v>43.54259355233259</v>
      </c>
      <c r="N120" s="6">
        <f t="shared" si="34"/>
        <v>52.074183142745554</v>
      </c>
      <c r="O120" s="6">
        <f t="shared" si="34"/>
        <v>53.73663289532646</v>
      </c>
      <c r="P120" s="6">
        <f t="shared" si="34"/>
        <v>46.03919234068201</v>
      </c>
      <c r="Q120" s="6">
        <f t="shared" si="34"/>
        <v>54.392977755040846</v>
      </c>
      <c r="R120" s="6">
        <f t="shared" si="34"/>
        <v>55.51307935602679</v>
      </c>
      <c r="S120" s="6">
        <f t="shared" si="34"/>
        <v>44.809243000713835</v>
      </c>
      <c r="T120" s="6">
        <f t="shared" si="34"/>
        <v>53.49454742741286</v>
      </c>
      <c r="U120" s="6">
        <f t="shared" si="34"/>
        <v>56.49163306817522</v>
      </c>
      <c r="V120" s="6">
        <f t="shared" si="34"/>
        <v>47.365834396218645</v>
      </c>
      <c r="W120" s="6">
        <f t="shared" si="34"/>
        <v>59.38330404105166</v>
      </c>
      <c r="X120" s="6">
        <f t="shared" si="34"/>
        <v>57.62341709657612</v>
      </c>
      <c r="Y120" s="12"/>
      <c r="Z120" s="12"/>
      <c r="AA120" s="12"/>
    </row>
    <row r="121" spans="1:27" ht="10.5">
      <c r="A121" s="67"/>
      <c r="B121" s="3"/>
      <c r="D121" s="3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12"/>
      <c r="Z121" s="12"/>
      <c r="AA121" s="12"/>
    </row>
    <row r="122" spans="1:25" ht="10.5">
      <c r="A122" s="60" t="s">
        <v>119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1:25" ht="10.5">
      <c r="A123" s="61" t="s">
        <v>121</v>
      </c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1:25" ht="10.5">
      <c r="A124" s="55" t="s">
        <v>120</v>
      </c>
      <c r="B124" s="7"/>
      <c r="C124" s="7"/>
      <c r="D124" s="7">
        <f>E102</f>
        <v>409.97094284800005</v>
      </c>
      <c r="E124" s="7">
        <f aca="true" t="shared" si="35" ref="E124:X124">E104</f>
        <v>389.47239570560004</v>
      </c>
      <c r="F124" s="7">
        <f t="shared" si="35"/>
        <v>368.9738485632</v>
      </c>
      <c r="G124" s="7">
        <f t="shared" si="35"/>
        <v>348.4753014208</v>
      </c>
      <c r="H124" s="7">
        <f t="shared" si="35"/>
        <v>327.9767542784</v>
      </c>
      <c r="I124" s="7">
        <f t="shared" si="35"/>
        <v>307.478207136</v>
      </c>
      <c r="J124" s="7">
        <f t="shared" si="35"/>
        <v>286.97965999359997</v>
      </c>
      <c r="K124" s="7">
        <f t="shared" si="35"/>
        <v>266.48111285119995</v>
      </c>
      <c r="L124" s="7">
        <f t="shared" si="35"/>
        <v>245.98256570879994</v>
      </c>
      <c r="M124" s="7">
        <f t="shared" si="35"/>
        <v>225.48401856639993</v>
      </c>
      <c r="N124" s="7">
        <f t="shared" si="35"/>
        <v>204.9854714239999</v>
      </c>
      <c r="O124" s="7">
        <f t="shared" si="35"/>
        <v>184.4869242815999</v>
      </c>
      <c r="P124" s="7">
        <f t="shared" si="35"/>
        <v>163.98837713919988</v>
      </c>
      <c r="Q124" s="7">
        <f t="shared" si="35"/>
        <v>143.48982999679987</v>
      </c>
      <c r="R124" s="7">
        <f t="shared" si="35"/>
        <v>122.99128285439987</v>
      </c>
      <c r="S124" s="7">
        <f t="shared" si="35"/>
        <v>102.49273571199987</v>
      </c>
      <c r="T124" s="7">
        <f t="shared" si="35"/>
        <v>81.99418856959987</v>
      </c>
      <c r="U124" s="7">
        <f t="shared" si="35"/>
        <v>61.49564142719987</v>
      </c>
      <c r="V124" s="7">
        <f t="shared" si="35"/>
        <v>40.99709428479987</v>
      </c>
      <c r="W124" s="7">
        <f t="shared" si="35"/>
        <v>20.498547142399868</v>
      </c>
      <c r="X124" s="7">
        <f t="shared" si="35"/>
        <v>-1.3500311979441904E-13</v>
      </c>
      <c r="Y124" s="7"/>
    </row>
    <row r="125" spans="1:25" ht="10.5">
      <c r="A125" s="55" t="s">
        <v>122</v>
      </c>
      <c r="B125" s="7"/>
      <c r="C125" s="7"/>
      <c r="D125" s="7">
        <f aca="true" t="shared" si="36" ref="D125:X125">D124</f>
        <v>409.97094284800005</v>
      </c>
      <c r="E125" s="7">
        <f t="shared" si="36"/>
        <v>389.47239570560004</v>
      </c>
      <c r="F125" s="7">
        <f t="shared" si="36"/>
        <v>368.9738485632</v>
      </c>
      <c r="G125" s="7">
        <f t="shared" si="36"/>
        <v>348.4753014208</v>
      </c>
      <c r="H125" s="7">
        <f t="shared" si="36"/>
        <v>327.9767542784</v>
      </c>
      <c r="I125" s="7">
        <f t="shared" si="36"/>
        <v>307.478207136</v>
      </c>
      <c r="J125" s="7">
        <f t="shared" si="36"/>
        <v>286.97965999359997</v>
      </c>
      <c r="K125" s="7">
        <f t="shared" si="36"/>
        <v>266.48111285119995</v>
      </c>
      <c r="L125" s="7">
        <f t="shared" si="36"/>
        <v>245.98256570879994</v>
      </c>
      <c r="M125" s="7">
        <f t="shared" si="36"/>
        <v>225.48401856639993</v>
      </c>
      <c r="N125" s="7">
        <f t="shared" si="36"/>
        <v>204.9854714239999</v>
      </c>
      <c r="O125" s="7">
        <f t="shared" si="36"/>
        <v>184.4869242815999</v>
      </c>
      <c r="P125" s="7">
        <f t="shared" si="36"/>
        <v>163.98837713919988</v>
      </c>
      <c r="Q125" s="7">
        <f t="shared" si="36"/>
        <v>143.48982999679987</v>
      </c>
      <c r="R125" s="7">
        <f t="shared" si="36"/>
        <v>122.99128285439987</v>
      </c>
      <c r="S125" s="7">
        <f t="shared" si="36"/>
        <v>102.49273571199987</v>
      </c>
      <c r="T125" s="7">
        <f t="shared" si="36"/>
        <v>81.99418856959987</v>
      </c>
      <c r="U125" s="7">
        <f t="shared" si="36"/>
        <v>61.49564142719987</v>
      </c>
      <c r="V125" s="7">
        <f t="shared" si="36"/>
        <v>40.99709428479987</v>
      </c>
      <c r="W125" s="7">
        <f t="shared" si="36"/>
        <v>20.498547142399868</v>
      </c>
      <c r="X125" s="7">
        <f t="shared" si="36"/>
        <v>-1.3500311979441904E-13</v>
      </c>
      <c r="Y125" s="7"/>
    </row>
    <row r="126" spans="1:25" ht="10.5">
      <c r="A126" s="56" t="s">
        <v>123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1:25" ht="10.5">
      <c r="A127" s="55" t="s">
        <v>61</v>
      </c>
      <c r="B127" s="7"/>
      <c r="C127" s="7"/>
      <c r="D127" s="7">
        <f>D89+D97</f>
        <v>287.329477248</v>
      </c>
      <c r="E127" s="7">
        <f aca="true" t="shared" si="37" ref="E127:X127">E89+E97</f>
        <v>287.329477248</v>
      </c>
      <c r="F127" s="7">
        <f t="shared" si="37"/>
        <v>260.9117873856</v>
      </c>
      <c r="G127" s="7">
        <f t="shared" si="37"/>
        <v>234.4940975232</v>
      </c>
      <c r="H127" s="7">
        <f t="shared" si="37"/>
        <v>208.0764076608</v>
      </c>
      <c r="I127" s="7">
        <f t="shared" si="37"/>
        <v>175.326387936</v>
      </c>
      <c r="J127" s="7">
        <f t="shared" si="37"/>
        <v>142.57636821120002</v>
      </c>
      <c r="K127" s="7">
        <f t="shared" si="37"/>
        <v>109.82634848640001</v>
      </c>
      <c r="L127" s="7">
        <f t="shared" si="37"/>
        <v>77.07632876160001</v>
      </c>
      <c r="M127" s="7">
        <f t="shared" si="37"/>
        <v>37.9939791744</v>
      </c>
      <c r="N127" s="7">
        <f t="shared" si="37"/>
        <v>18.996989587199995</v>
      </c>
      <c r="O127" s="7">
        <f t="shared" si="37"/>
        <v>-7.105427357601002E-15</v>
      </c>
      <c r="P127" s="7">
        <f t="shared" si="37"/>
        <v>0</v>
      </c>
      <c r="Q127" s="7">
        <f t="shared" si="37"/>
        <v>0</v>
      </c>
      <c r="R127" s="7">
        <f t="shared" si="37"/>
        <v>0</v>
      </c>
      <c r="S127" s="7">
        <f t="shared" si="37"/>
        <v>0</v>
      </c>
      <c r="T127" s="7">
        <f t="shared" si="37"/>
        <v>0</v>
      </c>
      <c r="U127" s="7">
        <f t="shared" si="37"/>
        <v>0</v>
      </c>
      <c r="V127" s="7">
        <f t="shared" si="37"/>
        <v>0</v>
      </c>
      <c r="W127" s="7">
        <f t="shared" si="37"/>
        <v>0</v>
      </c>
      <c r="X127" s="7">
        <f t="shared" si="37"/>
        <v>0</v>
      </c>
      <c r="Y127" s="7"/>
    </row>
    <row r="128" spans="1:25" ht="10.5">
      <c r="A128" s="55" t="s">
        <v>108</v>
      </c>
      <c r="B128" s="7"/>
      <c r="C128" s="7"/>
      <c r="D128" s="7">
        <f aca="true" t="shared" si="38" ref="D128:X128">D125-SUM(D127:D127)</f>
        <v>122.64146560000006</v>
      </c>
      <c r="E128" s="7">
        <f t="shared" si="38"/>
        <v>102.14291845760005</v>
      </c>
      <c r="F128" s="7">
        <f t="shared" si="38"/>
        <v>108.06206117760001</v>
      </c>
      <c r="G128" s="7">
        <f t="shared" si="38"/>
        <v>113.98120389760001</v>
      </c>
      <c r="H128" s="7">
        <f t="shared" si="38"/>
        <v>119.90034661760001</v>
      </c>
      <c r="I128" s="7">
        <f t="shared" si="38"/>
        <v>132.15181919999998</v>
      </c>
      <c r="J128" s="7">
        <f t="shared" si="38"/>
        <v>144.40329178239995</v>
      </c>
      <c r="K128" s="7">
        <f t="shared" si="38"/>
        <v>156.65476436479995</v>
      </c>
      <c r="L128" s="7">
        <f t="shared" si="38"/>
        <v>168.90623694719994</v>
      </c>
      <c r="M128" s="7">
        <f t="shared" si="38"/>
        <v>187.49003939199991</v>
      </c>
      <c r="N128" s="7">
        <f t="shared" si="38"/>
        <v>185.9884818367999</v>
      </c>
      <c r="O128" s="7">
        <f t="shared" si="38"/>
        <v>184.4869242815999</v>
      </c>
      <c r="P128" s="7">
        <f t="shared" si="38"/>
        <v>163.98837713919988</v>
      </c>
      <c r="Q128" s="7">
        <f t="shared" si="38"/>
        <v>143.48982999679987</v>
      </c>
      <c r="R128" s="7">
        <f t="shared" si="38"/>
        <v>122.99128285439987</v>
      </c>
      <c r="S128" s="7">
        <f t="shared" si="38"/>
        <v>102.49273571199987</v>
      </c>
      <c r="T128" s="7">
        <f t="shared" si="38"/>
        <v>81.99418856959987</v>
      </c>
      <c r="U128" s="7">
        <f t="shared" si="38"/>
        <v>61.49564142719987</v>
      </c>
      <c r="V128" s="7">
        <f t="shared" si="38"/>
        <v>40.99709428479987</v>
      </c>
      <c r="W128" s="7">
        <f t="shared" si="38"/>
        <v>20.498547142399868</v>
      </c>
      <c r="X128" s="7">
        <f t="shared" si="38"/>
        <v>-1.3500311979441904E-13</v>
      </c>
      <c r="Y128" s="7"/>
    </row>
    <row r="129" spans="1:25" ht="10.5">
      <c r="A129" s="55" t="s">
        <v>122</v>
      </c>
      <c r="B129" s="7"/>
      <c r="C129" s="7"/>
      <c r="D129" s="7">
        <f aca="true" t="shared" si="39" ref="D129:X129">SUM(D127:D128)</f>
        <v>409.97094284800005</v>
      </c>
      <c r="E129" s="7">
        <f t="shared" si="39"/>
        <v>389.47239570560004</v>
      </c>
      <c r="F129" s="7">
        <f t="shared" si="39"/>
        <v>368.9738485632</v>
      </c>
      <c r="G129" s="7">
        <f t="shared" si="39"/>
        <v>348.4753014208</v>
      </c>
      <c r="H129" s="7">
        <f t="shared" si="39"/>
        <v>327.9767542784</v>
      </c>
      <c r="I129" s="7">
        <f t="shared" si="39"/>
        <v>307.478207136</v>
      </c>
      <c r="J129" s="7">
        <f t="shared" si="39"/>
        <v>286.97965999359997</v>
      </c>
      <c r="K129" s="7">
        <f t="shared" si="39"/>
        <v>266.48111285119995</v>
      </c>
      <c r="L129" s="7">
        <f t="shared" si="39"/>
        <v>245.98256570879994</v>
      </c>
      <c r="M129" s="7">
        <f t="shared" si="39"/>
        <v>225.48401856639993</v>
      </c>
      <c r="N129" s="7">
        <f t="shared" si="39"/>
        <v>204.9854714239999</v>
      </c>
      <c r="O129" s="7">
        <f t="shared" si="39"/>
        <v>184.4869242815999</v>
      </c>
      <c r="P129" s="7">
        <f t="shared" si="39"/>
        <v>163.98837713919988</v>
      </c>
      <c r="Q129" s="7">
        <f t="shared" si="39"/>
        <v>143.48982999679987</v>
      </c>
      <c r="R129" s="7">
        <f t="shared" si="39"/>
        <v>122.99128285439987</v>
      </c>
      <c r="S129" s="7">
        <f t="shared" si="39"/>
        <v>102.49273571199987</v>
      </c>
      <c r="T129" s="7">
        <f t="shared" si="39"/>
        <v>81.99418856959987</v>
      </c>
      <c r="U129" s="7">
        <f t="shared" si="39"/>
        <v>61.49564142719987</v>
      </c>
      <c r="V129" s="7">
        <f t="shared" si="39"/>
        <v>40.99709428479987</v>
      </c>
      <c r="W129" s="7">
        <f t="shared" si="39"/>
        <v>20.498547142399868</v>
      </c>
      <c r="X129" s="7">
        <f t="shared" si="39"/>
        <v>-1.3500311979441904E-13</v>
      </c>
      <c r="Y129" s="7"/>
    </row>
    <row r="130" spans="1:25" ht="10.5">
      <c r="A130" s="56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1:25" ht="10.5">
      <c r="A131" s="9" t="s">
        <v>47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1:25" ht="10.5">
      <c r="A132" s="16" t="s">
        <v>50</v>
      </c>
      <c r="B132" s="7">
        <f aca="true" t="shared" si="40" ref="B132:X132">B133</f>
        <v>0</v>
      </c>
      <c r="C132" s="7">
        <f t="shared" si="40"/>
        <v>0</v>
      </c>
      <c r="D132" s="7">
        <f t="shared" si="40"/>
        <v>0</v>
      </c>
      <c r="E132" s="7">
        <f t="shared" si="40"/>
        <v>400.37221582848</v>
      </c>
      <c r="F132" s="7">
        <f t="shared" si="40"/>
        <v>403.5751935551079</v>
      </c>
      <c r="G132" s="7">
        <f t="shared" si="40"/>
        <v>406.80379510354874</v>
      </c>
      <c r="H132" s="7">
        <f t="shared" si="40"/>
        <v>410.0582254643772</v>
      </c>
      <c r="I132" s="7">
        <f t="shared" si="40"/>
        <v>413.33869126809213</v>
      </c>
      <c r="J132" s="7">
        <f t="shared" si="40"/>
        <v>416.6454007982369</v>
      </c>
      <c r="K132" s="7">
        <f t="shared" si="40"/>
        <v>419.9785640046228</v>
      </c>
      <c r="L132" s="7">
        <f t="shared" si="40"/>
        <v>423.3383925166598</v>
      </c>
      <c r="M132" s="7">
        <f t="shared" si="40"/>
        <v>426.7250996567931</v>
      </c>
      <c r="N132" s="7">
        <f t="shared" si="40"/>
        <v>430.1389004540475</v>
      </c>
      <c r="O132" s="7">
        <f t="shared" si="40"/>
        <v>433.5800116576798</v>
      </c>
      <c r="P132" s="7">
        <f t="shared" si="40"/>
        <v>437.0486517509412</v>
      </c>
      <c r="Q132" s="7">
        <f t="shared" si="40"/>
        <v>440.5450409649488</v>
      </c>
      <c r="R132" s="7">
        <f t="shared" si="40"/>
        <v>444.06940129266843</v>
      </c>
      <c r="S132" s="7">
        <f t="shared" si="40"/>
        <v>447.6219565030098</v>
      </c>
      <c r="T132" s="7">
        <f t="shared" si="40"/>
        <v>451.20293215503386</v>
      </c>
      <c r="U132" s="7">
        <f t="shared" si="40"/>
        <v>454.81255561227414</v>
      </c>
      <c r="V132" s="7">
        <f t="shared" si="40"/>
        <v>458.45105605717237</v>
      </c>
      <c r="W132" s="7">
        <f t="shared" si="40"/>
        <v>462.1186645056298</v>
      </c>
      <c r="X132" s="7">
        <f t="shared" si="40"/>
        <v>465.8156138216748</v>
      </c>
      <c r="Y132" s="7"/>
    </row>
    <row r="133" spans="1:25" ht="10.5">
      <c r="A133" s="18" t="s">
        <v>40</v>
      </c>
      <c r="B133" s="7">
        <f aca="true" t="shared" si="41" ref="B133:X133">B107</f>
        <v>0</v>
      </c>
      <c r="C133" s="7">
        <f t="shared" si="41"/>
        <v>0</v>
      </c>
      <c r="D133" s="7">
        <f t="shared" si="41"/>
        <v>0</v>
      </c>
      <c r="E133" s="7">
        <f t="shared" si="41"/>
        <v>400.37221582848</v>
      </c>
      <c r="F133" s="7">
        <f t="shared" si="41"/>
        <v>403.5751935551079</v>
      </c>
      <c r="G133" s="7">
        <f t="shared" si="41"/>
        <v>406.80379510354874</v>
      </c>
      <c r="H133" s="7">
        <f t="shared" si="41"/>
        <v>410.0582254643772</v>
      </c>
      <c r="I133" s="7">
        <f t="shared" si="41"/>
        <v>413.33869126809213</v>
      </c>
      <c r="J133" s="7">
        <f t="shared" si="41"/>
        <v>416.6454007982369</v>
      </c>
      <c r="K133" s="7">
        <f t="shared" si="41"/>
        <v>419.9785640046228</v>
      </c>
      <c r="L133" s="7">
        <f t="shared" si="41"/>
        <v>423.3383925166598</v>
      </c>
      <c r="M133" s="7">
        <f t="shared" si="41"/>
        <v>426.7250996567931</v>
      </c>
      <c r="N133" s="7">
        <f t="shared" si="41"/>
        <v>430.1389004540475</v>
      </c>
      <c r="O133" s="7">
        <f t="shared" si="41"/>
        <v>433.5800116576798</v>
      </c>
      <c r="P133" s="7">
        <f t="shared" si="41"/>
        <v>437.0486517509412</v>
      </c>
      <c r="Q133" s="7">
        <f t="shared" si="41"/>
        <v>440.5450409649488</v>
      </c>
      <c r="R133" s="7">
        <f t="shared" si="41"/>
        <v>444.06940129266843</v>
      </c>
      <c r="S133" s="7">
        <f t="shared" si="41"/>
        <v>447.6219565030098</v>
      </c>
      <c r="T133" s="7">
        <f t="shared" si="41"/>
        <v>451.20293215503386</v>
      </c>
      <c r="U133" s="7">
        <f t="shared" si="41"/>
        <v>454.81255561227414</v>
      </c>
      <c r="V133" s="7">
        <f t="shared" si="41"/>
        <v>458.45105605717237</v>
      </c>
      <c r="W133" s="7">
        <f t="shared" si="41"/>
        <v>462.1186645056298</v>
      </c>
      <c r="X133" s="7">
        <f t="shared" si="41"/>
        <v>465.8156138216748</v>
      </c>
      <c r="Y133" s="7"/>
    </row>
    <row r="134" spans="1:25" ht="10.5">
      <c r="A134" s="2" t="s">
        <v>51</v>
      </c>
      <c r="B134" s="7">
        <f aca="true" t="shared" si="42" ref="B134:X134">SUM(B135:B141)</f>
        <v>38.5</v>
      </c>
      <c r="C134" s="7">
        <f t="shared" si="42"/>
        <v>235.2672</v>
      </c>
      <c r="D134" s="7">
        <f t="shared" si="42"/>
        <v>124.87426560000002</v>
      </c>
      <c r="E134" s="7">
        <f t="shared" si="42"/>
        <v>312.87179008847454</v>
      </c>
      <c r="F134" s="7">
        <f t="shared" si="42"/>
        <v>312.30042198464577</v>
      </c>
      <c r="G134" s="7">
        <f t="shared" si="42"/>
        <v>346.63611466034234</v>
      </c>
      <c r="H134" s="7">
        <f t="shared" si="42"/>
        <v>331.63000170657097</v>
      </c>
      <c r="I134" s="7">
        <f t="shared" si="42"/>
        <v>342.6643270778019</v>
      </c>
      <c r="J134" s="7">
        <f t="shared" si="42"/>
        <v>355.015897302876</v>
      </c>
      <c r="K134" s="7">
        <f t="shared" si="42"/>
        <v>352.9411194139139</v>
      </c>
      <c r="L134" s="7">
        <f t="shared" si="42"/>
        <v>347.64930093753713</v>
      </c>
      <c r="M134" s="7">
        <f t="shared" si="42"/>
        <v>357.99630326843874</v>
      </c>
      <c r="N134" s="7">
        <f t="shared" si="42"/>
        <v>355.529692885154</v>
      </c>
      <c r="O134" s="7">
        <f t="shared" si="42"/>
        <v>358.3265929780794</v>
      </c>
      <c r="P134" s="7">
        <f t="shared" si="42"/>
        <v>370.51091226785917</v>
      </c>
      <c r="Q134" s="7">
        <f t="shared" si="42"/>
        <v>365.6535160675079</v>
      </c>
      <c r="R134" s="7">
        <f t="shared" si="42"/>
        <v>368.05777479424165</v>
      </c>
      <c r="S134" s="7">
        <f t="shared" si="42"/>
        <v>382.314166359896</v>
      </c>
      <c r="T134" s="7">
        <f t="shared" si="42"/>
        <v>377.209837585221</v>
      </c>
      <c r="U134" s="7">
        <f t="shared" si="42"/>
        <v>377.8223754016989</v>
      </c>
      <c r="V134" s="7">
        <f t="shared" si="42"/>
        <v>390.58667451855376</v>
      </c>
      <c r="W134" s="7">
        <f t="shared" si="42"/>
        <v>382.23681332217814</v>
      </c>
      <c r="X134" s="7">
        <f t="shared" si="42"/>
        <v>387.69364958269864</v>
      </c>
      <c r="Y134" s="7"/>
    </row>
    <row r="135" spans="1:25" ht="10.5">
      <c r="A135" s="18" t="s">
        <v>156</v>
      </c>
      <c r="B135" s="7">
        <f aca="true" t="shared" si="43" ref="B135:X135">B108</f>
        <v>0</v>
      </c>
      <c r="C135" s="7">
        <f t="shared" si="43"/>
        <v>0</v>
      </c>
      <c r="D135" s="7">
        <f t="shared" si="43"/>
        <v>0</v>
      </c>
      <c r="E135" s="7">
        <f t="shared" si="43"/>
        <v>277.43439426232317</v>
      </c>
      <c r="F135" s="7">
        <f t="shared" si="43"/>
        <v>279.6538694164218</v>
      </c>
      <c r="G135" s="7">
        <f t="shared" si="43"/>
        <v>281.8911003717531</v>
      </c>
      <c r="H135" s="7">
        <f t="shared" si="43"/>
        <v>284.1462291747272</v>
      </c>
      <c r="I135" s="7">
        <f t="shared" si="43"/>
        <v>286.41939900812497</v>
      </c>
      <c r="J135" s="7">
        <f t="shared" si="43"/>
        <v>288.71075420018997</v>
      </c>
      <c r="K135" s="7">
        <f t="shared" si="43"/>
        <v>291.02044023379153</v>
      </c>
      <c r="L135" s="7">
        <f t="shared" si="43"/>
        <v>293.3486037556619</v>
      </c>
      <c r="M135" s="7">
        <f t="shared" si="43"/>
        <v>295.69539258570717</v>
      </c>
      <c r="N135" s="7">
        <f t="shared" si="43"/>
        <v>298.0609557263928</v>
      </c>
      <c r="O135" s="7">
        <f t="shared" si="43"/>
        <v>300.44544337220395</v>
      </c>
      <c r="P135" s="7">
        <f t="shared" si="43"/>
        <v>302.8490069191816</v>
      </c>
      <c r="Q135" s="7">
        <f t="shared" si="43"/>
        <v>305.27179897453505</v>
      </c>
      <c r="R135" s="7">
        <f t="shared" si="43"/>
        <v>307.71397336633135</v>
      </c>
      <c r="S135" s="7">
        <f t="shared" si="43"/>
        <v>310.175685153262</v>
      </c>
      <c r="T135" s="7">
        <f t="shared" si="43"/>
        <v>312.6570906344881</v>
      </c>
      <c r="U135" s="7">
        <f t="shared" si="43"/>
        <v>315.15834735956406</v>
      </c>
      <c r="V135" s="7">
        <f t="shared" si="43"/>
        <v>317.67961413844057</v>
      </c>
      <c r="W135" s="7">
        <f t="shared" si="43"/>
        <v>320.2210510515481</v>
      </c>
      <c r="X135" s="7">
        <f t="shared" si="43"/>
        <v>322.7828194599605</v>
      </c>
      <c r="Y135" s="7"/>
    </row>
    <row r="136" spans="1:25" ht="10.5">
      <c r="A136" s="18" t="s">
        <v>157</v>
      </c>
      <c r="B136" s="7">
        <f aca="true" t="shared" si="44" ref="B136:X136">B109</f>
        <v>0</v>
      </c>
      <c r="C136" s="7">
        <f t="shared" si="44"/>
        <v>0</v>
      </c>
      <c r="D136" s="7">
        <f t="shared" si="44"/>
        <v>0</v>
      </c>
      <c r="E136" s="7">
        <f t="shared" si="44"/>
        <v>9.89369966592</v>
      </c>
      <c r="F136" s="7">
        <f t="shared" si="44"/>
        <v>9.97284926324736</v>
      </c>
      <c r="G136" s="7">
        <f t="shared" si="44"/>
        <v>10.052632057353339</v>
      </c>
      <c r="H136" s="7">
        <f t="shared" si="44"/>
        <v>10.133053113812165</v>
      </c>
      <c r="I136" s="7">
        <f t="shared" si="44"/>
        <v>10.214117538722663</v>
      </c>
      <c r="J136" s="7">
        <f t="shared" si="44"/>
        <v>10.295830479032444</v>
      </c>
      <c r="K136" s="7">
        <f t="shared" si="44"/>
        <v>10.378197122864703</v>
      </c>
      <c r="L136" s="7">
        <f t="shared" si="44"/>
        <v>10.461222699847623</v>
      </c>
      <c r="M136" s="7">
        <f t="shared" si="44"/>
        <v>10.544912481446403</v>
      </c>
      <c r="N136" s="7">
        <f t="shared" si="44"/>
        <v>10.629271781297975</v>
      </c>
      <c r="O136" s="7">
        <f t="shared" si="44"/>
        <v>10.714305955548358</v>
      </c>
      <c r="P136" s="7">
        <f t="shared" si="44"/>
        <v>10.800020403192745</v>
      </c>
      <c r="Q136" s="7">
        <f t="shared" si="44"/>
        <v>10.886420566418288</v>
      </c>
      <c r="R136" s="7">
        <f t="shared" si="44"/>
        <v>10.973511930949634</v>
      </c>
      <c r="S136" s="7">
        <f t="shared" si="44"/>
        <v>11.061300026397232</v>
      </c>
      <c r="T136" s="7">
        <f t="shared" si="44"/>
        <v>11.14979042660841</v>
      </c>
      <c r="U136" s="7">
        <f t="shared" si="44"/>
        <v>11.238988750021278</v>
      </c>
      <c r="V136" s="7">
        <f t="shared" si="44"/>
        <v>11.328900660021448</v>
      </c>
      <c r="W136" s="7">
        <f t="shared" si="44"/>
        <v>11.41953186530162</v>
      </c>
      <c r="X136" s="7">
        <f t="shared" si="44"/>
        <v>11.510888120224033</v>
      </c>
      <c r="Y136" s="7"/>
    </row>
    <row r="137" spans="1:25" ht="10.5">
      <c r="A137" s="18" t="s">
        <v>158</v>
      </c>
      <c r="B137" s="7">
        <f aca="true" t="shared" si="45" ref="B137:X137">B110</f>
        <v>0</v>
      </c>
      <c r="C137" s="7">
        <f t="shared" si="45"/>
        <v>0</v>
      </c>
      <c r="D137" s="7">
        <f t="shared" si="45"/>
        <v>0</v>
      </c>
      <c r="E137" s="7">
        <f t="shared" si="45"/>
        <v>9.420522725376001</v>
      </c>
      <c r="F137" s="7">
        <f t="shared" si="45"/>
        <v>9.49588690717901</v>
      </c>
      <c r="G137" s="7">
        <f t="shared" si="45"/>
        <v>9.571854002436442</v>
      </c>
      <c r="H137" s="7">
        <f t="shared" si="45"/>
        <v>9.648428834455935</v>
      </c>
      <c r="I137" s="7">
        <f t="shared" si="45"/>
        <v>9.725616265131581</v>
      </c>
      <c r="J137" s="7">
        <f t="shared" si="45"/>
        <v>9.803421195252634</v>
      </c>
      <c r="K137" s="7">
        <f t="shared" si="45"/>
        <v>9.881848564814655</v>
      </c>
      <c r="L137" s="7">
        <f t="shared" si="45"/>
        <v>9.960903353333173</v>
      </c>
      <c r="M137" s="7">
        <f t="shared" si="45"/>
        <v>10.040590580159838</v>
      </c>
      <c r="N137" s="7">
        <f t="shared" si="45"/>
        <v>10.120915304801116</v>
      </c>
      <c r="O137" s="7">
        <f t="shared" si="45"/>
        <v>10.201882627239526</v>
      </c>
      <c r="P137" s="7">
        <f t="shared" si="45"/>
        <v>10.283497688257441</v>
      </c>
      <c r="Q137" s="7">
        <f t="shared" si="45"/>
        <v>10.365765669763501</v>
      </c>
      <c r="R137" s="7">
        <f t="shared" si="45"/>
        <v>10.44869179512161</v>
      </c>
      <c r="S137" s="7">
        <f t="shared" si="45"/>
        <v>10.532281329482583</v>
      </c>
      <c r="T137" s="7">
        <f t="shared" si="45"/>
        <v>10.616539580118445</v>
      </c>
      <c r="U137" s="7">
        <f t="shared" si="45"/>
        <v>10.701471896759392</v>
      </c>
      <c r="V137" s="7">
        <f t="shared" si="45"/>
        <v>10.787083671933468</v>
      </c>
      <c r="W137" s="7">
        <f t="shared" si="45"/>
        <v>10.873380341308936</v>
      </c>
      <c r="X137" s="7">
        <f t="shared" si="45"/>
        <v>10.960367384039408</v>
      </c>
      <c r="Y137" s="7"/>
    </row>
    <row r="138" spans="1:25" ht="10.5">
      <c r="A138" s="18" t="s">
        <v>159</v>
      </c>
      <c r="B138" s="7">
        <f aca="true" t="shared" si="46" ref="B138:X138">B111</f>
        <v>0</v>
      </c>
      <c r="C138" s="7">
        <f t="shared" si="46"/>
        <v>0</v>
      </c>
      <c r="D138" s="7">
        <f t="shared" si="46"/>
        <v>0</v>
      </c>
      <c r="E138" s="7">
        <f t="shared" si="46"/>
        <v>9.289426083840002</v>
      </c>
      <c r="F138" s="7">
        <f t="shared" si="46"/>
        <v>6.194316312576001</v>
      </c>
      <c r="G138" s="7">
        <f t="shared" si="46"/>
        <v>39.06581857484932</v>
      </c>
      <c r="H138" s="7">
        <f t="shared" si="46"/>
        <v>6.608512900312283</v>
      </c>
      <c r="I138" s="7">
        <f t="shared" si="46"/>
        <v>17.40417957426243</v>
      </c>
      <c r="J138" s="7">
        <f t="shared" si="46"/>
        <v>29.864303314957468</v>
      </c>
      <c r="K138" s="7">
        <f t="shared" si="46"/>
        <v>22.464606815641925</v>
      </c>
      <c r="L138" s="7">
        <f t="shared" si="46"/>
        <v>10.612834623033821</v>
      </c>
      <c r="M138" s="7">
        <f t="shared" si="46"/>
        <v>20.22745634380972</v>
      </c>
      <c r="N138" s="7">
        <f t="shared" si="46"/>
        <v>12.08171885700329</v>
      </c>
      <c r="O138" s="7">
        <f t="shared" si="46"/>
        <v>11.70144180445499</v>
      </c>
      <c r="P138" s="7">
        <f t="shared" si="46"/>
        <v>24.19383452640694</v>
      </c>
      <c r="Q138" s="7">
        <f t="shared" si="46"/>
        <v>13.579851741753663</v>
      </c>
      <c r="R138" s="7">
        <f t="shared" si="46"/>
        <v>12.916028018105315</v>
      </c>
      <c r="S138" s="7">
        <f t="shared" si="46"/>
        <v>28.51204665189349</v>
      </c>
      <c r="T138" s="7">
        <f t="shared" si="46"/>
        <v>17.46338811124071</v>
      </c>
      <c r="U138" s="7">
        <f t="shared" si="46"/>
        <v>14.240706242262988</v>
      </c>
      <c r="V138" s="7">
        <f t="shared" si="46"/>
        <v>27.688959066574164</v>
      </c>
      <c r="W138" s="7">
        <f t="shared" si="46"/>
        <v>12.081533712565484</v>
      </c>
      <c r="X138" s="7">
        <f t="shared" si="46"/>
        <v>15.419347026469875</v>
      </c>
      <c r="Y138" s="7"/>
    </row>
    <row r="139" spans="1:25" s="67" customFormat="1" ht="10.5">
      <c r="A139" s="72" t="s">
        <v>133</v>
      </c>
      <c r="B139" s="71">
        <f aca="true" t="shared" si="47" ref="B139:X139">B113</f>
        <v>0</v>
      </c>
      <c r="C139" s="71">
        <f t="shared" si="47"/>
        <v>0</v>
      </c>
      <c r="D139" s="71">
        <f t="shared" si="47"/>
        <v>0</v>
      </c>
      <c r="E139" s="71">
        <f t="shared" si="47"/>
        <v>6.833747351015427</v>
      </c>
      <c r="F139" s="71">
        <f t="shared" si="47"/>
        <v>6.983500085221589</v>
      </c>
      <c r="G139" s="71">
        <f t="shared" si="47"/>
        <v>6.054709653950184</v>
      </c>
      <c r="H139" s="71">
        <f t="shared" si="47"/>
        <v>7.08624229787586</v>
      </c>
      <c r="I139" s="71">
        <f t="shared" si="47"/>
        <v>6.820648279136437</v>
      </c>
      <c r="J139" s="71">
        <f t="shared" si="47"/>
        <v>6.505586756246503</v>
      </c>
      <c r="K139" s="71">
        <f t="shared" si="47"/>
        <v>6.786789778071527</v>
      </c>
      <c r="L139" s="71">
        <f t="shared" si="47"/>
        <v>7.202028767710096</v>
      </c>
      <c r="M139" s="71">
        <f t="shared" si="47"/>
        <v>6.973753426538028</v>
      </c>
      <c r="N139" s="71">
        <f t="shared" si="47"/>
        <v>7.278770168077044</v>
      </c>
      <c r="O139" s="71">
        <f t="shared" si="47"/>
        <v>7.351308253523787</v>
      </c>
      <c r="P139" s="71">
        <f t="shared" si="47"/>
        <v>7.0381552839264865</v>
      </c>
      <c r="Q139" s="71">
        <f t="shared" si="47"/>
        <v>7.4186865300238365</v>
      </c>
      <c r="R139" s="71">
        <f t="shared" si="47"/>
        <v>7.501209898391501</v>
      </c>
      <c r="S139" s="71">
        <f t="shared" si="47"/>
        <v>7.096438865289332</v>
      </c>
      <c r="T139" s="71">
        <f t="shared" si="47"/>
        <v>7.491513023627683</v>
      </c>
      <c r="U139" s="71">
        <f t="shared" si="47"/>
        <v>7.652316797032732</v>
      </c>
      <c r="V139" s="71">
        <f t="shared" si="47"/>
        <v>7.313505516177804</v>
      </c>
      <c r="W139" s="71">
        <f t="shared" si="47"/>
        <v>7.846881671103468</v>
      </c>
      <c r="X139" s="71">
        <f t="shared" si="47"/>
        <v>7.812421893146178</v>
      </c>
      <c r="Y139" s="71"/>
    </row>
    <row r="140" spans="1:25" ht="10.5">
      <c r="A140" s="18" t="s">
        <v>49</v>
      </c>
      <c r="B140" s="7">
        <f aca="true" t="shared" si="48" ref="B140:X140">B119</f>
        <v>0</v>
      </c>
      <c r="C140" s="7">
        <f t="shared" si="48"/>
        <v>0</v>
      </c>
      <c r="D140" s="7">
        <f t="shared" si="48"/>
        <v>0</v>
      </c>
      <c r="E140" s="7">
        <f t="shared" si="48"/>
        <v>0</v>
      </c>
      <c r="F140" s="7">
        <f t="shared" si="48"/>
        <v>0</v>
      </c>
      <c r="G140" s="7">
        <f t="shared" si="48"/>
        <v>0</v>
      </c>
      <c r="H140" s="7">
        <f t="shared" si="48"/>
        <v>14.00753538538756</v>
      </c>
      <c r="I140" s="7">
        <f t="shared" si="48"/>
        <v>12.080366412423796</v>
      </c>
      <c r="J140" s="7">
        <f t="shared" si="48"/>
        <v>9.836001357197084</v>
      </c>
      <c r="K140" s="7">
        <f t="shared" si="48"/>
        <v>12.409236898729532</v>
      </c>
      <c r="L140" s="7">
        <f t="shared" si="48"/>
        <v>16.063707737950537</v>
      </c>
      <c r="M140" s="7">
        <f t="shared" si="48"/>
        <v>14.514197850777531</v>
      </c>
      <c r="N140" s="7">
        <f t="shared" si="48"/>
        <v>17.358061047581852</v>
      </c>
      <c r="O140" s="7">
        <f t="shared" si="48"/>
        <v>17.91221096510882</v>
      </c>
      <c r="P140" s="7">
        <f t="shared" si="48"/>
        <v>15.346397446894002</v>
      </c>
      <c r="Q140" s="7">
        <f t="shared" si="48"/>
        <v>18.130992585013615</v>
      </c>
      <c r="R140" s="7">
        <f t="shared" si="48"/>
        <v>18.504359785342263</v>
      </c>
      <c r="S140" s="7">
        <f t="shared" si="48"/>
        <v>14.936414333571278</v>
      </c>
      <c r="T140" s="7">
        <f t="shared" si="48"/>
        <v>17.83151580913762</v>
      </c>
      <c r="U140" s="7">
        <f t="shared" si="48"/>
        <v>18.830544356058407</v>
      </c>
      <c r="V140" s="7">
        <f t="shared" si="48"/>
        <v>15.788611465406216</v>
      </c>
      <c r="W140" s="7">
        <f t="shared" si="48"/>
        <v>19.79443468035055</v>
      </c>
      <c r="X140" s="7">
        <f t="shared" si="48"/>
        <v>19.207805698858706</v>
      </c>
      <c r="Y140" s="7"/>
    </row>
    <row r="141" spans="1:25" ht="10.5">
      <c r="A141" s="18" t="s">
        <v>0</v>
      </c>
      <c r="B141" s="7">
        <f>B82</f>
        <v>38.5</v>
      </c>
      <c r="C141" s="7">
        <f>C82</f>
        <v>235.2672</v>
      </c>
      <c r="D141" s="7">
        <f>D82</f>
        <v>124.87426560000002</v>
      </c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2:25" ht="10.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1:25" ht="10.5">
      <c r="A143" s="9" t="s">
        <v>52</v>
      </c>
      <c r="B143" s="7">
        <f aca="true" t="shared" si="49" ref="B143:X143">B132-B134</f>
        <v>-38.5</v>
      </c>
      <c r="C143" s="7">
        <f t="shared" si="49"/>
        <v>-235.2672</v>
      </c>
      <c r="D143" s="7">
        <f t="shared" si="49"/>
        <v>-124.87426560000002</v>
      </c>
      <c r="E143" s="7">
        <f t="shared" si="49"/>
        <v>87.50042574000548</v>
      </c>
      <c r="F143" s="7">
        <f t="shared" si="49"/>
        <v>91.27477157046212</v>
      </c>
      <c r="G143" s="7">
        <f t="shared" si="49"/>
        <v>60.16768044320639</v>
      </c>
      <c r="H143" s="7">
        <f t="shared" si="49"/>
        <v>78.42822375780622</v>
      </c>
      <c r="I143" s="7">
        <f t="shared" si="49"/>
        <v>70.67436419029025</v>
      </c>
      <c r="J143" s="7">
        <f t="shared" si="49"/>
        <v>61.62950349536089</v>
      </c>
      <c r="K143" s="7">
        <f t="shared" si="49"/>
        <v>67.0374445907089</v>
      </c>
      <c r="L143" s="7">
        <f t="shared" si="49"/>
        <v>75.68909157912265</v>
      </c>
      <c r="M143" s="7">
        <f t="shared" si="49"/>
        <v>68.72879638835434</v>
      </c>
      <c r="N143" s="7">
        <f t="shared" si="49"/>
        <v>74.60920756889345</v>
      </c>
      <c r="O143" s="7">
        <f t="shared" si="49"/>
        <v>75.25341867960037</v>
      </c>
      <c r="P143" s="7">
        <f t="shared" si="49"/>
        <v>66.53773948308202</v>
      </c>
      <c r="Q143" s="7">
        <f t="shared" si="49"/>
        <v>74.89152489744089</v>
      </c>
      <c r="R143" s="7">
        <f t="shared" si="49"/>
        <v>76.01162649842678</v>
      </c>
      <c r="S143" s="7">
        <f t="shared" si="49"/>
        <v>65.30779014311383</v>
      </c>
      <c r="T143" s="7">
        <f t="shared" si="49"/>
        <v>73.99309456981285</v>
      </c>
      <c r="U143" s="7">
        <f t="shared" si="49"/>
        <v>76.99018021057526</v>
      </c>
      <c r="V143" s="7">
        <f t="shared" si="49"/>
        <v>67.8643815386186</v>
      </c>
      <c r="W143" s="7">
        <f t="shared" si="49"/>
        <v>79.88185118345166</v>
      </c>
      <c r="X143" s="7">
        <f t="shared" si="49"/>
        <v>78.12196423897615</v>
      </c>
      <c r="Y143" s="7"/>
    </row>
    <row r="144" spans="1:25" ht="10.5">
      <c r="A144" s="2" t="s">
        <v>53</v>
      </c>
      <c r="B144" s="7">
        <f aca="true" t="shared" si="50" ref="B144:X144">B90+B98</f>
        <v>3.8</v>
      </c>
      <c r="C144" s="7">
        <f t="shared" si="50"/>
        <v>173.8</v>
      </c>
      <c r="D144" s="7">
        <f t="shared" si="50"/>
        <v>98.4</v>
      </c>
      <c r="E144" s="7">
        <f t="shared" si="50"/>
        <v>-19.8517757564928</v>
      </c>
      <c r="F144" s="7">
        <f t="shared" si="50"/>
        <v>-46.2694656188928</v>
      </c>
      <c r="G144" s="7">
        <f t="shared" si="50"/>
        <v>-44.29711297026816</v>
      </c>
      <c r="H144" s="7">
        <f t="shared" si="50"/>
        <v>-42.324760321643524</v>
      </c>
      <c r="I144" s="7">
        <f t="shared" si="50"/>
        <v>-46.68473753541888</v>
      </c>
      <c r="J144" s="7">
        <f t="shared" si="50"/>
        <v>-44.372972006169604</v>
      </c>
      <c r="K144" s="7">
        <f t="shared" si="50"/>
        <v>-42.061206476920326</v>
      </c>
      <c r="L144" s="7">
        <f t="shared" si="50"/>
        <v>-39.74944094767105</v>
      </c>
      <c r="M144" s="7">
        <f t="shared" si="50"/>
        <v>-43.77000528082176</v>
      </c>
      <c r="N144" s="7">
        <f t="shared" si="50"/>
        <v>-21.033466870947844</v>
      </c>
      <c r="O144" s="7">
        <f t="shared" si="50"/>
        <v>-20.015228229073923</v>
      </c>
      <c r="P144" s="7">
        <f t="shared" si="50"/>
        <v>0</v>
      </c>
      <c r="Q144" s="7">
        <f t="shared" si="50"/>
        <v>0</v>
      </c>
      <c r="R144" s="7">
        <f t="shared" si="50"/>
        <v>0</v>
      </c>
      <c r="S144" s="7">
        <f t="shared" si="50"/>
        <v>0</v>
      </c>
      <c r="T144" s="7">
        <f t="shared" si="50"/>
        <v>0</v>
      </c>
      <c r="U144" s="7">
        <f t="shared" si="50"/>
        <v>0</v>
      </c>
      <c r="V144" s="7">
        <f t="shared" si="50"/>
        <v>0</v>
      </c>
      <c r="W144" s="7">
        <f t="shared" si="50"/>
        <v>0</v>
      </c>
      <c r="X144" s="7">
        <f t="shared" si="50"/>
        <v>0</v>
      </c>
      <c r="Y144" s="7"/>
    </row>
    <row r="145" spans="1:25" ht="10.5">
      <c r="A145" s="9" t="s">
        <v>54</v>
      </c>
      <c r="B145" s="7">
        <f aca="true" t="shared" si="51" ref="B145:X145">B143+B144</f>
        <v>-34.7</v>
      </c>
      <c r="C145" s="7">
        <f t="shared" si="51"/>
        <v>-61.46719999999999</v>
      </c>
      <c r="D145" s="7">
        <f t="shared" si="51"/>
        <v>-26.47426560000001</v>
      </c>
      <c r="E145" s="7">
        <f t="shared" si="51"/>
        <v>67.64864998351268</v>
      </c>
      <c r="F145" s="7">
        <f t="shared" si="51"/>
        <v>45.00530595156932</v>
      </c>
      <c r="G145" s="7">
        <f t="shared" si="51"/>
        <v>15.870567472938234</v>
      </c>
      <c r="H145" s="7">
        <f t="shared" si="51"/>
        <v>36.1034634361627</v>
      </c>
      <c r="I145" s="7">
        <f t="shared" si="51"/>
        <v>23.989626654871365</v>
      </c>
      <c r="J145" s="7">
        <f t="shared" si="51"/>
        <v>17.25653148919129</v>
      </c>
      <c r="K145" s="7">
        <f t="shared" si="51"/>
        <v>24.976238113788575</v>
      </c>
      <c r="L145" s="7">
        <f t="shared" si="51"/>
        <v>35.9396506314516</v>
      </c>
      <c r="M145" s="7">
        <f t="shared" si="51"/>
        <v>24.958791107532576</v>
      </c>
      <c r="N145" s="7">
        <f t="shared" si="51"/>
        <v>53.575740697945605</v>
      </c>
      <c r="O145" s="7">
        <f t="shared" si="51"/>
        <v>55.238190450526446</v>
      </c>
      <c r="P145" s="7">
        <f t="shared" si="51"/>
        <v>66.53773948308202</v>
      </c>
      <c r="Q145" s="7">
        <f t="shared" si="51"/>
        <v>74.89152489744089</v>
      </c>
      <c r="R145" s="7">
        <f t="shared" si="51"/>
        <v>76.01162649842678</v>
      </c>
      <c r="S145" s="7">
        <f t="shared" si="51"/>
        <v>65.30779014311383</v>
      </c>
      <c r="T145" s="7">
        <f t="shared" si="51"/>
        <v>73.99309456981285</v>
      </c>
      <c r="U145" s="7">
        <f t="shared" si="51"/>
        <v>76.99018021057526</v>
      </c>
      <c r="V145" s="7">
        <f t="shared" si="51"/>
        <v>67.8643815386186</v>
      </c>
      <c r="W145" s="7">
        <f t="shared" si="51"/>
        <v>79.88185118345166</v>
      </c>
      <c r="X145" s="7">
        <f t="shared" si="51"/>
        <v>78.12196423897615</v>
      </c>
      <c r="Y145" s="7"/>
    </row>
    <row r="146" spans="1:25" ht="10.5">
      <c r="A146" s="18" t="s">
        <v>56</v>
      </c>
      <c r="B146" s="7">
        <f aca="true" t="shared" si="52" ref="B146:X146">B$145*$B40</f>
        <v>-17.35</v>
      </c>
      <c r="C146" s="7">
        <f t="shared" si="52"/>
        <v>-30.733599999999996</v>
      </c>
      <c r="D146" s="7">
        <f t="shared" si="52"/>
        <v>-13.237132800000005</v>
      </c>
      <c r="E146" s="7">
        <f t="shared" si="52"/>
        <v>33.82432499175634</v>
      </c>
      <c r="F146" s="7">
        <f t="shared" si="52"/>
        <v>22.50265297578466</v>
      </c>
      <c r="G146" s="7">
        <f t="shared" si="52"/>
        <v>7.935283736469117</v>
      </c>
      <c r="H146" s="7">
        <f t="shared" si="52"/>
        <v>18.05173171808135</v>
      </c>
      <c r="I146" s="7">
        <f t="shared" si="52"/>
        <v>11.994813327435683</v>
      </c>
      <c r="J146" s="7">
        <f t="shared" si="52"/>
        <v>8.628265744595645</v>
      </c>
      <c r="K146" s="7">
        <f t="shared" si="52"/>
        <v>12.488119056894288</v>
      </c>
      <c r="L146" s="7">
        <f t="shared" si="52"/>
        <v>17.9698253157258</v>
      </c>
      <c r="M146" s="7">
        <f t="shared" si="52"/>
        <v>12.479395553766288</v>
      </c>
      <c r="N146" s="7">
        <f t="shared" si="52"/>
        <v>26.787870348972803</v>
      </c>
      <c r="O146" s="7">
        <f t="shared" si="52"/>
        <v>27.619095225263223</v>
      </c>
      <c r="P146" s="7">
        <f t="shared" si="52"/>
        <v>33.26886974154101</v>
      </c>
      <c r="Q146" s="7">
        <f t="shared" si="52"/>
        <v>37.445762448720444</v>
      </c>
      <c r="R146" s="7">
        <f t="shared" si="52"/>
        <v>38.00581324921339</v>
      </c>
      <c r="S146" s="7">
        <f t="shared" si="52"/>
        <v>32.65389507155692</v>
      </c>
      <c r="T146" s="7">
        <f t="shared" si="52"/>
        <v>36.99654728490643</v>
      </c>
      <c r="U146" s="7">
        <f t="shared" si="52"/>
        <v>38.49509010528763</v>
      </c>
      <c r="V146" s="7">
        <f t="shared" si="52"/>
        <v>33.9321907693093</v>
      </c>
      <c r="W146" s="7">
        <f t="shared" si="52"/>
        <v>39.94092559172583</v>
      </c>
      <c r="X146" s="7">
        <f t="shared" si="52"/>
        <v>39.060982119488074</v>
      </c>
      <c r="Y146" s="7"/>
    </row>
    <row r="147" spans="1:25" ht="10.5">
      <c r="A147" s="18" t="s">
        <v>57</v>
      </c>
      <c r="B147" s="7">
        <f aca="true" t="shared" si="53" ref="B147:X147">B$145*$B41</f>
        <v>-15.615000000000002</v>
      </c>
      <c r="C147" s="7">
        <f t="shared" si="53"/>
        <v>-27.660239999999998</v>
      </c>
      <c r="D147" s="7">
        <f t="shared" si="53"/>
        <v>-11.913419520000005</v>
      </c>
      <c r="E147" s="7">
        <f t="shared" si="53"/>
        <v>30.44189249258071</v>
      </c>
      <c r="F147" s="7">
        <f t="shared" si="53"/>
        <v>20.252387678206194</v>
      </c>
      <c r="G147" s="7">
        <f t="shared" si="53"/>
        <v>7.141755362822205</v>
      </c>
      <c r="H147" s="7">
        <f t="shared" si="53"/>
        <v>16.246558546273214</v>
      </c>
      <c r="I147" s="7">
        <f t="shared" si="53"/>
        <v>10.795331994692114</v>
      </c>
      <c r="J147" s="7">
        <f t="shared" si="53"/>
        <v>7.76543917013608</v>
      </c>
      <c r="K147" s="7">
        <f t="shared" si="53"/>
        <v>11.239307151204859</v>
      </c>
      <c r="L147" s="7">
        <f t="shared" si="53"/>
        <v>16.17284278415322</v>
      </c>
      <c r="M147" s="7">
        <f t="shared" si="53"/>
        <v>11.23145599838966</v>
      </c>
      <c r="N147" s="7">
        <f t="shared" si="53"/>
        <v>24.109083314075523</v>
      </c>
      <c r="O147" s="7">
        <f t="shared" si="53"/>
        <v>24.857185702736903</v>
      </c>
      <c r="P147" s="7">
        <f t="shared" si="53"/>
        <v>29.94198276738691</v>
      </c>
      <c r="Q147" s="7">
        <f t="shared" si="53"/>
        <v>33.7011862038484</v>
      </c>
      <c r="R147" s="7">
        <f t="shared" si="53"/>
        <v>34.20523192429205</v>
      </c>
      <c r="S147" s="7">
        <f t="shared" si="53"/>
        <v>29.388505564401225</v>
      </c>
      <c r="T147" s="7">
        <f t="shared" si="53"/>
        <v>33.296892556415784</v>
      </c>
      <c r="U147" s="7">
        <f t="shared" si="53"/>
        <v>34.64558109475887</v>
      </c>
      <c r="V147" s="7">
        <f t="shared" si="53"/>
        <v>30.53897169237837</v>
      </c>
      <c r="W147" s="7">
        <f t="shared" si="53"/>
        <v>35.94683303255325</v>
      </c>
      <c r="X147" s="7">
        <f t="shared" si="53"/>
        <v>35.154883907539265</v>
      </c>
      <c r="Y147" s="7"/>
    </row>
    <row r="148" spans="1:25" ht="10.5">
      <c r="A148" s="18" t="s">
        <v>152</v>
      </c>
      <c r="B148" s="7">
        <f aca="true" t="shared" si="54" ref="B148:X148">B$145*$B42</f>
        <v>-1.7350000000000003</v>
      </c>
      <c r="C148" s="7">
        <f t="shared" si="54"/>
        <v>-3.0733599999999996</v>
      </c>
      <c r="D148" s="7">
        <f t="shared" si="54"/>
        <v>-1.3237132800000007</v>
      </c>
      <c r="E148" s="7">
        <f t="shared" si="54"/>
        <v>3.3824324991756343</v>
      </c>
      <c r="F148" s="7">
        <f t="shared" si="54"/>
        <v>2.250265297578466</v>
      </c>
      <c r="G148" s="7">
        <f t="shared" si="54"/>
        <v>0.7935283736469118</v>
      </c>
      <c r="H148" s="7">
        <f t="shared" si="54"/>
        <v>1.805173171808135</v>
      </c>
      <c r="I148" s="7">
        <f t="shared" si="54"/>
        <v>1.1994813327435683</v>
      </c>
      <c r="J148" s="7">
        <f t="shared" si="54"/>
        <v>0.8628265744595645</v>
      </c>
      <c r="K148" s="7">
        <f t="shared" si="54"/>
        <v>1.248811905689429</v>
      </c>
      <c r="L148" s="7">
        <f t="shared" si="54"/>
        <v>1.79698253157258</v>
      </c>
      <c r="M148" s="7">
        <f t="shared" si="54"/>
        <v>1.2479395553766288</v>
      </c>
      <c r="N148" s="7">
        <f t="shared" si="54"/>
        <v>2.6787870348972804</v>
      </c>
      <c r="O148" s="7">
        <f t="shared" si="54"/>
        <v>2.7619095225263224</v>
      </c>
      <c r="P148" s="7">
        <f t="shared" si="54"/>
        <v>3.3268869741541014</v>
      </c>
      <c r="Q148" s="7">
        <f t="shared" si="54"/>
        <v>3.7445762448720448</v>
      </c>
      <c r="R148" s="7">
        <f t="shared" si="54"/>
        <v>3.800581324921339</v>
      </c>
      <c r="S148" s="7">
        <f t="shared" si="54"/>
        <v>3.265389507155692</v>
      </c>
      <c r="T148" s="7">
        <f t="shared" si="54"/>
        <v>3.6996547284906427</v>
      </c>
      <c r="U148" s="7">
        <f t="shared" si="54"/>
        <v>3.849509010528763</v>
      </c>
      <c r="V148" s="7">
        <f t="shared" si="54"/>
        <v>3.3932190769309303</v>
      </c>
      <c r="W148" s="7">
        <f t="shared" si="54"/>
        <v>3.994092559172583</v>
      </c>
      <c r="X148" s="7">
        <f t="shared" si="54"/>
        <v>3.9060982119488075</v>
      </c>
      <c r="Y148" s="7"/>
    </row>
    <row r="149" ht="10.5">
      <c r="A149" s="17"/>
    </row>
    <row r="150" ht="10.5"/>
    <row r="151" ht="10.5">
      <c r="A151" s="50" t="s">
        <v>101</v>
      </c>
    </row>
    <row r="152" spans="1:24" ht="11.25">
      <c r="A152" s="51" t="s">
        <v>102</v>
      </c>
      <c r="E152" s="19">
        <f aca="true" t="shared" si="55" ref="E152:X152">E119/E118</f>
        <v>0</v>
      </c>
      <c r="F152" s="19">
        <f t="shared" si="55"/>
        <v>0</v>
      </c>
      <c r="G152" s="19">
        <f t="shared" si="55"/>
        <v>0</v>
      </c>
      <c r="H152" s="19">
        <f t="shared" si="55"/>
        <v>0.25</v>
      </c>
      <c r="I152" s="19">
        <f t="shared" si="55"/>
        <v>0.25</v>
      </c>
      <c r="J152" s="19">
        <f t="shared" si="55"/>
        <v>0.25</v>
      </c>
      <c r="K152" s="19">
        <f t="shared" si="55"/>
        <v>0.25</v>
      </c>
      <c r="L152" s="19">
        <f t="shared" si="55"/>
        <v>0.25</v>
      </c>
      <c r="M152" s="19">
        <f t="shared" si="55"/>
        <v>0.25</v>
      </c>
      <c r="N152" s="19">
        <f t="shared" si="55"/>
        <v>0.25</v>
      </c>
      <c r="O152" s="19">
        <f t="shared" si="55"/>
        <v>0.25</v>
      </c>
      <c r="P152" s="19">
        <f t="shared" si="55"/>
        <v>0.25</v>
      </c>
      <c r="Q152" s="19">
        <f t="shared" si="55"/>
        <v>0.25</v>
      </c>
      <c r="R152" s="19">
        <f t="shared" si="55"/>
        <v>0.25</v>
      </c>
      <c r="S152" s="19">
        <f t="shared" si="55"/>
        <v>0.25</v>
      </c>
      <c r="T152" s="19">
        <f t="shared" si="55"/>
        <v>0.25</v>
      </c>
      <c r="U152" s="19">
        <f t="shared" si="55"/>
        <v>0.25</v>
      </c>
      <c r="V152" s="19">
        <f t="shared" si="55"/>
        <v>0.25</v>
      </c>
      <c r="W152" s="19">
        <f t="shared" si="55"/>
        <v>0.25</v>
      </c>
      <c r="X152" s="19">
        <f t="shared" si="55"/>
        <v>0.25</v>
      </c>
    </row>
    <row r="153" spans="1:25" ht="11.25">
      <c r="A153" s="51" t="s">
        <v>124</v>
      </c>
      <c r="C153" s="6"/>
      <c r="D153" s="6"/>
      <c r="E153" s="6">
        <f aca="true" t="shared" si="56" ref="E153:X153">D128</f>
        <v>122.64146560000006</v>
      </c>
      <c r="F153" s="6">
        <f t="shared" si="56"/>
        <v>102.14291845760005</v>
      </c>
      <c r="G153" s="6">
        <f t="shared" si="56"/>
        <v>108.06206117760001</v>
      </c>
      <c r="H153" s="6">
        <f t="shared" si="56"/>
        <v>113.98120389760001</v>
      </c>
      <c r="I153" s="6">
        <f t="shared" si="56"/>
        <v>119.90034661760001</v>
      </c>
      <c r="J153" s="6">
        <f t="shared" si="56"/>
        <v>132.15181919999998</v>
      </c>
      <c r="K153" s="6">
        <f t="shared" si="56"/>
        <v>144.40329178239995</v>
      </c>
      <c r="L153" s="6">
        <f t="shared" si="56"/>
        <v>156.65476436479995</v>
      </c>
      <c r="M153" s="6">
        <f t="shared" si="56"/>
        <v>168.90623694719994</v>
      </c>
      <c r="N153" s="6">
        <f t="shared" si="56"/>
        <v>187.49003939199991</v>
      </c>
      <c r="O153" s="6">
        <f t="shared" si="56"/>
        <v>185.9884818367999</v>
      </c>
      <c r="P153" s="6">
        <f t="shared" si="56"/>
        <v>184.4869242815999</v>
      </c>
      <c r="Q153" s="6">
        <f t="shared" si="56"/>
        <v>163.98837713919988</v>
      </c>
      <c r="R153" s="6">
        <f t="shared" si="56"/>
        <v>143.48982999679987</v>
      </c>
      <c r="S153" s="6">
        <f t="shared" si="56"/>
        <v>122.99128285439987</v>
      </c>
      <c r="T153" s="6">
        <f t="shared" si="56"/>
        <v>102.49273571199987</v>
      </c>
      <c r="U153" s="6">
        <f t="shared" si="56"/>
        <v>81.99418856959987</v>
      </c>
      <c r="V153" s="6">
        <f t="shared" si="56"/>
        <v>61.49564142719987</v>
      </c>
      <c r="W153" s="6">
        <f t="shared" si="56"/>
        <v>40.99709428479987</v>
      </c>
      <c r="X153" s="6">
        <f t="shared" si="56"/>
        <v>20.498547142399868</v>
      </c>
      <c r="Y153" s="6"/>
    </row>
    <row r="154" spans="1:25" ht="11.25">
      <c r="A154" s="51" t="s">
        <v>125</v>
      </c>
      <c r="C154" s="6"/>
      <c r="D154" s="6"/>
      <c r="E154" s="6">
        <f aca="true" t="shared" si="57" ref="E154:X154">D127</f>
        <v>287.329477248</v>
      </c>
      <c r="F154" s="6">
        <f t="shared" si="57"/>
        <v>287.329477248</v>
      </c>
      <c r="G154" s="6">
        <f t="shared" si="57"/>
        <v>260.9117873856</v>
      </c>
      <c r="H154" s="6">
        <f t="shared" si="57"/>
        <v>234.4940975232</v>
      </c>
      <c r="I154" s="6">
        <f t="shared" si="57"/>
        <v>208.0764076608</v>
      </c>
      <c r="J154" s="6">
        <f t="shared" si="57"/>
        <v>175.326387936</v>
      </c>
      <c r="K154" s="6">
        <f t="shared" si="57"/>
        <v>142.57636821120002</v>
      </c>
      <c r="L154" s="6">
        <f t="shared" si="57"/>
        <v>109.82634848640001</v>
      </c>
      <c r="M154" s="6">
        <f t="shared" si="57"/>
        <v>77.07632876160001</v>
      </c>
      <c r="N154" s="6">
        <f t="shared" si="57"/>
        <v>37.9939791744</v>
      </c>
      <c r="O154" s="6">
        <f t="shared" si="57"/>
        <v>18.996989587199995</v>
      </c>
      <c r="P154" s="6">
        <f t="shared" si="57"/>
        <v>-7.105427357601002E-15</v>
      </c>
      <c r="Q154" s="6">
        <f t="shared" si="57"/>
        <v>0</v>
      </c>
      <c r="R154" s="6">
        <f t="shared" si="57"/>
        <v>0</v>
      </c>
      <c r="S154" s="6">
        <f t="shared" si="57"/>
        <v>0</v>
      </c>
      <c r="T154" s="6">
        <f t="shared" si="57"/>
        <v>0</v>
      </c>
      <c r="U154" s="6">
        <f t="shared" si="57"/>
        <v>0</v>
      </c>
      <c r="V154" s="6">
        <f t="shared" si="57"/>
        <v>0</v>
      </c>
      <c r="W154" s="6">
        <f t="shared" si="57"/>
        <v>0</v>
      </c>
      <c r="X154" s="6">
        <f t="shared" si="57"/>
        <v>0</v>
      </c>
      <c r="Y154" s="6"/>
    </row>
    <row r="155" spans="1:24" ht="11.25">
      <c r="A155" s="51" t="s">
        <v>103</v>
      </c>
      <c r="C155" s="14"/>
      <c r="D155" s="14"/>
      <c r="E155" s="14">
        <f aca="true" t="shared" si="58" ref="E155:X155">E154/E153</f>
        <v>2.342841190312715</v>
      </c>
      <c r="F155" s="14">
        <f t="shared" si="58"/>
        <v>2.813014172561279</v>
      </c>
      <c r="G155" s="14">
        <f t="shared" si="58"/>
        <v>2.4144624352185127</v>
      </c>
      <c r="H155" s="14">
        <f t="shared" si="58"/>
        <v>2.0573049722642693</v>
      </c>
      <c r="I155" s="14">
        <f t="shared" si="58"/>
        <v>1.7354112271620135</v>
      </c>
      <c r="J155" s="14">
        <f t="shared" si="58"/>
        <v>1.3267043087061796</v>
      </c>
      <c r="K155" s="14">
        <f t="shared" si="58"/>
        <v>0.9873484631226211</v>
      </c>
      <c r="L155" s="14">
        <f t="shared" si="58"/>
        <v>0.7010725076362746</v>
      </c>
      <c r="M155" s="14">
        <f t="shared" si="58"/>
        <v>0.4563261259896167</v>
      </c>
      <c r="N155" s="14">
        <f t="shared" si="58"/>
        <v>0.20264532077335082</v>
      </c>
      <c r="O155" s="14">
        <f t="shared" si="58"/>
        <v>0.10214067774298713</v>
      </c>
      <c r="P155" s="14">
        <f t="shared" si="58"/>
        <v>-3.8514530963480715E-17</v>
      </c>
      <c r="Q155" s="14">
        <f t="shared" si="58"/>
        <v>0</v>
      </c>
      <c r="R155" s="14">
        <f t="shared" si="58"/>
        <v>0</v>
      </c>
      <c r="S155" s="14">
        <f t="shared" si="58"/>
        <v>0</v>
      </c>
      <c r="T155" s="14">
        <f t="shared" si="58"/>
        <v>0</v>
      </c>
      <c r="U155" s="14">
        <f t="shared" si="58"/>
        <v>0</v>
      </c>
      <c r="V155" s="14">
        <f t="shared" si="58"/>
        <v>0</v>
      </c>
      <c r="W155" s="14">
        <f t="shared" si="58"/>
        <v>0</v>
      </c>
      <c r="X155" s="14">
        <f t="shared" si="58"/>
        <v>0</v>
      </c>
    </row>
    <row r="156" ht="11.25">
      <c r="A156" s="51"/>
    </row>
    <row r="157" spans="1:3" ht="10.5">
      <c r="A157" s="9" t="s">
        <v>106</v>
      </c>
      <c r="B157" s="2" t="s">
        <v>86</v>
      </c>
      <c r="C157" s="2" t="s">
        <v>87</v>
      </c>
    </row>
    <row r="158" spans="1:3" ht="10.5">
      <c r="A158" s="54" t="s">
        <v>107</v>
      </c>
      <c r="B158" s="3">
        <f>IRR(B143:Y143)</f>
        <v>0.1585351617529235</v>
      </c>
      <c r="C158" s="58">
        <f>(1+B158)/(1+$B$6)-1</f>
        <v>0.1493404382469481</v>
      </c>
    </row>
    <row r="159" spans="1:3" ht="10.5">
      <c r="A159" s="54" t="s">
        <v>61</v>
      </c>
      <c r="B159" s="3">
        <f>IRR(B144:Y144)</f>
        <v>0.06675877371529261</v>
      </c>
      <c r="C159" s="58">
        <f>(1+B159)/(1+$B$6)-1</f>
        <v>0.05829243424136177</v>
      </c>
    </row>
    <row r="160" spans="1:3" ht="10.5">
      <c r="A160" s="54" t="s">
        <v>108</v>
      </c>
      <c r="B160" s="135">
        <f>IRR(B145:Y145)</f>
        <v>0.2594562736764888</v>
      </c>
      <c r="C160" s="58">
        <f>(1+B160)/(1+$B$6)-1</f>
        <v>0.24946058896477052</v>
      </c>
    </row>
    <row r="161" spans="1:2" ht="10.5">
      <c r="A161" s="9" t="s">
        <v>65</v>
      </c>
      <c r="B161" s="3"/>
    </row>
    <row r="162" spans="1:2" ht="10.5">
      <c r="A162" s="54" t="s">
        <v>107</v>
      </c>
      <c r="B162" s="3">
        <f>'Cost of Capital'!E23</f>
        <v>0.08338269001150646</v>
      </c>
    </row>
    <row r="163" spans="1:2" ht="10.5">
      <c r="A163" s="54" t="s">
        <v>61</v>
      </c>
      <c r="B163" s="3">
        <f>'Cost of Capital'!E21</f>
        <v>0.06675877371529261</v>
      </c>
    </row>
    <row r="164" spans="1:2" ht="10.5">
      <c r="A164" s="54" t="s">
        <v>108</v>
      </c>
      <c r="B164" s="3">
        <f>'Cost of Capital'!E22</f>
        <v>0.12232988585458705</v>
      </c>
    </row>
    <row r="165" spans="1:2" ht="10.5">
      <c r="A165" s="22" t="s">
        <v>56</v>
      </c>
      <c r="B165" s="3">
        <f>'Cost of Capital'!E15</f>
        <v>0.1611597717091741</v>
      </c>
    </row>
    <row r="166" spans="1:2" ht="10.5">
      <c r="A166" s="22" t="s">
        <v>57</v>
      </c>
      <c r="B166" s="3">
        <f>'Cost of Capital'!E16</f>
        <v>0.085</v>
      </c>
    </row>
    <row r="167" spans="1:2" ht="10.5">
      <c r="A167" s="22" t="s">
        <v>152</v>
      </c>
      <c r="B167" s="3">
        <f>'Cost of Capital'!E17</f>
        <v>0.07</v>
      </c>
    </row>
    <row r="168" ht="10.5">
      <c r="A168" s="9" t="s">
        <v>105</v>
      </c>
    </row>
    <row r="169" spans="1:2" ht="10.5">
      <c r="A169" s="54" t="s">
        <v>107</v>
      </c>
      <c r="B169" s="6">
        <f aca="true" t="shared" si="59" ref="B169:B174">NPV(B162,B143:Y143)*(1+B162)</f>
        <v>243.1389336945008</v>
      </c>
    </row>
    <row r="170" spans="1:2" ht="10.5">
      <c r="A170" s="54" t="s">
        <v>61</v>
      </c>
      <c r="B170" s="6">
        <f t="shared" si="59"/>
        <v>-2.4868995751603507E-14</v>
      </c>
    </row>
    <row r="171" spans="1:2" ht="10.5">
      <c r="A171" s="54" t="s">
        <v>108</v>
      </c>
      <c r="B171" s="134">
        <f t="shared" si="59"/>
        <v>148.69763805542289</v>
      </c>
    </row>
    <row r="172" spans="1:2" ht="10.5">
      <c r="A172" s="22" t="s">
        <v>56</v>
      </c>
      <c r="B172" s="6">
        <f t="shared" si="59"/>
        <v>40.2231325376495</v>
      </c>
    </row>
    <row r="173" spans="1:2" ht="10.5">
      <c r="A173" s="22" t="s">
        <v>57</v>
      </c>
      <c r="B173" s="6">
        <f t="shared" si="59"/>
        <v>116.26018040325125</v>
      </c>
    </row>
    <row r="174" spans="1:2" ht="10.5">
      <c r="A174" s="22" t="s">
        <v>152</v>
      </c>
      <c r="B174" s="6">
        <f t="shared" si="59"/>
        <v>16.103984948124783</v>
      </c>
    </row>
    <row r="175" spans="1:2" ht="10.5">
      <c r="A175" s="22"/>
      <c r="B175" s="6"/>
    </row>
    <row r="176" spans="1:2" ht="10.5">
      <c r="A176" s="57" t="s">
        <v>110</v>
      </c>
      <c r="B176" s="6"/>
    </row>
    <row r="177" spans="1:25" ht="10.5">
      <c r="A177" s="18" t="s">
        <v>111</v>
      </c>
      <c r="B177" s="6">
        <f aca="true" t="shared" si="60" ref="B177:X177">B107*$B$69</f>
        <v>0</v>
      </c>
      <c r="C177" s="6">
        <f t="shared" si="60"/>
        <v>0</v>
      </c>
      <c r="D177" s="6">
        <f t="shared" si="60"/>
        <v>0</v>
      </c>
      <c r="E177" s="6">
        <f t="shared" si="60"/>
        <v>20.018610791424003</v>
      </c>
      <c r="F177" s="6">
        <f t="shared" si="60"/>
        <v>20.178759677755394</v>
      </c>
      <c r="G177" s="6">
        <f t="shared" si="60"/>
        <v>20.340189755177438</v>
      </c>
      <c r="H177" s="6">
        <f t="shared" si="60"/>
        <v>20.50291127321886</v>
      </c>
      <c r="I177" s="6">
        <f t="shared" si="60"/>
        <v>20.66693456340461</v>
      </c>
      <c r="J177" s="6">
        <f t="shared" si="60"/>
        <v>20.832270039911847</v>
      </c>
      <c r="K177" s="6">
        <f t="shared" si="60"/>
        <v>20.99892820023114</v>
      </c>
      <c r="L177" s="6">
        <f t="shared" si="60"/>
        <v>21.16691962583299</v>
      </c>
      <c r="M177" s="6">
        <f t="shared" si="60"/>
        <v>21.336254982839655</v>
      </c>
      <c r="N177" s="6">
        <f t="shared" si="60"/>
        <v>21.506945022702375</v>
      </c>
      <c r="O177" s="6">
        <f t="shared" si="60"/>
        <v>21.67900058288399</v>
      </c>
      <c r="P177" s="6">
        <f t="shared" si="60"/>
        <v>21.85243258754706</v>
      </c>
      <c r="Q177" s="6">
        <f t="shared" si="60"/>
        <v>22.02725204824744</v>
      </c>
      <c r="R177" s="6">
        <f t="shared" si="60"/>
        <v>22.20347006463342</v>
      </c>
      <c r="S177" s="6">
        <f t="shared" si="60"/>
        <v>22.38109782515049</v>
      </c>
      <c r="T177" s="6">
        <f t="shared" si="60"/>
        <v>22.560146607751694</v>
      </c>
      <c r="U177" s="6">
        <f t="shared" si="60"/>
        <v>22.740627780613707</v>
      </c>
      <c r="V177" s="6">
        <f t="shared" si="60"/>
        <v>22.92255280285862</v>
      </c>
      <c r="W177" s="6">
        <f t="shared" si="60"/>
        <v>23.10593322528149</v>
      </c>
      <c r="X177" s="6">
        <f t="shared" si="60"/>
        <v>23.29078069108374</v>
      </c>
      <c r="Y177" s="6"/>
    </row>
    <row r="178" spans="1:25" ht="10.5">
      <c r="A178" s="18" t="s">
        <v>112</v>
      </c>
      <c r="B178" s="6">
        <f aca="true" t="shared" si="61" ref="B178:X178">B119</f>
        <v>0</v>
      </c>
      <c r="C178" s="6">
        <f t="shared" si="61"/>
        <v>0</v>
      </c>
      <c r="D178" s="6">
        <f t="shared" si="61"/>
        <v>0</v>
      </c>
      <c r="E178" s="6">
        <f t="shared" si="61"/>
        <v>0</v>
      </c>
      <c r="F178" s="6">
        <f t="shared" si="61"/>
        <v>0</v>
      </c>
      <c r="G178" s="6">
        <f t="shared" si="61"/>
        <v>0</v>
      </c>
      <c r="H178" s="6">
        <f t="shared" si="61"/>
        <v>14.00753538538756</v>
      </c>
      <c r="I178" s="6">
        <f t="shared" si="61"/>
        <v>12.080366412423796</v>
      </c>
      <c r="J178" s="6">
        <f t="shared" si="61"/>
        <v>9.836001357197084</v>
      </c>
      <c r="K178" s="6">
        <f t="shared" si="61"/>
        <v>12.409236898729532</v>
      </c>
      <c r="L178" s="6">
        <f t="shared" si="61"/>
        <v>16.063707737950537</v>
      </c>
      <c r="M178" s="6">
        <f t="shared" si="61"/>
        <v>14.514197850777531</v>
      </c>
      <c r="N178" s="6">
        <f t="shared" si="61"/>
        <v>17.358061047581852</v>
      </c>
      <c r="O178" s="6">
        <f t="shared" si="61"/>
        <v>17.91221096510882</v>
      </c>
      <c r="P178" s="6">
        <f t="shared" si="61"/>
        <v>15.346397446894002</v>
      </c>
      <c r="Q178" s="6">
        <f t="shared" si="61"/>
        <v>18.130992585013615</v>
      </c>
      <c r="R178" s="6">
        <f t="shared" si="61"/>
        <v>18.504359785342263</v>
      </c>
      <c r="S178" s="6">
        <f t="shared" si="61"/>
        <v>14.936414333571278</v>
      </c>
      <c r="T178" s="6">
        <f t="shared" si="61"/>
        <v>17.83151580913762</v>
      </c>
      <c r="U178" s="6">
        <f t="shared" si="61"/>
        <v>18.830544356058407</v>
      </c>
      <c r="V178" s="6">
        <f t="shared" si="61"/>
        <v>15.788611465406216</v>
      </c>
      <c r="W178" s="6">
        <f t="shared" si="61"/>
        <v>19.79443468035055</v>
      </c>
      <c r="X178" s="6">
        <f t="shared" si="61"/>
        <v>19.207805698858706</v>
      </c>
      <c r="Y178" s="6"/>
    </row>
    <row r="179" spans="1:25" ht="10.5">
      <c r="A179" s="57" t="s">
        <v>167</v>
      </c>
      <c r="B179" s="6">
        <f aca="true" t="shared" si="62" ref="B179:X179">B148+B177+B178</f>
        <v>-1.7350000000000003</v>
      </c>
      <c r="C179" s="6">
        <f t="shared" si="62"/>
        <v>-3.0733599999999996</v>
      </c>
      <c r="D179" s="6">
        <f t="shared" si="62"/>
        <v>-1.3237132800000007</v>
      </c>
      <c r="E179" s="6">
        <f t="shared" si="62"/>
        <v>23.401043290599638</v>
      </c>
      <c r="F179" s="6">
        <f t="shared" si="62"/>
        <v>22.42902497533386</v>
      </c>
      <c r="G179" s="6">
        <f t="shared" si="62"/>
        <v>21.13371812882435</v>
      </c>
      <c r="H179" s="6">
        <f t="shared" si="62"/>
        <v>36.315619830414555</v>
      </c>
      <c r="I179" s="6">
        <f t="shared" si="62"/>
        <v>33.94678230857197</v>
      </c>
      <c r="J179" s="6">
        <f t="shared" si="62"/>
        <v>31.531097971568496</v>
      </c>
      <c r="K179" s="6">
        <f t="shared" si="62"/>
        <v>34.6569770046501</v>
      </c>
      <c r="L179" s="6">
        <f t="shared" si="62"/>
        <v>39.02760989535611</v>
      </c>
      <c r="M179" s="6">
        <f t="shared" si="62"/>
        <v>37.098392388993815</v>
      </c>
      <c r="N179" s="6">
        <f t="shared" si="62"/>
        <v>41.54379310518151</v>
      </c>
      <c r="O179" s="6">
        <f t="shared" si="62"/>
        <v>42.35312107051914</v>
      </c>
      <c r="P179" s="6">
        <f t="shared" si="62"/>
        <v>40.525717008595166</v>
      </c>
      <c r="Q179" s="6">
        <f t="shared" si="62"/>
        <v>43.9028208781331</v>
      </c>
      <c r="R179" s="6">
        <f t="shared" si="62"/>
        <v>44.50841117489702</v>
      </c>
      <c r="S179" s="6">
        <f t="shared" si="62"/>
        <v>40.58290166587746</v>
      </c>
      <c r="T179" s="6">
        <f t="shared" si="62"/>
        <v>44.09131714537996</v>
      </c>
      <c r="U179" s="6">
        <f t="shared" si="62"/>
        <v>45.42068114720088</v>
      </c>
      <c r="V179" s="6">
        <f t="shared" si="62"/>
        <v>42.104383345195764</v>
      </c>
      <c r="W179" s="6">
        <f t="shared" si="62"/>
        <v>46.894460464804624</v>
      </c>
      <c r="X179" s="6">
        <f t="shared" si="62"/>
        <v>46.404684601891255</v>
      </c>
      <c r="Y179" s="6"/>
    </row>
    <row r="180" spans="1:2" ht="10.5">
      <c r="A180" s="22" t="s">
        <v>106</v>
      </c>
      <c r="B180" s="58">
        <f>IRR(B179:Y179)</f>
        <v>1.3314577258506677</v>
      </c>
    </row>
    <row r="181" spans="1:2" ht="10.5">
      <c r="A181" s="22" t="s">
        <v>105</v>
      </c>
      <c r="B181" s="6">
        <f>NPV(B167,B179:Y179)*(1+B167)</f>
        <v>319.3826626242972</v>
      </c>
    </row>
    <row r="183" spans="1:25" ht="9.75">
      <c r="A183" s="94" t="s">
        <v>169</v>
      </c>
      <c r="Y183" s="6"/>
    </row>
    <row r="184" spans="1:25" ht="9.75">
      <c r="A184" s="2" t="s">
        <v>170</v>
      </c>
      <c r="B184" s="7"/>
      <c r="C184" s="7"/>
      <c r="D184" s="7"/>
      <c r="E184" s="7">
        <f aca="true" t="shared" si="63" ref="E184:X184">E143</f>
        <v>87.50042574000548</v>
      </c>
      <c r="F184" s="7">
        <f t="shared" si="63"/>
        <v>91.27477157046212</v>
      </c>
      <c r="G184" s="7">
        <f t="shared" si="63"/>
        <v>60.16768044320639</v>
      </c>
      <c r="H184" s="7">
        <f t="shared" si="63"/>
        <v>78.42822375780622</v>
      </c>
      <c r="I184" s="7">
        <f t="shared" si="63"/>
        <v>70.67436419029025</v>
      </c>
      <c r="J184" s="7">
        <f t="shared" si="63"/>
        <v>61.62950349536089</v>
      </c>
      <c r="K184" s="7">
        <f t="shared" si="63"/>
        <v>67.0374445907089</v>
      </c>
      <c r="L184" s="7">
        <f t="shared" si="63"/>
        <v>75.68909157912265</v>
      </c>
      <c r="M184" s="7">
        <f t="shared" si="63"/>
        <v>68.72879638835434</v>
      </c>
      <c r="N184" s="7">
        <f t="shared" si="63"/>
        <v>74.60920756889345</v>
      </c>
      <c r="O184" s="7">
        <f t="shared" si="63"/>
        <v>75.25341867960037</v>
      </c>
      <c r="P184" s="7">
        <f t="shared" si="63"/>
        <v>66.53773948308202</v>
      </c>
      <c r="Q184" s="7">
        <f t="shared" si="63"/>
        <v>74.89152489744089</v>
      </c>
      <c r="R184" s="7">
        <f t="shared" si="63"/>
        <v>76.01162649842678</v>
      </c>
      <c r="S184" s="7">
        <f t="shared" si="63"/>
        <v>65.30779014311383</v>
      </c>
      <c r="T184" s="7">
        <f t="shared" si="63"/>
        <v>73.99309456981285</v>
      </c>
      <c r="U184" s="7">
        <f t="shared" si="63"/>
        <v>76.99018021057526</v>
      </c>
      <c r="V184" s="7">
        <f t="shared" si="63"/>
        <v>67.8643815386186</v>
      </c>
      <c r="W184" s="7">
        <f t="shared" si="63"/>
        <v>79.88185118345166</v>
      </c>
      <c r="X184" s="7">
        <f t="shared" si="63"/>
        <v>78.12196423897615</v>
      </c>
      <c r="Y184" s="6"/>
    </row>
    <row r="185" spans="1:25" ht="9.75">
      <c r="A185" s="2" t="s">
        <v>171</v>
      </c>
      <c r="B185" s="6"/>
      <c r="C185" s="6"/>
      <c r="D185" s="6"/>
      <c r="E185" s="6">
        <f aca="true" t="shared" si="64" ref="E185:X185">E88+E86+E94+E96</f>
        <v>19.8517757564928</v>
      </c>
      <c r="F185" s="6">
        <f t="shared" si="64"/>
        <v>46.269465618892795</v>
      </c>
      <c r="G185" s="6">
        <f t="shared" si="64"/>
        <v>44.29711297026816</v>
      </c>
      <c r="H185" s="6">
        <f t="shared" si="64"/>
        <v>42.324760321643524</v>
      </c>
      <c r="I185" s="6">
        <f t="shared" si="64"/>
        <v>46.68473753541889</v>
      </c>
      <c r="J185" s="6">
        <f t="shared" si="64"/>
        <v>44.372972006169604</v>
      </c>
      <c r="K185" s="6">
        <f t="shared" si="64"/>
        <v>42.061206476920326</v>
      </c>
      <c r="L185" s="6">
        <f t="shared" si="64"/>
        <v>39.74944094767105</v>
      </c>
      <c r="M185" s="6">
        <f t="shared" si="64"/>
        <v>43.77000528082176</v>
      </c>
      <c r="N185" s="6">
        <f t="shared" si="64"/>
        <v>21.033466870947844</v>
      </c>
      <c r="O185" s="6">
        <f t="shared" si="64"/>
        <v>20.015228229073923</v>
      </c>
      <c r="P185" s="6">
        <f t="shared" si="64"/>
        <v>0</v>
      </c>
      <c r="Q185" s="6">
        <f t="shared" si="64"/>
        <v>0</v>
      </c>
      <c r="R185" s="6">
        <f t="shared" si="64"/>
        <v>0</v>
      </c>
      <c r="S185" s="6">
        <f t="shared" si="64"/>
        <v>0</v>
      </c>
      <c r="T185" s="6">
        <f t="shared" si="64"/>
        <v>0</v>
      </c>
      <c r="U185" s="6">
        <f t="shared" si="64"/>
        <v>0</v>
      </c>
      <c r="V185" s="6">
        <f t="shared" si="64"/>
        <v>0</v>
      </c>
      <c r="W185" s="6">
        <f t="shared" si="64"/>
        <v>0</v>
      </c>
      <c r="X185" s="6">
        <f t="shared" si="64"/>
        <v>0</v>
      </c>
      <c r="Y185" s="6"/>
    </row>
    <row r="186" spans="1:15" ht="9.75">
      <c r="A186" s="9" t="s">
        <v>168</v>
      </c>
      <c r="B186" s="95">
        <f>AVERAGE(E186:O186)</f>
        <v>2.2608705433511855</v>
      </c>
      <c r="E186" s="6">
        <f>E184/E185</f>
        <v>4.407687594969294</v>
      </c>
      <c r="F186" s="6">
        <f aca="true" t="shared" si="65" ref="F186:O186">F184/F185</f>
        <v>1.9726783171058002</v>
      </c>
      <c r="G186" s="6">
        <f t="shared" si="65"/>
        <v>1.3582754362251648</v>
      </c>
      <c r="H186" s="6">
        <f t="shared" si="65"/>
        <v>1.8530104638938865</v>
      </c>
      <c r="I186" s="6">
        <f t="shared" si="65"/>
        <v>1.5138644430992216</v>
      </c>
      <c r="J186" s="6">
        <f t="shared" si="65"/>
        <v>1.3888973559578552</v>
      </c>
      <c r="K186" s="6">
        <f t="shared" si="65"/>
        <v>1.5938069828665862</v>
      </c>
      <c r="L186" s="6">
        <f t="shared" si="65"/>
        <v>1.9041548704739037</v>
      </c>
      <c r="M186" s="6">
        <f t="shared" si="65"/>
        <v>1.57022591035575</v>
      </c>
      <c r="N186" s="6">
        <f t="shared" si="65"/>
        <v>3.5471664289421674</v>
      </c>
      <c r="O186" s="6">
        <f t="shared" si="65"/>
        <v>3.759808172973416</v>
      </c>
    </row>
    <row r="188" ht="9.75">
      <c r="A188" s="9" t="s">
        <v>178</v>
      </c>
    </row>
    <row r="189" ht="9.75">
      <c r="A189" s="9"/>
    </row>
    <row r="190" spans="1:9" ht="9.75">
      <c r="A190" s="9" t="s">
        <v>180</v>
      </c>
      <c r="C190" s="143" t="s">
        <v>184</v>
      </c>
      <c r="D190" s="143"/>
      <c r="E190" s="143"/>
      <c r="F190" s="143"/>
      <c r="G190" s="143"/>
      <c r="H190" s="143"/>
      <c r="I190" s="143"/>
    </row>
    <row r="191" spans="3:9" ht="10.5" thickBot="1">
      <c r="C191" s="2">
        <v>90</v>
      </c>
      <c r="D191" s="2">
        <v>140</v>
      </c>
      <c r="E191" s="2">
        <v>190</v>
      </c>
      <c r="F191" s="2">
        <v>240</v>
      </c>
      <c r="G191" s="133">
        <v>280</v>
      </c>
      <c r="H191" s="2">
        <v>290</v>
      </c>
      <c r="I191" s="10">
        <v>340</v>
      </c>
    </row>
    <row r="192" spans="1:9" ht="9.75">
      <c r="A192" s="2" t="s">
        <v>173</v>
      </c>
      <c r="B192" s="6"/>
      <c r="C192" s="113"/>
      <c r="D192" s="107"/>
      <c r="E192" s="107"/>
      <c r="F192" s="107"/>
      <c r="G192" s="107"/>
      <c r="H192" s="107"/>
      <c r="I192" s="114"/>
    </row>
    <row r="193" spans="1:9" ht="10.5" thickBot="1">
      <c r="A193" s="2" t="s">
        <v>172</v>
      </c>
      <c r="B193" s="3"/>
      <c r="C193" s="119"/>
      <c r="D193" s="106"/>
      <c r="E193" s="106"/>
      <c r="F193" s="106"/>
      <c r="G193" s="106"/>
      <c r="H193" s="106"/>
      <c r="I193" s="120"/>
    </row>
    <row r="194" spans="3:9" ht="9.75">
      <c r="C194" s="67"/>
      <c r="D194" s="67"/>
      <c r="E194" s="67"/>
      <c r="F194" s="67"/>
      <c r="G194" s="67"/>
      <c r="H194" s="67"/>
      <c r="I194" s="67"/>
    </row>
    <row r="195" spans="1:9" ht="9.75">
      <c r="A195" s="9" t="s">
        <v>176</v>
      </c>
      <c r="C195" s="143" t="s">
        <v>183</v>
      </c>
      <c r="D195" s="143"/>
      <c r="E195" s="143"/>
      <c r="F195" s="143"/>
      <c r="G195" s="143"/>
      <c r="H195" s="143"/>
      <c r="I195" s="143"/>
    </row>
    <row r="196" spans="1:9" ht="10.5" thickBot="1">
      <c r="A196" s="9"/>
      <c r="C196" s="4">
        <v>0.9</v>
      </c>
      <c r="D196" s="4">
        <v>0.75</v>
      </c>
      <c r="E196" s="4">
        <v>0.7</v>
      </c>
      <c r="F196" s="4">
        <v>0.65</v>
      </c>
      <c r="G196" s="4">
        <v>0.6</v>
      </c>
      <c r="H196" s="111">
        <v>0.55</v>
      </c>
      <c r="I196" s="4">
        <v>0.5</v>
      </c>
    </row>
    <row r="197" spans="1:9" ht="9.75">
      <c r="A197" s="2" t="s">
        <v>173</v>
      </c>
      <c r="B197" s="6"/>
      <c r="C197" s="113"/>
      <c r="D197" s="107"/>
      <c r="E197" s="107"/>
      <c r="F197" s="107"/>
      <c r="G197" s="107"/>
      <c r="H197" s="107"/>
      <c r="I197" s="114"/>
    </row>
    <row r="198" spans="1:9" ht="10.5" thickBot="1">
      <c r="A198" s="2" t="s">
        <v>172</v>
      </c>
      <c r="B198" s="3"/>
      <c r="C198" s="119"/>
      <c r="D198" s="106"/>
      <c r="E198" s="106"/>
      <c r="F198" s="106"/>
      <c r="G198" s="106"/>
      <c r="H198" s="106"/>
      <c r="I198" s="120"/>
    </row>
    <row r="199" spans="2:9" ht="9.75">
      <c r="B199" s="3"/>
      <c r="C199" s="105"/>
      <c r="D199" s="105"/>
      <c r="E199" s="105"/>
      <c r="F199" s="105"/>
      <c r="G199" s="105"/>
      <c r="H199" s="105"/>
      <c r="I199" s="105"/>
    </row>
    <row r="200" spans="1:9" ht="9.75">
      <c r="A200" s="9"/>
      <c r="C200" s="142" t="s">
        <v>179</v>
      </c>
      <c r="D200" s="142"/>
      <c r="E200" s="142"/>
      <c r="F200" s="142"/>
      <c r="G200" s="142"/>
      <c r="H200" s="142"/>
      <c r="I200" s="142"/>
    </row>
    <row r="201" spans="1:9" ht="9.75">
      <c r="A201" s="9" t="s">
        <v>174</v>
      </c>
      <c r="C201" s="4">
        <v>-0.15</v>
      </c>
      <c r="D201" s="4">
        <v>-0.1</v>
      </c>
      <c r="E201" s="110">
        <v>-0.07617413326727612</v>
      </c>
      <c r="F201" s="4">
        <v>-0.05</v>
      </c>
      <c r="G201" s="4">
        <v>0</v>
      </c>
      <c r="H201" s="4">
        <v>0.05</v>
      </c>
      <c r="I201" s="4">
        <v>0.1</v>
      </c>
    </row>
    <row r="202" spans="1:9" ht="10.5" thickBot="1">
      <c r="A202" s="9"/>
      <c r="B202" s="8"/>
      <c r="C202" s="73"/>
      <c r="D202" s="73"/>
      <c r="E202" s="112"/>
      <c r="F202" s="73"/>
      <c r="G202" s="73"/>
      <c r="H202" s="73"/>
      <c r="I202" s="73"/>
    </row>
    <row r="203" spans="1:9" ht="9.75">
      <c r="A203" s="2" t="s">
        <v>173</v>
      </c>
      <c r="B203" s="6"/>
      <c r="C203" s="113"/>
      <c r="D203" s="107"/>
      <c r="E203" s="107"/>
      <c r="F203" s="107"/>
      <c r="G203" s="107"/>
      <c r="H203" s="107"/>
      <c r="I203" s="114"/>
    </row>
    <row r="204" spans="1:9" ht="10.5" thickBot="1">
      <c r="A204" s="2" t="s">
        <v>172</v>
      </c>
      <c r="B204" s="3"/>
      <c r="C204" s="115"/>
      <c r="D204" s="106"/>
      <c r="E204" s="106"/>
      <c r="F204" s="106"/>
      <c r="G204" s="106"/>
      <c r="H204" s="117"/>
      <c r="I204" s="116"/>
    </row>
    <row r="205" spans="2:9" ht="9.75">
      <c r="B205" s="3"/>
      <c r="C205" s="118"/>
      <c r="D205" s="105"/>
      <c r="E205" s="105"/>
      <c r="F205" s="105"/>
      <c r="G205" s="118"/>
      <c r="H205" s="118"/>
      <c r="I205" s="118"/>
    </row>
    <row r="206" spans="1:9" ht="9.75">
      <c r="A206" s="9" t="s">
        <v>175</v>
      </c>
      <c r="B206" s="3"/>
      <c r="C206" s="118"/>
      <c r="D206" s="105"/>
      <c r="E206" s="105"/>
      <c r="F206" s="105"/>
      <c r="G206" s="118"/>
      <c r="H206" s="118"/>
      <c r="I206" s="118"/>
    </row>
    <row r="207" spans="1:9" ht="9.75">
      <c r="A207" s="101" t="s">
        <v>197</v>
      </c>
      <c r="B207" s="3"/>
      <c r="C207" s="141" t="s">
        <v>198</v>
      </c>
      <c r="D207" s="141"/>
      <c r="E207" s="141"/>
      <c r="F207" s="141"/>
      <c r="G207" s="141"/>
      <c r="H207" s="141"/>
      <c r="I207" s="141"/>
    </row>
    <row r="208" spans="2:9" ht="10.5" thickBot="1">
      <c r="B208" s="3"/>
      <c r="C208" s="131">
        <v>0</v>
      </c>
      <c r="D208" s="132">
        <v>0.002</v>
      </c>
      <c r="E208" s="131">
        <v>0.004</v>
      </c>
      <c r="F208" s="132">
        <v>0.006</v>
      </c>
      <c r="G208" s="131">
        <v>0.008</v>
      </c>
      <c r="H208" s="132">
        <v>0.01</v>
      </c>
      <c r="I208" s="105">
        <v>0.012</v>
      </c>
    </row>
    <row r="209" spans="1:9" ht="9.75">
      <c r="A209" s="2" t="s">
        <v>173</v>
      </c>
      <c r="B209" s="6"/>
      <c r="C209" s="113"/>
      <c r="D209" s="107"/>
      <c r="E209" s="107"/>
      <c r="F209" s="107"/>
      <c r="G209" s="107"/>
      <c r="H209" s="107"/>
      <c r="I209" s="114"/>
    </row>
    <row r="210" spans="1:9" ht="10.5" thickBot="1">
      <c r="A210" s="2" t="s">
        <v>172</v>
      </c>
      <c r="B210" s="3"/>
      <c r="C210" s="115"/>
      <c r="D210" s="106"/>
      <c r="E210" s="106"/>
      <c r="F210" s="106"/>
      <c r="G210" s="117"/>
      <c r="H210" s="117"/>
      <c r="I210" s="116"/>
    </row>
    <row r="211" spans="3:9" ht="9.75">
      <c r="C211" s="67"/>
      <c r="D211" s="67"/>
      <c r="E211" s="67"/>
      <c r="F211" s="67"/>
      <c r="G211" s="67"/>
      <c r="H211" s="67"/>
      <c r="I211" s="67"/>
    </row>
    <row r="212" spans="1:9" ht="9.75">
      <c r="A212" s="9" t="s">
        <v>181</v>
      </c>
      <c r="C212" s="67"/>
      <c r="D212" s="67"/>
      <c r="E212" s="67"/>
      <c r="F212" s="67"/>
      <c r="G212" s="67"/>
      <c r="H212" s="67"/>
      <c r="I212" s="67"/>
    </row>
    <row r="213" spans="1:9" ht="9.75">
      <c r="A213" s="99" t="s">
        <v>182</v>
      </c>
      <c r="B213" s="3"/>
      <c r="C213" s="143" t="s">
        <v>179</v>
      </c>
      <c r="D213" s="143"/>
      <c r="E213" s="143"/>
      <c r="F213" s="143"/>
      <c r="G213" s="143"/>
      <c r="H213" s="67"/>
      <c r="I213" s="67"/>
    </row>
    <row r="214" spans="2:9" ht="10.5" thickBot="1">
      <c r="B214" s="6"/>
      <c r="C214" s="2">
        <v>7.5</v>
      </c>
      <c r="D214" s="2">
        <v>8</v>
      </c>
      <c r="E214" s="2">
        <v>8.5</v>
      </c>
      <c r="F214" s="2">
        <v>9</v>
      </c>
      <c r="G214" s="2">
        <v>9.5</v>
      </c>
      <c r="H214" s="67"/>
      <c r="I214" s="67"/>
    </row>
    <row r="215" spans="1:9" ht="9.75">
      <c r="A215" s="138" t="s">
        <v>185</v>
      </c>
      <c r="C215" s="121"/>
      <c r="D215" s="122"/>
      <c r="E215" s="122"/>
      <c r="F215" s="122"/>
      <c r="G215" s="123"/>
      <c r="H215" s="67"/>
      <c r="I215" s="67"/>
    </row>
    <row r="216" spans="1:9" ht="9.75">
      <c r="A216" s="139"/>
      <c r="C216" s="124"/>
      <c r="D216" s="125"/>
      <c r="E216" s="125"/>
      <c r="F216" s="125"/>
      <c r="G216" s="126"/>
      <c r="H216" s="67"/>
      <c r="I216" s="67"/>
    </row>
    <row r="217" spans="1:9" ht="9.75">
      <c r="A217" s="139"/>
      <c r="C217" s="124"/>
      <c r="D217" s="125"/>
      <c r="E217" s="125"/>
      <c r="F217" s="125"/>
      <c r="G217" s="126"/>
      <c r="H217" s="67"/>
      <c r="I217" s="67"/>
    </row>
    <row r="218" spans="1:9" ht="9.75">
      <c r="A218" s="139"/>
      <c r="C218" s="124"/>
      <c r="D218" s="125"/>
      <c r="E218" s="125"/>
      <c r="F218" s="125"/>
      <c r="G218" s="126"/>
      <c r="H218" s="67"/>
      <c r="I218" s="67"/>
    </row>
    <row r="219" spans="1:9" ht="10.5" thickBot="1">
      <c r="A219" s="139"/>
      <c r="B219" s="130"/>
      <c r="C219" s="127"/>
      <c r="D219" s="128"/>
      <c r="E219" s="128"/>
      <c r="F219" s="128"/>
      <c r="G219" s="129"/>
      <c r="H219" s="67"/>
      <c r="I219" s="67"/>
    </row>
    <row r="221" ht="9.75">
      <c r="A221" s="9" t="s">
        <v>177</v>
      </c>
    </row>
    <row r="222" ht="9.75">
      <c r="A222" s="9"/>
    </row>
    <row r="223" spans="1:24" ht="9.75">
      <c r="A223" s="9" t="s">
        <v>174</v>
      </c>
      <c r="E223" s="2">
        <v>2012</v>
      </c>
      <c r="F223" s="2">
        <v>2013</v>
      </c>
      <c r="G223" s="2">
        <v>2014</v>
      </c>
      <c r="H223" s="2">
        <v>2015</v>
      </c>
      <c r="I223" s="2">
        <v>2016</v>
      </c>
      <c r="J223" s="2">
        <v>2017</v>
      </c>
      <c r="K223" s="2">
        <v>2018</v>
      </c>
      <c r="L223" s="2">
        <v>2019</v>
      </c>
      <c r="M223" s="2">
        <v>2020</v>
      </c>
      <c r="N223" s="2">
        <v>2021</v>
      </c>
      <c r="O223" s="2">
        <v>2022</v>
      </c>
      <c r="P223" s="2">
        <v>2023</v>
      </c>
      <c r="Q223" s="2">
        <v>2024</v>
      </c>
      <c r="R223" s="2">
        <v>2025</v>
      </c>
      <c r="S223" s="2">
        <v>2026</v>
      </c>
      <c r="T223" s="2">
        <v>2027</v>
      </c>
      <c r="U223" s="2">
        <v>2028</v>
      </c>
      <c r="V223" s="2">
        <v>2029</v>
      </c>
      <c r="W223" s="2">
        <v>2030</v>
      </c>
      <c r="X223" s="2">
        <v>2031</v>
      </c>
    </row>
    <row r="224" spans="1:24" ht="9.75">
      <c r="A224" s="2" t="s">
        <v>186</v>
      </c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</row>
    <row r="225" spans="1:24" ht="9.75">
      <c r="A225" s="2" t="s">
        <v>192</v>
      </c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</row>
    <row r="226" spans="1:24" ht="9.75">
      <c r="A226" s="2" t="s">
        <v>193</v>
      </c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</row>
    <row r="228" spans="1:24" ht="9.75">
      <c r="A228" s="101" t="s">
        <v>190</v>
      </c>
      <c r="D228" s="99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</row>
    <row r="230" spans="3:5" ht="9.75">
      <c r="C230" s="140" t="s">
        <v>191</v>
      </c>
      <c r="D230" s="140"/>
      <c r="E230" s="140"/>
    </row>
    <row r="231" ht="10.5" thickBot="1"/>
    <row r="232" spans="1:5" ht="9.75">
      <c r="A232" s="2" t="s">
        <v>173</v>
      </c>
      <c r="B232" s="6"/>
      <c r="C232" s="96"/>
      <c r="D232" s="97"/>
      <c r="E232" s="98"/>
    </row>
    <row r="233" spans="1:5" ht="10.5" thickBot="1">
      <c r="A233" s="2" t="s">
        <v>172</v>
      </c>
      <c r="B233" s="3"/>
      <c r="C233" s="102"/>
      <c r="D233" s="103"/>
      <c r="E233" s="104"/>
    </row>
    <row r="235" spans="1:3" ht="9.75">
      <c r="A235" s="9" t="s">
        <v>194</v>
      </c>
      <c r="B235" s="2" t="s">
        <v>105</v>
      </c>
      <c r="C235" s="2" t="s">
        <v>106</v>
      </c>
    </row>
    <row r="236" spans="1:3" ht="9.75">
      <c r="A236" s="16" t="s">
        <v>200</v>
      </c>
      <c r="B236" s="12"/>
      <c r="C236" s="3"/>
    </row>
    <row r="237" spans="1:3" ht="9.75">
      <c r="A237" s="16" t="s">
        <v>196</v>
      </c>
      <c r="B237" s="12"/>
      <c r="C237" s="3"/>
    </row>
    <row r="238" spans="1:3" ht="9.75">
      <c r="A238" s="2" t="s">
        <v>195</v>
      </c>
      <c r="B238" s="12"/>
      <c r="C238" s="3"/>
    </row>
    <row r="239" spans="1:3" ht="9.75">
      <c r="A239" s="2" t="s">
        <v>199</v>
      </c>
      <c r="B239" s="12"/>
      <c r="C239" s="17"/>
    </row>
    <row r="240" spans="1:3" ht="9.75">
      <c r="A240" s="2" t="s">
        <v>201</v>
      </c>
      <c r="B240" s="12"/>
      <c r="C240" s="3"/>
    </row>
    <row r="241" spans="1:3" ht="9.75">
      <c r="A241" s="2" t="s">
        <v>202</v>
      </c>
      <c r="B241" s="12"/>
      <c r="C241" s="99"/>
    </row>
    <row r="242" ht="9.75">
      <c r="B242" s="12"/>
    </row>
  </sheetData>
  <sheetProtection/>
  <mergeCells count="7">
    <mergeCell ref="A215:A219"/>
    <mergeCell ref="C230:E230"/>
    <mergeCell ref="C207:I207"/>
    <mergeCell ref="C200:I200"/>
    <mergeCell ref="C190:I190"/>
    <mergeCell ref="C195:I195"/>
    <mergeCell ref="C213:G213"/>
  </mergeCells>
  <conditionalFormatting sqref="C215:G219">
    <cfRule type="cellIs" priority="1" dxfId="1" operator="lessThan" stopIfTrue="1">
      <formula>0</formula>
    </cfRule>
  </conditionalFormatting>
  <printOptions gridLines="1"/>
  <pageMargins left="0.5" right="0.5" top="0.25" bottom="0.25" header="0.3" footer="0.3"/>
  <pageSetup fitToHeight="2" fitToWidth="1" horizontalDpi="600" verticalDpi="600" orientation="landscape" scale="39" r:id="rId4"/>
  <ignoredErrors>
    <ignoredError sqref="E120:X120 E115:X118 H119:X119" 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35" sqref="A35"/>
    </sheetView>
  </sheetViews>
  <sheetFormatPr defaultColWidth="9.140625" defaultRowHeight="12.75"/>
  <cols>
    <col min="1" max="1" width="30.8515625" style="1" bestFit="1" customWidth="1"/>
    <col min="2" max="2" width="9.140625" style="1" customWidth="1"/>
    <col min="3" max="3" width="3.57421875" style="1" customWidth="1"/>
    <col min="4" max="4" width="46.00390625" style="1" bestFit="1" customWidth="1"/>
    <col min="5" max="5" width="9.8515625" style="1" customWidth="1"/>
    <col min="6" max="6" width="4.140625" style="1" customWidth="1"/>
    <col min="7" max="7" width="24.57421875" style="1" customWidth="1"/>
    <col min="8" max="8" width="6.7109375" style="1" customWidth="1"/>
    <col min="9" max="9" width="4.140625" style="1" customWidth="1"/>
    <col min="10" max="10" width="13.421875" style="1" bestFit="1" customWidth="1"/>
    <col min="11" max="11" width="43.140625" style="1" customWidth="1"/>
    <col min="12" max="16384" width="9.140625" style="1" customWidth="1"/>
  </cols>
  <sheetData>
    <row r="1" spans="1:11" ht="12">
      <c r="A1" s="15" t="s">
        <v>65</v>
      </c>
      <c r="B1" s="15">
        <v>2009</v>
      </c>
      <c r="J1" s="23" t="s">
        <v>104</v>
      </c>
      <c r="K1" s="24" t="s">
        <v>66</v>
      </c>
    </row>
    <row r="2" spans="10:11" ht="11.25">
      <c r="J2" s="25" t="s">
        <v>67</v>
      </c>
      <c r="K2" s="26">
        <v>140</v>
      </c>
    </row>
    <row r="3" spans="1:11" ht="11.25">
      <c r="A3" s="27" t="s">
        <v>68</v>
      </c>
      <c r="B3" s="28"/>
      <c r="D3" s="29" t="s">
        <v>165</v>
      </c>
      <c r="E3" s="28"/>
      <c r="G3" s="29" t="s">
        <v>69</v>
      </c>
      <c r="H3" s="28"/>
      <c r="J3" s="25" t="s">
        <v>70</v>
      </c>
      <c r="K3" s="26">
        <v>160</v>
      </c>
    </row>
    <row r="4" spans="1:11" ht="11.25">
      <c r="A4" s="30" t="s">
        <v>95</v>
      </c>
      <c r="B4" s="33">
        <v>0.0336</v>
      </c>
      <c r="D4" s="30" t="s">
        <v>160</v>
      </c>
      <c r="E4" s="31">
        <v>1</v>
      </c>
      <c r="G4" s="30" t="s">
        <v>71</v>
      </c>
      <c r="H4" s="52" t="s">
        <v>88</v>
      </c>
      <c r="J4" s="25" t="s">
        <v>73</v>
      </c>
      <c r="K4" s="26">
        <v>175</v>
      </c>
    </row>
    <row r="5" spans="1:11" ht="11.25">
      <c r="A5" s="1" t="s">
        <v>96</v>
      </c>
      <c r="B5" s="35"/>
      <c r="D5" s="30" t="s">
        <v>43</v>
      </c>
      <c r="E5" s="32">
        <f>IF(E4=1,Analysis!B68,AVERAGE(Analysis!E152:X152))</f>
        <v>0.25</v>
      </c>
      <c r="G5" s="30" t="s">
        <v>74</v>
      </c>
      <c r="H5" s="32">
        <f>VLOOKUP(H4,$J$2:$K$19,2)/10000</f>
        <v>0.0525</v>
      </c>
      <c r="J5" s="25" t="s">
        <v>75</v>
      </c>
      <c r="K5" s="26">
        <v>70</v>
      </c>
    </row>
    <row r="6" spans="1:11" ht="11.25">
      <c r="A6" s="1" t="s">
        <v>97</v>
      </c>
      <c r="B6" s="35"/>
      <c r="D6" s="30" t="s">
        <v>161</v>
      </c>
      <c r="E6" s="31">
        <v>1</v>
      </c>
      <c r="G6" s="30" t="s">
        <v>130</v>
      </c>
      <c r="H6" s="35">
        <v>0</v>
      </c>
      <c r="J6" s="25" t="s">
        <v>77</v>
      </c>
      <c r="K6" s="26">
        <v>100</v>
      </c>
    </row>
    <row r="7" spans="1:11" ht="11.25">
      <c r="A7" s="30" t="s">
        <v>76</v>
      </c>
      <c r="B7" s="34">
        <f>11.1%-5.45%</f>
        <v>0.0565</v>
      </c>
      <c r="D7" s="30" t="s">
        <v>162</v>
      </c>
      <c r="E7" s="39">
        <f>IF(E6=1,Analysis!B48/Analysis!B44,AVERAGE(Analysis!E155:X155))</f>
        <v>2.342841190312715</v>
      </c>
      <c r="G7" s="36"/>
      <c r="H7" s="38"/>
      <c r="J7" s="25" t="s">
        <v>78</v>
      </c>
      <c r="K7" s="26">
        <v>120</v>
      </c>
    </row>
    <row r="8" spans="1:11" ht="11.25">
      <c r="A8" s="30" t="s">
        <v>98</v>
      </c>
      <c r="B8" s="39">
        <v>0.78</v>
      </c>
      <c r="D8" s="30" t="s">
        <v>163</v>
      </c>
      <c r="E8" s="32">
        <f>1/(1+E7)</f>
        <v>0.29914672671197173</v>
      </c>
      <c r="J8" s="25" t="s">
        <v>79</v>
      </c>
      <c r="K8" s="26">
        <v>0</v>
      </c>
    </row>
    <row r="9" spans="1:11" ht="11.25">
      <c r="A9" s="40" t="s">
        <v>80</v>
      </c>
      <c r="B9" s="49">
        <v>0.91</v>
      </c>
      <c r="D9" s="36" t="s">
        <v>164</v>
      </c>
      <c r="E9" s="37">
        <f>1-E8</f>
        <v>0.7008532732880283</v>
      </c>
      <c r="J9" s="25" t="s">
        <v>72</v>
      </c>
      <c r="K9" s="26">
        <v>650</v>
      </c>
    </row>
    <row r="10" spans="1:11" ht="11.25">
      <c r="A10" s="40" t="s">
        <v>81</v>
      </c>
      <c r="B10" s="41">
        <v>0.32</v>
      </c>
      <c r="J10" s="25" t="s">
        <v>82</v>
      </c>
      <c r="K10" s="26">
        <v>750</v>
      </c>
    </row>
    <row r="11" spans="1:11" ht="10.5">
      <c r="A11" s="30" t="s">
        <v>99</v>
      </c>
      <c r="B11" s="65">
        <f>B8/(1+(1-B10)*B9)</f>
        <v>0.48183839881393625</v>
      </c>
      <c r="J11" s="25" t="s">
        <v>83</v>
      </c>
      <c r="K11" s="26">
        <v>900</v>
      </c>
    </row>
    <row r="12" spans="1:11" ht="10.5">
      <c r="A12" s="30"/>
      <c r="B12" s="31"/>
      <c r="F12" s="47"/>
      <c r="G12" s="47"/>
      <c r="J12" s="25" t="s">
        <v>84</v>
      </c>
      <c r="K12" s="26">
        <v>300</v>
      </c>
    </row>
    <row r="13" spans="1:11" ht="10.5">
      <c r="A13" s="36" t="s">
        <v>100</v>
      </c>
      <c r="B13" s="66">
        <f>B11*(1+(1-E5)*E7)</f>
        <v>1.3284915346756476</v>
      </c>
      <c r="J13" s="25" t="s">
        <v>85</v>
      </c>
      <c r="K13" s="26">
        <v>400</v>
      </c>
    </row>
    <row r="14" spans="10:11" ht="10.5">
      <c r="J14" s="25" t="s">
        <v>88</v>
      </c>
      <c r="K14" s="26">
        <v>525</v>
      </c>
    </row>
    <row r="15" spans="4:11" ht="10.5">
      <c r="D15" s="75" t="s">
        <v>153</v>
      </c>
      <c r="E15" s="76">
        <f>B4+B7*B13+H5+H6</f>
        <v>0.1611597717091741</v>
      </c>
      <c r="F15" s="77"/>
      <c r="G15" s="78">
        <f>(1+E15)/(1+Analysis!$B$6)-1</f>
        <v>0.15194421796545066</v>
      </c>
      <c r="J15" s="25" t="s">
        <v>89</v>
      </c>
      <c r="K15" s="26">
        <v>200</v>
      </c>
    </row>
    <row r="16" spans="4:11" ht="10.5">
      <c r="D16" s="30" t="s">
        <v>154</v>
      </c>
      <c r="E16" s="53">
        <v>0.085</v>
      </c>
      <c r="F16" s="47"/>
      <c r="G16" s="32">
        <f>(1+E16)/(1+Analysis!$B$6)-1</f>
        <v>0.07638888888888884</v>
      </c>
      <c r="J16" s="25" t="s">
        <v>90</v>
      </c>
      <c r="K16" s="26">
        <v>225</v>
      </c>
    </row>
    <row r="17" spans="2:11" ht="10.5">
      <c r="B17" s="43"/>
      <c r="D17" s="36" t="s">
        <v>155</v>
      </c>
      <c r="E17" s="79">
        <v>0.07</v>
      </c>
      <c r="F17" s="80"/>
      <c r="G17" s="37">
        <f>(1+E17)/(1+Analysis!$B$6)-1</f>
        <v>0.06150793650793651</v>
      </c>
      <c r="J17" s="25" t="s">
        <v>91</v>
      </c>
      <c r="K17" s="26">
        <v>260</v>
      </c>
    </row>
    <row r="18" spans="10:11" ht="10.5">
      <c r="J18" s="44" t="s">
        <v>92</v>
      </c>
      <c r="K18" s="45">
        <v>1200</v>
      </c>
    </row>
    <row r="19" spans="2:11" ht="10.5">
      <c r="B19" s="42"/>
      <c r="J19" s="44" t="s">
        <v>93</v>
      </c>
      <c r="K19" s="26">
        <v>1350</v>
      </c>
    </row>
    <row r="20" spans="5:11" ht="10.5">
      <c r="E20" s="15" t="s">
        <v>86</v>
      </c>
      <c r="G20" s="15" t="s">
        <v>87</v>
      </c>
      <c r="J20" s="46" t="s">
        <v>94</v>
      </c>
      <c r="K20" s="48">
        <v>1500</v>
      </c>
    </row>
    <row r="21" spans="4:11" ht="10.5">
      <c r="D21" s="81" t="s">
        <v>150</v>
      </c>
      <c r="E21" s="82">
        <f>Analysis!B159</f>
        <v>0.06675877371529261</v>
      </c>
      <c r="F21" s="77"/>
      <c r="G21" s="83">
        <f>(1+E21)/(1+Analysis!$B$6)-1</f>
        <v>0.05829243424136177</v>
      </c>
      <c r="J21" s="47"/>
      <c r="K21" s="47"/>
    </row>
    <row r="22" spans="4:7" ht="10.5">
      <c r="D22" s="84" t="s">
        <v>151</v>
      </c>
      <c r="E22" s="85">
        <f>E15*Analysis!B40+E16*Analysis!B41+E17*Analysis!B42</f>
        <v>0.12232988585458705</v>
      </c>
      <c r="F22" s="47"/>
      <c r="G22" s="86">
        <f>(1+E22)/(1+Analysis!$B$6)-1</f>
        <v>0.11342250580812219</v>
      </c>
    </row>
    <row r="23" spans="4:7" ht="10.5">
      <c r="D23" s="87" t="s">
        <v>166</v>
      </c>
      <c r="E23" s="88">
        <f>E22*E8+E21*E9</f>
        <v>0.08338269001150646</v>
      </c>
      <c r="F23" s="80"/>
      <c r="G23" s="89">
        <f>(1+E23)/(1+Analysis!$B$6)-1</f>
        <v>0.07478441469395469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thulth</cp:lastModifiedBy>
  <cp:lastPrinted>2010-01-11T06:01:03Z</cp:lastPrinted>
  <dcterms:created xsi:type="dcterms:W3CDTF">2009-09-30T14:34:13Z</dcterms:created>
  <dcterms:modified xsi:type="dcterms:W3CDTF">2012-07-20T03:59:07Z</dcterms:modified>
  <cp:category/>
  <cp:version/>
  <cp:contentType/>
  <cp:contentStatus/>
</cp:coreProperties>
</file>