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40" windowHeight="8835" tabRatio="599" activeTab="1"/>
  </bookViews>
  <sheets>
    <sheet name="Practice" sheetId="1" r:id="rId1"/>
    <sheet name="Base Case" sheetId="2" r:id="rId2"/>
    <sheet name="Sensitivity" sheetId="3" r:id="rId3"/>
  </sheets>
  <externalReferences>
    <externalReference r:id="rId6"/>
  </externalReferences>
  <definedNames>
    <definedName name="ZA0" localSheetId="2">"Crystal Ball Data : Ver. 5.2.2"</definedName>
    <definedName name="ZA0A" localSheetId="2">0+100</definedName>
    <definedName name="ZA0C" localSheetId="2">0+0</definedName>
    <definedName name="ZA0D" localSheetId="2">0+0</definedName>
    <definedName name="ZA0F" localSheetId="2">0+0</definedName>
    <definedName name="ZA0T" localSheetId="2">182752187+0</definedName>
  </definedNames>
  <calcPr fullCalcOnLoad="1"/>
</workbook>
</file>

<file path=xl/sharedStrings.xml><?xml version="1.0" encoding="utf-8"?>
<sst xmlns="http://schemas.openxmlformats.org/spreadsheetml/2006/main" count="846" uniqueCount="168">
  <si>
    <t>IRR</t>
  </si>
  <si>
    <t>ratio</t>
  </si>
  <si>
    <t>VAT</t>
  </si>
  <si>
    <t>EBITDA</t>
  </si>
  <si>
    <t>Bảng thông số</t>
  </si>
  <si>
    <t>Lạm phát VND</t>
  </si>
  <si>
    <t>Tỷ giá VND/USD 2009</t>
  </si>
  <si>
    <t>Lạm phát USD</t>
  </si>
  <si>
    <t>Năm</t>
  </si>
  <si>
    <t>Đơn vị</t>
  </si>
  <si>
    <t>tỷ lệ</t>
  </si>
  <si>
    <t>Diện tích đất</t>
  </si>
  <si>
    <t>Giá thuê đất</t>
  </si>
  <si>
    <t>Diện tích căn hộ 1 phòng ngủ</t>
  </si>
  <si>
    <t>Diện tích căn hộ 2 phòng ngủ</t>
  </si>
  <si>
    <t>Diện tích căn hộ 3 phòng ngủ</t>
  </si>
  <si>
    <t>Tổng số căn hộ 1 phòng ngủ</t>
  </si>
  <si>
    <t>Tổng số căn hộ 2 phòng ngủ</t>
  </si>
  <si>
    <t>Tổng số căn hộ 3 phòng ngủ</t>
  </si>
  <si>
    <t>Hệ số diện tích xây dựng/diện tích căn hộ</t>
  </si>
  <si>
    <t>Diện tích hồ bơi</t>
  </si>
  <si>
    <t>Chi phí xây dựng (tính trên diện tích xây dựng)</t>
  </si>
  <si>
    <t>Chi phí nội thất căn hộ 1 phòng ngủ</t>
  </si>
  <si>
    <t>Chi phí nội thất căn hộ 2 phòng ngủ</t>
  </si>
  <si>
    <t>Chi phí nội thất căn hộ 3 phòng ngủ</t>
  </si>
  <si>
    <t>Chi phí nội thất diện tích chung (tính trên diện tích xây dựng)</t>
  </si>
  <si>
    <t>Tỷ lệ chi phí khác trên tổng chi phí xây dựng</t>
  </si>
  <si>
    <t>Thiết kế</t>
  </si>
  <si>
    <t>Huy động vốn</t>
  </si>
  <si>
    <t>Bảo hiểm</t>
  </si>
  <si>
    <t>Phí hồ sơ</t>
  </si>
  <si>
    <t>Chi phí tiếp thị quảng cáo</t>
  </si>
  <si>
    <t>Chi phí pháp lý và kế toán</t>
  </si>
  <si>
    <t>Quản lý phí</t>
  </si>
  <si>
    <t>đơn vị</t>
  </si>
  <si>
    <t>triệu VND</t>
  </si>
  <si>
    <t>Dự phòng chi phí thực (% chi phí đầu tư)</t>
  </si>
  <si>
    <t>Chi phí xây dựng hồ bơi</t>
  </si>
  <si>
    <t>Lịch đầu tư</t>
  </si>
  <si>
    <t>Xây dựng</t>
  </si>
  <si>
    <t>Nội thất</t>
  </si>
  <si>
    <t>Hồ bơi</t>
  </si>
  <si>
    <t>Chi phí khác</t>
  </si>
  <si>
    <t>Thời gian đầu tư ban đầu</t>
  </si>
  <si>
    <t>năm</t>
  </si>
  <si>
    <t>Thời gian sử dụng công trình xây dựng</t>
  </si>
  <si>
    <t>Thời gian sử dụng nội thất</t>
  </si>
  <si>
    <t>Thời gian sử dụng tài sản vô hình</t>
  </si>
  <si>
    <t>Thời gian phân bổ chi phí mềm vào chi phí kinh doanh</t>
  </si>
  <si>
    <t>Vốn chủ sở hữu (so với tổng vốn)</t>
  </si>
  <si>
    <t>Vốn vay (so với tổng vốn)</t>
  </si>
  <si>
    <t>Lãi suất tiền gửi 1 năm</t>
  </si>
  <si>
    <t>Lãi suất cho vay danh nghĩa</t>
  </si>
  <si>
    <t>Lãi suất cho vay thực</t>
  </si>
  <si>
    <t>Số năm ân hạn trả nợ gốc</t>
  </si>
  <si>
    <t>Số năm trả đều nợ gốc</t>
  </si>
  <si>
    <t>Giá cho thuê tháng (bao gồm cả VAT)</t>
  </si>
  <si>
    <t>Tốc độ tăng giá cho thuê (giá thực)</t>
  </si>
  <si>
    <t>Chi phí hành chính/Thu nhập hiệu dụng</t>
  </si>
  <si>
    <t>Chi phí trực tiếp của dịch vụ cho thuê/NOI</t>
  </si>
  <si>
    <t>Phí quản lý/NOI</t>
  </si>
  <si>
    <t>Chi phí bảo trì/NOI</t>
  </si>
  <si>
    <t>Thuế suất thuế thu nhập doanh nghiệp</t>
  </si>
  <si>
    <t>Bảng chỉ số giá và tỷ giá hối đoái</t>
  </si>
  <si>
    <t>Chỉ số giá VND</t>
  </si>
  <si>
    <t>Chỉ số giá USD</t>
  </si>
  <si>
    <t>Tỷ giá hối đoái (VND/USD)</t>
  </si>
  <si>
    <t>CHI PHÍ ĐẦU TƯ</t>
  </si>
  <si>
    <t>Tổng diện tích căn hộ</t>
  </si>
  <si>
    <t>Tổng diện tích xây dựng</t>
  </si>
  <si>
    <t>Tổng chi phí xây dựng thô</t>
  </si>
  <si>
    <t>Chi phí nội thất căn hộ</t>
  </si>
  <si>
    <t>Chi phí nội thất chung</t>
  </si>
  <si>
    <t>Tổng chi phí xây dựng</t>
  </si>
  <si>
    <t>Tổng chi phí đầu tư không kể dự phòng</t>
  </si>
  <si>
    <t>Dự phòng tăng chi phí thực</t>
  </si>
  <si>
    <t>Tổng chi phí đầu tư, chưa điều chỉnh lạm phát</t>
  </si>
  <si>
    <t>Ngân lưu chi phí đầu tư theo giá thực</t>
  </si>
  <si>
    <t>Chi phí xây dựng</t>
  </si>
  <si>
    <t>Chi phí nội thất</t>
  </si>
  <si>
    <t>Chi phí mềm</t>
  </si>
  <si>
    <t>Ngân lưu chi phí đầu tư theo giá danh nghĩa</t>
  </si>
  <si>
    <t>Tổng chi phí đầu tư theo giá danh nghĩa</t>
  </si>
  <si>
    <t>HUY ĐỘNG VỐN</t>
  </si>
  <si>
    <t>Vốn chủ sở hữu</t>
  </si>
  <si>
    <t>Nợ vay</t>
  </si>
  <si>
    <t>Cộng</t>
  </si>
  <si>
    <t>Lịch nợ vay</t>
  </si>
  <si>
    <t>Dư nợ đầu kỳ</t>
  </si>
  <si>
    <t>Giải ngân nợ</t>
  </si>
  <si>
    <t>Lãi nhập gốc trong thời gian xây dựng</t>
  </si>
  <si>
    <t>Trả lãi</t>
  </si>
  <si>
    <t>Trả nợ gốc</t>
  </si>
  <si>
    <t>Trả lãi và nợ gốc</t>
  </si>
  <si>
    <t>Dư nợ cuối kỳ</t>
  </si>
  <si>
    <t>Ngân lưu nợ</t>
  </si>
  <si>
    <t>Tổng chi phí đầu tư, kể cả chi phí lãi vay trong thời gian XD</t>
  </si>
  <si>
    <t>KHẤU HAO</t>
  </si>
  <si>
    <t>Khấu hao công trình xây dựng kiên cố</t>
  </si>
  <si>
    <t>Khấu hao nội thất</t>
  </si>
  <si>
    <t>Khấu hao chi phí mềm</t>
  </si>
  <si>
    <t>Giá trị tài sản cố định (trừ đất) đầu kỳ</t>
  </si>
  <si>
    <t>Khấu hao</t>
  </si>
  <si>
    <t>Giá trị tài sản cố định cuối kỳ</t>
  </si>
  <si>
    <t>DOANH THU</t>
  </si>
  <si>
    <t>Tổng diện tích cho thuê tiềm năng</t>
  </si>
  <si>
    <t>Giá cho thuê (không kể VAT)</t>
  </si>
  <si>
    <t>Thu nhập gộp tiềm năng, PGI</t>
  </si>
  <si>
    <t>CHI PHÍ HOẠT ĐỘNG</t>
  </si>
  <si>
    <t>Chi phí trực tiếp của dịch vụ cho thuê</t>
  </si>
  <si>
    <t>Chi phí hành chính</t>
  </si>
  <si>
    <t>Phân bổ chi phí mềm trong thời gian xây dựng</t>
  </si>
  <si>
    <t>Thu nhập hoạt động ròng, NOI</t>
  </si>
  <si>
    <t>Phí quản lý</t>
  </si>
  <si>
    <t>Chi phí bảo trì</t>
  </si>
  <si>
    <t>Tiền thuê đất</t>
  </si>
  <si>
    <t xml:space="preserve"> - Khấu hao</t>
  </si>
  <si>
    <t>Lợi nhuận trước lãi vay và thuế</t>
  </si>
  <si>
    <t xml:space="preserve"> - Lãi vay</t>
  </si>
  <si>
    <t>Lợi nhuận trước thuế</t>
  </si>
  <si>
    <t xml:space="preserve"> - Thuế thu nhập doanh nghiệp</t>
  </si>
  <si>
    <t>NGÂN LƯU</t>
  </si>
  <si>
    <t>Ngân lưu hoạt động vào</t>
  </si>
  <si>
    <t>Ngân lưu hoạt động ra</t>
  </si>
  <si>
    <t>Chi phí hoạt động</t>
  </si>
  <si>
    <t>Ngân lưu hoạt động ròng</t>
  </si>
  <si>
    <t>Chi phí đầu tư</t>
  </si>
  <si>
    <t>Thuế thu nhập doanh nghiệp</t>
  </si>
  <si>
    <t>Ngân lưu tự do của dự án</t>
  </si>
  <si>
    <t>Ngân lưu tự do của chủ đầu tư</t>
  </si>
  <si>
    <t>Tỷ lệ an toàn trả nợ, DSCR</t>
  </si>
  <si>
    <t>Chủ đầu tư</t>
  </si>
  <si>
    <t>Lợi nhuận chịu thuế</t>
  </si>
  <si>
    <t>Chệnh lệch lãi suất</t>
  </si>
  <si>
    <t>Tỷ lệ diện tích cho thuê trống</t>
  </si>
  <si>
    <t>Số năm chuyển lỗ tối đa</t>
  </si>
  <si>
    <t>Thu nhập gộp hiệu dụng, EGI</t>
  </si>
  <si>
    <t xml:space="preserve"> - Thu nhập mất đi do căn hộ trống</t>
  </si>
  <si>
    <t>Chi phí vốn chủ sở hữu</t>
  </si>
  <si>
    <t>Chi phí vốn CSH</t>
  </si>
  <si>
    <t>Dự án</t>
  </si>
  <si>
    <t>Chủ sở hữu</t>
  </si>
  <si>
    <t>NPV chủ sở hữu</t>
  </si>
  <si>
    <t>PHÂN TÍCH ĐỘ NHẠY</t>
  </si>
  <si>
    <t>Thay đổi tỷ lệ lạm phát VND</t>
  </si>
  <si>
    <t>NPV</t>
  </si>
  <si>
    <t>IRR danh nghĩa</t>
  </si>
  <si>
    <t>IRR thực</t>
  </si>
  <si>
    <t>Thay đổi chi phí xây dựng/m2</t>
  </si>
  <si>
    <t>Chênh lệch lãi suất</t>
  </si>
  <si>
    <t>Thay đổi mức chênh lệch lãi suất</t>
  </si>
  <si>
    <t>Giá cho thuê</t>
  </si>
  <si>
    <t>Thay đổi giá cho thuê</t>
  </si>
  <si>
    <t>Tỷ lệ phí quản lý</t>
  </si>
  <si>
    <t>Thay đổi tỷ lệ phí quản lý</t>
  </si>
  <si>
    <t>Kịch bản tăng giá cho thuê</t>
  </si>
  <si>
    <t>Kịch bản 1</t>
  </si>
  <si>
    <t>Kịch bản 2</t>
  </si>
  <si>
    <t>Kịch bản 3</t>
  </si>
  <si>
    <t>Chọn kịch bản</t>
  </si>
  <si>
    <t>Kịch bản tỷ lệ phòng trống</t>
  </si>
  <si>
    <r>
      <t>m</t>
    </r>
    <r>
      <rPr>
        <vertAlign val="superscript"/>
        <sz val="10"/>
        <rFont val="Arial"/>
        <family val="2"/>
      </rPr>
      <t>2</t>
    </r>
  </si>
  <si>
    <r>
      <t>VND/m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/năm</t>
    </r>
  </si>
  <si>
    <r>
      <t>triệu VND/m</t>
    </r>
    <r>
      <rPr>
        <vertAlign val="superscript"/>
        <sz val="10"/>
        <rFont val="Arial"/>
        <family val="2"/>
      </rPr>
      <t>2</t>
    </r>
  </si>
  <si>
    <r>
      <t>USD/m</t>
    </r>
    <r>
      <rPr>
        <vertAlign val="superscript"/>
        <sz val="10"/>
        <rFont val="Arial"/>
        <family val="2"/>
      </rPr>
      <t>2</t>
    </r>
  </si>
  <si>
    <r>
      <t>triệu VND/m</t>
    </r>
    <r>
      <rPr>
        <b/>
        <vertAlign val="superscript"/>
        <sz val="10"/>
        <rFont val="Arial"/>
        <family val="2"/>
      </rPr>
      <t>2</t>
    </r>
  </si>
  <si>
    <r>
      <t>USD/m</t>
    </r>
    <r>
      <rPr>
        <b/>
        <vertAlign val="superscript"/>
        <sz val="10"/>
        <rFont val="Arial"/>
        <family val="2"/>
      </rPr>
      <t>2</t>
    </r>
  </si>
  <si>
    <t>Khấu hao công trình xây dựng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</si>
</sst>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  <numFmt numFmtId="172" formatCode="#,##0.0"/>
    <numFmt numFmtId="173" formatCode="0.0%"/>
    <numFmt numFmtId="174" formatCode="0.000%"/>
    <numFmt numFmtId="175" formatCode="0.0000000000000000%"/>
    <numFmt numFmtId="176" formatCode="#,##0.0000000"/>
    <numFmt numFmtId="177" formatCode="#,##0.000"/>
    <numFmt numFmtId="178" formatCode="#,##0.0000"/>
    <numFmt numFmtId="179" formatCode="0.000000"/>
    <numFmt numFmtId="180" formatCode="#,##0.00000"/>
    <numFmt numFmtId="181" formatCode="#,##0.000000"/>
    <numFmt numFmtId="182" formatCode="#,##0.00000000"/>
    <numFmt numFmtId="183" formatCode="0.00000000"/>
    <numFmt numFmtId="184" formatCode="0.0000000"/>
    <numFmt numFmtId="185" formatCode="_(* #,##0_);_(* \(#,##0\);_(* &quot;-&quot;??_);_(@_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9" fontId="0" fillId="0" borderId="0" xfId="61" applyFont="1" applyFill="1" applyAlignment="1">
      <alignment/>
    </xf>
    <xf numFmtId="3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indent="2"/>
    </xf>
    <xf numFmtId="1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173" fontId="0" fillId="0" borderId="0" xfId="0" applyNumberFormat="1" applyFont="1" applyFill="1" applyAlignment="1">
      <alignment/>
    </xf>
    <xf numFmtId="10" fontId="0" fillId="0" borderId="0" xfId="61" applyNumberFormat="1" applyFont="1" applyFill="1" applyAlignment="1">
      <alignment/>
    </xf>
    <xf numFmtId="173" fontId="0" fillId="0" borderId="0" xfId="61" applyNumberFormat="1" applyFont="1" applyFill="1" applyAlignment="1">
      <alignment/>
    </xf>
    <xf numFmtId="0" fontId="0" fillId="0" borderId="10" xfId="0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9" fontId="0" fillId="0" borderId="10" xfId="61" applyFont="1" applyFill="1" applyBorder="1" applyAlignment="1">
      <alignment/>
    </xf>
    <xf numFmtId="4" fontId="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indent="1"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indent="1"/>
    </xf>
    <xf numFmtId="10" fontId="4" fillId="0" borderId="0" xfId="0" applyNumberFormat="1" applyFont="1" applyFill="1" applyAlignment="1">
      <alignment/>
    </xf>
    <xf numFmtId="10" fontId="4" fillId="0" borderId="0" xfId="61" applyNumberFormat="1" applyFont="1" applyFill="1" applyAlignment="1">
      <alignment/>
    </xf>
    <xf numFmtId="0" fontId="0" fillId="0" borderId="0" xfId="58" applyFont="1">
      <alignment/>
      <protection/>
    </xf>
    <xf numFmtId="1" fontId="4" fillId="0" borderId="0" xfId="58" applyNumberFormat="1" applyFont="1">
      <alignment/>
      <protection/>
    </xf>
    <xf numFmtId="0" fontId="4" fillId="0" borderId="0" xfId="58" applyFont="1">
      <alignment/>
      <protection/>
    </xf>
    <xf numFmtId="0" fontId="4" fillId="33" borderId="0" xfId="58" applyFont="1" applyFill="1">
      <alignment/>
      <protection/>
    </xf>
    <xf numFmtId="9" fontId="4" fillId="33" borderId="0" xfId="62" applyFont="1" applyFill="1" applyAlignment="1">
      <alignment/>
    </xf>
    <xf numFmtId="9" fontId="0" fillId="0" borderId="0" xfId="62" applyFont="1" applyAlignment="1">
      <alignment/>
    </xf>
    <xf numFmtId="3" fontId="0" fillId="0" borderId="0" xfId="58" applyNumberFormat="1" applyFont="1">
      <alignment/>
      <protection/>
    </xf>
    <xf numFmtId="9" fontId="0" fillId="0" borderId="0" xfId="58" applyNumberFormat="1" applyFont="1">
      <alignment/>
      <protection/>
    </xf>
    <xf numFmtId="172" fontId="0" fillId="0" borderId="0" xfId="58" applyNumberFormat="1" applyFont="1">
      <alignment/>
      <protection/>
    </xf>
    <xf numFmtId="172" fontId="4" fillId="33" borderId="0" xfId="58" applyNumberFormat="1" applyFont="1" applyFill="1">
      <alignment/>
      <protection/>
    </xf>
    <xf numFmtId="177" fontId="0" fillId="0" borderId="0" xfId="58" applyNumberFormat="1" applyFont="1">
      <alignment/>
      <protection/>
    </xf>
    <xf numFmtId="0" fontId="0" fillId="0" borderId="0" xfId="58" applyFont="1" applyAlignment="1">
      <alignment horizontal="left" indent="2"/>
      <protection/>
    </xf>
    <xf numFmtId="10" fontId="0" fillId="0" borderId="0" xfId="58" applyNumberFormat="1" applyFont="1" applyAlignment="1">
      <alignment horizontal="right"/>
      <protection/>
    </xf>
    <xf numFmtId="0" fontId="0" fillId="0" borderId="0" xfId="58" applyFont="1" applyAlignment="1">
      <alignment horizontal="left"/>
      <protection/>
    </xf>
    <xf numFmtId="173" fontId="0" fillId="0" borderId="0" xfId="58" applyNumberFormat="1" applyFont="1">
      <alignment/>
      <protection/>
    </xf>
    <xf numFmtId="173" fontId="4" fillId="33" borderId="0" xfId="58" applyNumberFormat="1" applyFont="1" applyFill="1">
      <alignment/>
      <protection/>
    </xf>
    <xf numFmtId="10" fontId="0" fillId="0" borderId="0" xfId="62" applyNumberFormat="1" applyFont="1" applyAlignment="1">
      <alignment/>
    </xf>
    <xf numFmtId="3" fontId="4" fillId="33" borderId="0" xfId="58" applyNumberFormat="1" applyFont="1" applyFill="1">
      <alignment/>
      <protection/>
    </xf>
    <xf numFmtId="173" fontId="4" fillId="33" borderId="0" xfId="62" applyNumberFormat="1" applyFont="1" applyFill="1" applyAlignment="1">
      <alignment/>
    </xf>
    <xf numFmtId="9" fontId="4" fillId="33" borderId="0" xfId="58" applyNumberFormat="1" applyFont="1" applyFill="1">
      <alignment/>
      <protection/>
    </xf>
    <xf numFmtId="0" fontId="0" fillId="0" borderId="10" xfId="58" applyFont="1" applyBorder="1">
      <alignment/>
      <protection/>
    </xf>
    <xf numFmtId="172" fontId="0" fillId="0" borderId="10" xfId="58" applyNumberFormat="1" applyFont="1" applyBorder="1">
      <alignment/>
      <protection/>
    </xf>
    <xf numFmtId="9" fontId="0" fillId="0" borderId="10" xfId="62" applyFont="1" applyFill="1" applyBorder="1" applyAlignment="1">
      <alignment/>
    </xf>
    <xf numFmtId="4" fontId="0" fillId="0" borderId="0" xfId="58" applyNumberFormat="1" applyFont="1">
      <alignment/>
      <protection/>
    </xf>
    <xf numFmtId="3" fontId="0" fillId="0" borderId="0" xfId="58" applyNumberFormat="1" applyFont="1" applyFill="1">
      <alignment/>
      <protection/>
    </xf>
    <xf numFmtId="0" fontId="0" fillId="34" borderId="0" xfId="58" applyFont="1" applyFill="1">
      <alignment/>
      <protection/>
    </xf>
    <xf numFmtId="3" fontId="0" fillId="34" borderId="0" xfId="58" applyNumberFormat="1" applyFont="1" applyFill="1">
      <alignment/>
      <protection/>
    </xf>
    <xf numFmtId="3" fontId="4" fillId="0" borderId="0" xfId="58" applyNumberFormat="1" applyFont="1">
      <alignment/>
      <protection/>
    </xf>
    <xf numFmtId="10" fontId="0" fillId="34" borderId="0" xfId="58" applyNumberFormat="1" applyFont="1" applyFill="1">
      <alignment/>
      <protection/>
    </xf>
    <xf numFmtId="170" fontId="0" fillId="0" borderId="0" xfId="58" applyNumberFormat="1" applyFont="1">
      <alignment/>
      <protection/>
    </xf>
    <xf numFmtId="0" fontId="0" fillId="0" borderId="0" xfId="58" applyFont="1" applyAlignment="1">
      <alignment horizontal="left" indent="1"/>
      <protection/>
    </xf>
    <xf numFmtId="0" fontId="0" fillId="0" borderId="0" xfId="58" applyFont="1" applyFill="1" applyAlignment="1">
      <alignment horizontal="left" indent="1"/>
      <protection/>
    </xf>
    <xf numFmtId="0" fontId="4" fillId="34" borderId="0" xfId="58" applyFont="1" applyFill="1">
      <alignment/>
      <protection/>
    </xf>
    <xf numFmtId="3" fontId="4" fillId="34" borderId="0" xfId="58" applyNumberFormat="1" applyFont="1" applyFill="1">
      <alignment/>
      <protection/>
    </xf>
    <xf numFmtId="2" fontId="4" fillId="34" borderId="0" xfId="58" applyNumberFormat="1" applyFont="1" applyFill="1">
      <alignment/>
      <protection/>
    </xf>
    <xf numFmtId="0" fontId="4" fillId="34" borderId="0" xfId="58" applyFont="1" applyFill="1" applyAlignment="1">
      <alignment horizontal="left" indent="1"/>
      <protection/>
    </xf>
    <xf numFmtId="10" fontId="4" fillId="34" borderId="0" xfId="58" applyNumberFormat="1" applyFont="1" applyFill="1">
      <alignment/>
      <protection/>
    </xf>
    <xf numFmtId="10" fontId="4" fillId="34" borderId="0" xfId="62" applyNumberFormat="1" applyFont="1" applyFill="1" applyAlignment="1">
      <alignment/>
    </xf>
    <xf numFmtId="10" fontId="4" fillId="0" borderId="0" xfId="58" applyNumberFormat="1" applyFont="1" applyFill="1">
      <alignment/>
      <protection/>
    </xf>
    <xf numFmtId="3" fontId="0" fillId="0" borderId="11" xfId="58" applyNumberFormat="1" applyFont="1" applyBorder="1">
      <alignment/>
      <protection/>
    </xf>
    <xf numFmtId="3" fontId="0" fillId="0" borderId="12" xfId="58" applyNumberFormat="1" applyFont="1" applyBorder="1">
      <alignment/>
      <protection/>
    </xf>
    <xf numFmtId="3" fontId="0" fillId="0" borderId="13" xfId="58" applyNumberFormat="1" applyFont="1" applyBorder="1">
      <alignment/>
      <protection/>
    </xf>
    <xf numFmtId="10" fontId="0" fillId="0" borderId="0" xfId="58" applyNumberFormat="1" applyFont="1">
      <alignment/>
      <protection/>
    </xf>
    <xf numFmtId="173" fontId="0" fillId="0" borderId="14" xfId="62" applyNumberFormat="1" applyFont="1" applyBorder="1" applyAlignment="1">
      <alignment/>
    </xf>
    <xf numFmtId="173" fontId="0" fillId="0" borderId="0" xfId="62" applyNumberFormat="1" applyFont="1" applyBorder="1" applyAlignment="1">
      <alignment/>
    </xf>
    <xf numFmtId="173" fontId="0" fillId="0" borderId="15" xfId="62" applyNumberFormat="1" applyFont="1" applyBorder="1" applyAlignment="1">
      <alignment/>
    </xf>
    <xf numFmtId="173" fontId="0" fillId="0" borderId="16" xfId="62" applyNumberFormat="1" applyFont="1" applyBorder="1" applyAlignment="1">
      <alignment/>
    </xf>
    <xf numFmtId="173" fontId="0" fillId="0" borderId="17" xfId="62" applyNumberFormat="1" applyFont="1" applyBorder="1" applyAlignment="1">
      <alignment/>
    </xf>
    <xf numFmtId="173" fontId="0" fillId="0" borderId="18" xfId="62" applyNumberFormat="1" applyFont="1" applyBorder="1" applyAlignment="1">
      <alignment/>
    </xf>
    <xf numFmtId="170" fontId="4" fillId="0" borderId="0" xfId="58" applyNumberFormat="1" applyFont="1">
      <alignment/>
      <protection/>
    </xf>
    <xf numFmtId="173" fontId="4" fillId="0" borderId="0" xfId="62" applyNumberFormat="1" applyFont="1" applyAlignment="1">
      <alignment/>
    </xf>
    <xf numFmtId="2" fontId="4" fillId="0" borderId="0" xfId="58" applyNumberFormat="1" applyFont="1">
      <alignment/>
      <protection/>
    </xf>
    <xf numFmtId="1" fontId="0" fillId="0" borderId="0" xfId="58" applyNumberFormat="1" applyFont="1">
      <alignment/>
      <protection/>
    </xf>
    <xf numFmtId="0" fontId="7" fillId="0" borderId="0" xfId="58" applyFont="1">
      <alignment/>
      <protection/>
    </xf>
    <xf numFmtId="185" fontId="0" fillId="0" borderId="0" xfId="44" applyNumberFormat="1" applyFont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58" applyFont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d-ins\FETP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tnc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6"/>
  <sheetViews>
    <sheetView zoomScalePageLayoutView="0" workbookViewId="0" topLeftCell="A1">
      <pane xSplit="1" ySplit="2" topLeftCell="B20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236" sqref="F236"/>
    </sheetView>
  </sheetViews>
  <sheetFormatPr defaultColWidth="9.140625" defaultRowHeight="12.75"/>
  <cols>
    <col min="1" max="1" width="43.28125" style="1" bestFit="1" customWidth="1"/>
    <col min="2" max="2" width="9.7109375" style="1" customWidth="1"/>
    <col min="3" max="3" width="12.57421875" style="1" bestFit="1" customWidth="1"/>
    <col min="4" max="4" width="12.00390625" style="1" customWidth="1"/>
    <col min="5" max="16384" width="9.140625" style="1" customWidth="1"/>
  </cols>
  <sheetData>
    <row r="1" spans="2:30" ht="12.75">
      <c r="B1" s="1" t="s">
        <v>8</v>
      </c>
      <c r="C1" s="2">
        <v>2009</v>
      </c>
      <c r="D1" s="3">
        <v>2010</v>
      </c>
      <c r="E1" s="2">
        <v>2011</v>
      </c>
      <c r="F1" s="3">
        <v>2012</v>
      </c>
      <c r="G1" s="2">
        <v>2013</v>
      </c>
      <c r="H1" s="3">
        <v>2014</v>
      </c>
      <c r="I1" s="2">
        <v>2015</v>
      </c>
      <c r="J1" s="3">
        <v>2016</v>
      </c>
      <c r="K1" s="2">
        <v>2017</v>
      </c>
      <c r="L1" s="3">
        <v>2018</v>
      </c>
      <c r="M1" s="2">
        <v>2019</v>
      </c>
      <c r="N1" s="3">
        <v>2020</v>
      </c>
      <c r="O1" s="2">
        <v>2021</v>
      </c>
      <c r="P1" s="3">
        <v>2022</v>
      </c>
      <c r="Q1" s="2">
        <v>2023</v>
      </c>
      <c r="R1" s="3">
        <v>2024</v>
      </c>
      <c r="S1" s="2">
        <v>2025</v>
      </c>
      <c r="T1" s="3">
        <v>2026</v>
      </c>
      <c r="U1" s="2">
        <v>2027</v>
      </c>
      <c r="V1" s="3">
        <v>2028</v>
      </c>
      <c r="W1" s="2">
        <v>2029</v>
      </c>
      <c r="X1" s="3">
        <v>2030</v>
      </c>
      <c r="Y1" s="2">
        <v>2031</v>
      </c>
      <c r="Z1" s="3">
        <v>2032</v>
      </c>
      <c r="AA1" s="2">
        <v>2033</v>
      </c>
      <c r="AB1" s="3">
        <v>2034</v>
      </c>
      <c r="AC1" s="2">
        <v>2035</v>
      </c>
      <c r="AD1" s="3">
        <v>2036</v>
      </c>
    </row>
    <row r="2" spans="1:30" ht="12.75">
      <c r="A2" s="3" t="s">
        <v>4</v>
      </c>
      <c r="B2" s="1" t="s">
        <v>9</v>
      </c>
      <c r="C2" s="2">
        <v>0</v>
      </c>
      <c r="D2" s="3">
        <v>1</v>
      </c>
      <c r="E2" s="2">
        <v>2</v>
      </c>
      <c r="F2" s="3">
        <v>3</v>
      </c>
      <c r="G2" s="2">
        <v>4</v>
      </c>
      <c r="H2" s="3">
        <v>5</v>
      </c>
      <c r="I2" s="2">
        <v>6</v>
      </c>
      <c r="J2" s="3">
        <v>7</v>
      </c>
      <c r="K2" s="2">
        <v>8</v>
      </c>
      <c r="L2" s="3">
        <v>9</v>
      </c>
      <c r="M2" s="2">
        <v>10</v>
      </c>
      <c r="N2" s="3">
        <v>11</v>
      </c>
      <c r="O2" s="2">
        <v>12</v>
      </c>
      <c r="P2" s="3">
        <v>13</v>
      </c>
      <c r="Q2" s="2">
        <v>14</v>
      </c>
      <c r="R2" s="3">
        <v>15</v>
      </c>
      <c r="S2" s="2">
        <v>16</v>
      </c>
      <c r="T2" s="3">
        <v>17</v>
      </c>
      <c r="U2" s="2">
        <v>18</v>
      </c>
      <c r="V2" s="3">
        <v>19</v>
      </c>
      <c r="W2" s="2">
        <v>20</v>
      </c>
      <c r="X2" s="3">
        <v>21</v>
      </c>
      <c r="Y2" s="2">
        <v>22</v>
      </c>
      <c r="Z2" s="3">
        <v>23</v>
      </c>
      <c r="AA2" s="2">
        <v>24</v>
      </c>
      <c r="AB2" s="3">
        <v>25</v>
      </c>
      <c r="AC2" s="2">
        <v>26</v>
      </c>
      <c r="AD2" s="3">
        <v>27</v>
      </c>
    </row>
    <row r="3" spans="1:30" ht="12.75">
      <c r="A3" s="1" t="s">
        <v>5</v>
      </c>
      <c r="B3" s="1" t="s">
        <v>10</v>
      </c>
      <c r="C3" s="4">
        <v>0.07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16" ht="12.75">
      <c r="A4" s="1" t="s">
        <v>6</v>
      </c>
      <c r="B4" s="1" t="s">
        <v>10</v>
      </c>
      <c r="C4" s="5">
        <v>18000</v>
      </c>
      <c r="O4" s="2"/>
      <c r="P4" s="3"/>
    </row>
    <row r="5" spans="1:30" ht="12.75">
      <c r="A5" s="1" t="s">
        <v>7</v>
      </c>
      <c r="B5" s="1" t="s">
        <v>10</v>
      </c>
      <c r="C5" s="4">
        <v>0.02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16" ht="12.75">
      <c r="C6" s="5"/>
      <c r="O6" s="2"/>
      <c r="P6" s="3"/>
    </row>
    <row r="7" spans="1:16" ht="14.25">
      <c r="A7" s="1" t="s">
        <v>11</v>
      </c>
      <c r="B7" s="1" t="s">
        <v>161</v>
      </c>
      <c r="C7" s="5">
        <v>32000</v>
      </c>
      <c r="O7" s="2"/>
      <c r="P7" s="3"/>
    </row>
    <row r="8" spans="1:16" ht="14.25">
      <c r="A8" s="1" t="s">
        <v>12</v>
      </c>
      <c r="B8" s="1" t="s">
        <v>162</v>
      </c>
      <c r="C8" s="5">
        <v>125000</v>
      </c>
      <c r="O8" s="2"/>
      <c r="P8" s="3"/>
    </row>
    <row r="9" spans="1:16" ht="14.25">
      <c r="A9" s="1" t="s">
        <v>13</v>
      </c>
      <c r="B9" s="1" t="s">
        <v>161</v>
      </c>
      <c r="C9" s="7">
        <v>64</v>
      </c>
      <c r="O9" s="2"/>
      <c r="P9" s="3"/>
    </row>
    <row r="10" spans="1:16" ht="14.25">
      <c r="A10" s="1" t="s">
        <v>14</v>
      </c>
      <c r="B10" s="1" t="s">
        <v>161</v>
      </c>
      <c r="C10" s="7">
        <v>120</v>
      </c>
      <c r="O10" s="2"/>
      <c r="P10" s="3"/>
    </row>
    <row r="11" spans="1:16" ht="14.25">
      <c r="A11" s="1" t="s">
        <v>15</v>
      </c>
      <c r="B11" s="1" t="s">
        <v>161</v>
      </c>
      <c r="C11" s="7">
        <v>184</v>
      </c>
      <c r="O11" s="2"/>
      <c r="P11" s="3"/>
    </row>
    <row r="12" spans="1:16" ht="12.75">
      <c r="A12" s="1" t="s">
        <v>16</v>
      </c>
      <c r="B12" s="1" t="s">
        <v>34</v>
      </c>
      <c r="C12" s="5">
        <v>60</v>
      </c>
      <c r="O12" s="2"/>
      <c r="P12" s="3"/>
    </row>
    <row r="13" spans="1:16" ht="12.75">
      <c r="A13" s="1" t="s">
        <v>17</v>
      </c>
      <c r="B13" s="1" t="s">
        <v>34</v>
      </c>
      <c r="C13" s="5">
        <v>93</v>
      </c>
      <c r="O13" s="2"/>
      <c r="P13" s="3"/>
    </row>
    <row r="14" spans="1:16" ht="12.75">
      <c r="A14" s="1" t="s">
        <v>18</v>
      </c>
      <c r="B14" s="1" t="s">
        <v>34</v>
      </c>
      <c r="C14" s="5">
        <v>22</v>
      </c>
      <c r="O14" s="2"/>
      <c r="P14" s="3"/>
    </row>
    <row r="15" spans="1:16" ht="12.75">
      <c r="A15" s="1" t="s">
        <v>19</v>
      </c>
      <c r="B15" s="1" t="s">
        <v>10</v>
      </c>
      <c r="C15" s="7">
        <v>1.2</v>
      </c>
      <c r="O15" s="2"/>
      <c r="P15" s="3"/>
    </row>
    <row r="16" spans="1:16" ht="14.25">
      <c r="A16" s="1" t="s">
        <v>20</v>
      </c>
      <c r="B16" s="1" t="s">
        <v>161</v>
      </c>
      <c r="C16" s="7">
        <f>15*22</f>
        <v>330</v>
      </c>
      <c r="D16" s="5"/>
      <c r="O16" s="2"/>
      <c r="P16" s="3"/>
    </row>
    <row r="17" spans="1:16" ht="14.25">
      <c r="A17" s="1" t="s">
        <v>21</v>
      </c>
      <c r="B17" s="1" t="s">
        <v>163</v>
      </c>
      <c r="C17" s="7">
        <v>14.4</v>
      </c>
      <c r="O17" s="2"/>
      <c r="P17" s="3"/>
    </row>
    <row r="18" spans="1:16" ht="12.75">
      <c r="A18" s="1" t="s">
        <v>22</v>
      </c>
      <c r="B18" s="1" t="s">
        <v>35</v>
      </c>
      <c r="C18" s="7">
        <v>180</v>
      </c>
      <c r="O18" s="2"/>
      <c r="P18" s="3"/>
    </row>
    <row r="19" spans="1:16" ht="12.75">
      <c r="A19" s="1" t="s">
        <v>23</v>
      </c>
      <c r="B19" s="1" t="s">
        <v>35</v>
      </c>
      <c r="C19" s="7">
        <v>216</v>
      </c>
      <c r="O19" s="2"/>
      <c r="P19" s="3"/>
    </row>
    <row r="20" spans="1:16" ht="12.75">
      <c r="A20" s="1" t="s">
        <v>24</v>
      </c>
      <c r="B20" s="1" t="s">
        <v>35</v>
      </c>
      <c r="C20" s="7">
        <v>240</v>
      </c>
      <c r="O20" s="2"/>
      <c r="P20" s="3"/>
    </row>
    <row r="21" spans="1:16" ht="14.25">
      <c r="A21" s="1" t="s">
        <v>25</v>
      </c>
      <c r="B21" s="1" t="s">
        <v>163</v>
      </c>
      <c r="C21" s="8">
        <v>0.36</v>
      </c>
      <c r="O21" s="2"/>
      <c r="P21" s="3"/>
    </row>
    <row r="22" spans="1:16" ht="12.75">
      <c r="A22" s="1" t="s">
        <v>26</v>
      </c>
      <c r="B22" s="1" t="s">
        <v>10</v>
      </c>
      <c r="C22" s="5"/>
      <c r="O22" s="2"/>
      <c r="P22" s="3"/>
    </row>
    <row r="23" spans="1:16" ht="12.75">
      <c r="A23" s="9" t="s">
        <v>27</v>
      </c>
      <c r="B23" s="9"/>
      <c r="C23" s="10">
        <v>0.03</v>
      </c>
      <c r="O23" s="2"/>
      <c r="P23" s="3"/>
    </row>
    <row r="24" spans="1:16" ht="12.75">
      <c r="A24" s="9" t="s">
        <v>28</v>
      </c>
      <c r="B24" s="9"/>
      <c r="C24" s="10">
        <v>0.03</v>
      </c>
      <c r="O24" s="2"/>
      <c r="P24" s="3"/>
    </row>
    <row r="25" spans="1:16" ht="12.75">
      <c r="A25" s="9" t="s">
        <v>29</v>
      </c>
      <c r="B25" s="9"/>
      <c r="C25" s="10">
        <v>0.015</v>
      </c>
      <c r="O25" s="2"/>
      <c r="P25" s="3"/>
    </row>
    <row r="26" spans="1:16" ht="12.75">
      <c r="A26" s="9" t="s">
        <v>30</v>
      </c>
      <c r="B26" s="9"/>
      <c r="C26" s="10">
        <v>0.02</v>
      </c>
      <c r="O26" s="2"/>
      <c r="P26" s="3"/>
    </row>
    <row r="27" spans="1:16" ht="12.75">
      <c r="A27" s="9" t="s">
        <v>31</v>
      </c>
      <c r="B27" s="9"/>
      <c r="C27" s="10">
        <v>0.036</v>
      </c>
      <c r="O27" s="2"/>
      <c r="P27" s="3"/>
    </row>
    <row r="28" spans="1:16" ht="12.75">
      <c r="A28" s="9" t="s">
        <v>32</v>
      </c>
      <c r="B28" s="9"/>
      <c r="C28" s="10">
        <v>0.004</v>
      </c>
      <c r="O28" s="2"/>
      <c r="P28" s="3"/>
    </row>
    <row r="29" spans="1:16" ht="12.75">
      <c r="A29" s="9" t="s">
        <v>33</v>
      </c>
      <c r="B29" s="9"/>
      <c r="C29" s="10">
        <v>0.05</v>
      </c>
      <c r="O29" s="2"/>
      <c r="P29" s="3"/>
    </row>
    <row r="30" spans="1:16" ht="12.75">
      <c r="A30" s="11" t="s">
        <v>36</v>
      </c>
      <c r="B30" s="1" t="s">
        <v>10</v>
      </c>
      <c r="C30" s="10">
        <v>0.1</v>
      </c>
      <c r="O30" s="2"/>
      <c r="P30" s="3"/>
    </row>
    <row r="31" spans="1:16" ht="14.25">
      <c r="A31" s="1" t="s">
        <v>37</v>
      </c>
      <c r="B31" s="1" t="s">
        <v>163</v>
      </c>
      <c r="C31" s="7">
        <v>5</v>
      </c>
      <c r="O31" s="2"/>
      <c r="P31" s="3"/>
    </row>
    <row r="32" spans="1:16" ht="12.75">
      <c r="A32" s="1" t="s">
        <v>38</v>
      </c>
      <c r="C32" s="5"/>
      <c r="O32" s="2"/>
      <c r="P32" s="3"/>
    </row>
    <row r="33" spans="1:16" ht="12.75">
      <c r="A33" s="1" t="s">
        <v>39</v>
      </c>
      <c r="C33" s="4">
        <v>0.3</v>
      </c>
      <c r="D33" s="4">
        <v>0.55</v>
      </c>
      <c r="E33" s="4">
        <f>1-C33-D33</f>
        <v>0.1499999999999999</v>
      </c>
      <c r="O33" s="2"/>
      <c r="P33" s="3"/>
    </row>
    <row r="34" spans="1:16" ht="12.75">
      <c r="A34" s="1" t="s">
        <v>40</v>
      </c>
      <c r="C34" s="4">
        <v>0</v>
      </c>
      <c r="D34" s="4">
        <v>0</v>
      </c>
      <c r="E34" s="4">
        <f>1-C34-D34</f>
        <v>1</v>
      </c>
      <c r="O34" s="2"/>
      <c r="P34" s="3"/>
    </row>
    <row r="35" spans="1:16" ht="12.75">
      <c r="A35" s="1" t="s">
        <v>41</v>
      </c>
      <c r="C35" s="4">
        <v>0</v>
      </c>
      <c r="D35" s="4">
        <v>0</v>
      </c>
      <c r="E35" s="4">
        <f>1-C35-D35</f>
        <v>1</v>
      </c>
      <c r="O35" s="2"/>
      <c r="P35" s="3"/>
    </row>
    <row r="36" spans="1:16" ht="12.75">
      <c r="A36" s="1" t="s">
        <v>42</v>
      </c>
      <c r="C36" s="4"/>
      <c r="D36" s="4"/>
      <c r="E36" s="4"/>
      <c r="O36" s="2"/>
      <c r="P36" s="3"/>
    </row>
    <row r="37" spans="1:16" ht="12.75">
      <c r="A37" s="9" t="s">
        <v>27</v>
      </c>
      <c r="C37" s="4">
        <v>1</v>
      </c>
      <c r="D37" s="4">
        <v>0</v>
      </c>
      <c r="E37" s="4">
        <f aca="true" t="shared" si="0" ref="E37:E43">1-C37-D37</f>
        <v>0</v>
      </c>
      <c r="O37" s="2"/>
      <c r="P37" s="3"/>
    </row>
    <row r="38" spans="1:16" ht="12.75">
      <c r="A38" s="9" t="s">
        <v>28</v>
      </c>
      <c r="C38" s="4">
        <v>1</v>
      </c>
      <c r="D38" s="4">
        <v>0</v>
      </c>
      <c r="E38" s="4">
        <f t="shared" si="0"/>
        <v>0</v>
      </c>
      <c r="O38" s="2"/>
      <c r="P38" s="3"/>
    </row>
    <row r="39" spans="1:16" ht="12.75">
      <c r="A39" s="9" t="s">
        <v>29</v>
      </c>
      <c r="C39" s="4">
        <v>1</v>
      </c>
      <c r="D39" s="4">
        <v>0</v>
      </c>
      <c r="E39" s="4">
        <f t="shared" si="0"/>
        <v>0</v>
      </c>
      <c r="O39" s="2"/>
      <c r="P39" s="3"/>
    </row>
    <row r="40" spans="1:16" ht="12.75">
      <c r="A40" s="9" t="s">
        <v>30</v>
      </c>
      <c r="C40" s="4">
        <v>0.5</v>
      </c>
      <c r="D40" s="4">
        <v>0</v>
      </c>
      <c r="E40" s="4">
        <f t="shared" si="0"/>
        <v>0.5</v>
      </c>
      <c r="O40" s="2"/>
      <c r="P40" s="3"/>
    </row>
    <row r="41" spans="1:16" ht="12.75">
      <c r="A41" s="9" t="s">
        <v>31</v>
      </c>
      <c r="C41" s="4">
        <v>0.5</v>
      </c>
      <c r="D41" s="4">
        <v>0.3</v>
      </c>
      <c r="E41" s="4">
        <f t="shared" si="0"/>
        <v>0.2</v>
      </c>
      <c r="O41" s="2"/>
      <c r="P41" s="3"/>
    </row>
    <row r="42" spans="1:16" ht="12.75">
      <c r="A42" s="9" t="s">
        <v>32</v>
      </c>
      <c r="C42" s="4">
        <v>0.35</v>
      </c>
      <c r="D42" s="4">
        <v>0.3</v>
      </c>
      <c r="E42" s="4">
        <f t="shared" si="0"/>
        <v>0.35000000000000003</v>
      </c>
      <c r="O42" s="2"/>
      <c r="P42" s="3"/>
    </row>
    <row r="43" spans="1:16" ht="12.75">
      <c r="A43" s="9" t="s">
        <v>33</v>
      </c>
      <c r="C43" s="4">
        <v>0.3</v>
      </c>
      <c r="D43" s="4">
        <v>0.35</v>
      </c>
      <c r="E43" s="4">
        <f t="shared" si="0"/>
        <v>0.35</v>
      </c>
      <c r="O43" s="2"/>
      <c r="P43" s="3"/>
    </row>
    <row r="44" spans="1:16" ht="12.75">
      <c r="A44" s="11" t="s">
        <v>43</v>
      </c>
      <c r="B44" s="1" t="s">
        <v>44</v>
      </c>
      <c r="C44" s="5">
        <v>3</v>
      </c>
      <c r="D44" s="4"/>
      <c r="E44" s="4"/>
      <c r="O44" s="2"/>
      <c r="P44" s="3"/>
    </row>
    <row r="45" spans="1:16" ht="12.75">
      <c r="A45" s="1" t="s">
        <v>45</v>
      </c>
      <c r="B45" s="7" t="s">
        <v>44</v>
      </c>
      <c r="C45" s="5">
        <v>25</v>
      </c>
      <c r="O45" s="2"/>
      <c r="P45" s="3"/>
    </row>
    <row r="46" spans="1:16" ht="12.75">
      <c r="A46" s="1" t="s">
        <v>46</v>
      </c>
      <c r="B46" s="7" t="s">
        <v>44</v>
      </c>
      <c r="C46" s="5">
        <v>5</v>
      </c>
      <c r="O46" s="2"/>
      <c r="P46" s="3"/>
    </row>
    <row r="47" spans="1:16" ht="12.75">
      <c r="A47" s="1" t="s">
        <v>47</v>
      </c>
      <c r="B47" s="7" t="s">
        <v>44</v>
      </c>
      <c r="C47" s="5">
        <v>20</v>
      </c>
      <c r="O47" s="2"/>
      <c r="P47" s="3"/>
    </row>
    <row r="48" spans="1:16" ht="12.75">
      <c r="A48" s="1" t="s">
        <v>48</v>
      </c>
      <c r="B48" s="7" t="s">
        <v>44</v>
      </c>
      <c r="C48" s="5">
        <v>3</v>
      </c>
      <c r="O48" s="2"/>
      <c r="P48" s="3"/>
    </row>
    <row r="49" spans="1:16" ht="12.75">
      <c r="A49" s="1" t="s">
        <v>49</v>
      </c>
      <c r="B49" s="7" t="s">
        <v>10</v>
      </c>
      <c r="C49" s="6">
        <v>0.8</v>
      </c>
      <c r="D49" s="6">
        <v>0.3</v>
      </c>
      <c r="E49" s="6">
        <v>0</v>
      </c>
      <c r="O49" s="2"/>
      <c r="P49" s="3"/>
    </row>
    <row r="50" spans="1:16" ht="12.75">
      <c r="A50" s="1" t="s">
        <v>50</v>
      </c>
      <c r="B50" s="7" t="s">
        <v>10</v>
      </c>
      <c r="C50" s="6">
        <f>1-C49</f>
        <v>0.19999999999999996</v>
      </c>
      <c r="D50" s="6">
        <f>1-D49</f>
        <v>0.7</v>
      </c>
      <c r="E50" s="6">
        <f>1-E49</f>
        <v>1</v>
      </c>
      <c r="O50" s="2"/>
      <c r="P50" s="3"/>
    </row>
    <row r="51" spans="1:16" ht="12.75">
      <c r="A51" s="1" t="s">
        <v>51</v>
      </c>
      <c r="B51" s="7" t="s">
        <v>10</v>
      </c>
      <c r="C51" s="12">
        <v>0.08</v>
      </c>
      <c r="D51" s="6"/>
      <c r="E51" s="6"/>
      <c r="O51" s="2"/>
      <c r="P51" s="3"/>
    </row>
    <row r="52" spans="1:16" ht="12.75">
      <c r="A52" s="1" t="s">
        <v>133</v>
      </c>
      <c r="B52" s="7" t="s">
        <v>10</v>
      </c>
      <c r="C52" s="12">
        <v>0.035</v>
      </c>
      <c r="D52" s="6"/>
      <c r="E52" s="6"/>
      <c r="O52" s="2"/>
      <c r="P52" s="3"/>
    </row>
    <row r="53" spans="1:16" ht="12.75">
      <c r="A53" s="1" t="s">
        <v>52</v>
      </c>
      <c r="B53" s="7" t="s">
        <v>10</v>
      </c>
      <c r="C53" s="12">
        <f>(1+C3)*(1+C54)-1</f>
        <v>0.11499999999999999</v>
      </c>
      <c r="D53" s="6"/>
      <c r="E53" s="6"/>
      <c r="O53" s="2"/>
      <c r="P53" s="3"/>
    </row>
    <row r="54" spans="1:16" ht="12.75">
      <c r="A54" s="1" t="s">
        <v>53</v>
      </c>
      <c r="B54" s="7" t="s">
        <v>10</v>
      </c>
      <c r="C54" s="13">
        <f>(1+C51+C52)/(1+7%)-1</f>
        <v>0.04205607476635498</v>
      </c>
      <c r="O54" s="2"/>
      <c r="P54" s="3"/>
    </row>
    <row r="55" spans="1:16" ht="12.75">
      <c r="A55" s="1" t="s">
        <v>54</v>
      </c>
      <c r="B55" s="7" t="s">
        <v>44</v>
      </c>
      <c r="C55" s="5">
        <v>4</v>
      </c>
      <c r="O55" s="2"/>
      <c r="P55" s="3"/>
    </row>
    <row r="56" spans="1:16" ht="12.75">
      <c r="A56" s="1" t="s">
        <v>55</v>
      </c>
      <c r="B56" s="7" t="s">
        <v>44</v>
      </c>
      <c r="C56" s="5">
        <v>10</v>
      </c>
      <c r="O56" s="2"/>
      <c r="P56" s="3"/>
    </row>
    <row r="57" spans="1:16" ht="14.25">
      <c r="A57" s="1" t="s">
        <v>56</v>
      </c>
      <c r="B57" s="1" t="s">
        <v>164</v>
      </c>
      <c r="C57" s="5">
        <f>40</f>
        <v>40</v>
      </c>
      <c r="O57" s="2"/>
      <c r="P57" s="3"/>
    </row>
    <row r="58" spans="1:30" ht="12.75">
      <c r="A58" s="1" t="s">
        <v>57</v>
      </c>
      <c r="B58" s="7" t="s">
        <v>10</v>
      </c>
      <c r="C58" s="14"/>
      <c r="D58" s="14">
        <v>0.06</v>
      </c>
      <c r="E58" s="14">
        <f aca="true" t="shared" si="1" ref="E58:J58">$D$58</f>
        <v>0.06</v>
      </c>
      <c r="F58" s="14">
        <f t="shared" si="1"/>
        <v>0.06</v>
      </c>
      <c r="G58" s="14">
        <f t="shared" si="1"/>
        <v>0.06</v>
      </c>
      <c r="H58" s="14">
        <f t="shared" si="1"/>
        <v>0.06</v>
      </c>
      <c r="I58" s="14">
        <f t="shared" si="1"/>
        <v>0.06</v>
      </c>
      <c r="J58" s="14">
        <f t="shared" si="1"/>
        <v>0.06</v>
      </c>
      <c r="K58" s="6">
        <v>0.05</v>
      </c>
      <c r="L58" s="6">
        <f>$K$58</f>
        <v>0.05</v>
      </c>
      <c r="M58" s="6">
        <f>$K$58</f>
        <v>0.05</v>
      </c>
      <c r="N58" s="6">
        <f>$K$58</f>
        <v>0.05</v>
      </c>
      <c r="O58" s="6">
        <f>$K$58</f>
        <v>0.05</v>
      </c>
      <c r="P58" s="6">
        <v>0.04</v>
      </c>
      <c r="Q58" s="6">
        <f>$P$58</f>
        <v>0.04</v>
      </c>
      <c r="R58" s="6">
        <f>$P$58</f>
        <v>0.04</v>
      </c>
      <c r="S58" s="6">
        <f>$P$58</f>
        <v>0.04</v>
      </c>
      <c r="T58" s="6">
        <f>$P$58</f>
        <v>0.04</v>
      </c>
      <c r="U58" s="6">
        <v>0.03</v>
      </c>
      <c r="V58" s="6">
        <f aca="true" t="shared" si="2" ref="V58:AD58">$U$58</f>
        <v>0.03</v>
      </c>
      <c r="W58" s="6">
        <f t="shared" si="2"/>
        <v>0.03</v>
      </c>
      <c r="X58" s="6">
        <f t="shared" si="2"/>
        <v>0.03</v>
      </c>
      <c r="Y58" s="6">
        <f t="shared" si="2"/>
        <v>0.03</v>
      </c>
      <c r="Z58" s="6">
        <f t="shared" si="2"/>
        <v>0.03</v>
      </c>
      <c r="AA58" s="6">
        <f t="shared" si="2"/>
        <v>0.03</v>
      </c>
      <c r="AB58" s="6">
        <f t="shared" si="2"/>
        <v>0.03</v>
      </c>
      <c r="AC58" s="6">
        <f t="shared" si="2"/>
        <v>0.03</v>
      </c>
      <c r="AD58" s="6">
        <f t="shared" si="2"/>
        <v>0.03</v>
      </c>
    </row>
    <row r="59" spans="1:30" ht="12.75">
      <c r="A59" s="1" t="s">
        <v>134</v>
      </c>
      <c r="B59" s="7" t="s">
        <v>10</v>
      </c>
      <c r="C59" s="7"/>
      <c r="F59" s="6">
        <v>0.5</v>
      </c>
      <c r="G59" s="6">
        <v>0.4</v>
      </c>
      <c r="H59" s="6">
        <v>0.3</v>
      </c>
      <c r="I59" s="6">
        <v>0.2</v>
      </c>
      <c r="J59" s="6">
        <f>$I$59</f>
        <v>0.2</v>
      </c>
      <c r="K59" s="6">
        <f aca="true" t="shared" si="3" ref="K59:AD59">$I$59</f>
        <v>0.2</v>
      </c>
      <c r="L59" s="6">
        <f t="shared" si="3"/>
        <v>0.2</v>
      </c>
      <c r="M59" s="6">
        <f t="shared" si="3"/>
        <v>0.2</v>
      </c>
      <c r="N59" s="6">
        <f t="shared" si="3"/>
        <v>0.2</v>
      </c>
      <c r="O59" s="6">
        <f t="shared" si="3"/>
        <v>0.2</v>
      </c>
      <c r="P59" s="6">
        <f t="shared" si="3"/>
        <v>0.2</v>
      </c>
      <c r="Q59" s="6">
        <f t="shared" si="3"/>
        <v>0.2</v>
      </c>
      <c r="R59" s="6">
        <f t="shared" si="3"/>
        <v>0.2</v>
      </c>
      <c r="S59" s="6">
        <f t="shared" si="3"/>
        <v>0.2</v>
      </c>
      <c r="T59" s="6">
        <f t="shared" si="3"/>
        <v>0.2</v>
      </c>
      <c r="U59" s="6">
        <f t="shared" si="3"/>
        <v>0.2</v>
      </c>
      <c r="V59" s="6">
        <f t="shared" si="3"/>
        <v>0.2</v>
      </c>
      <c r="W59" s="6">
        <f t="shared" si="3"/>
        <v>0.2</v>
      </c>
      <c r="X59" s="6">
        <f t="shared" si="3"/>
        <v>0.2</v>
      </c>
      <c r="Y59" s="6">
        <f t="shared" si="3"/>
        <v>0.2</v>
      </c>
      <c r="Z59" s="6">
        <f t="shared" si="3"/>
        <v>0.2</v>
      </c>
      <c r="AA59" s="6">
        <f t="shared" si="3"/>
        <v>0.2</v>
      </c>
      <c r="AB59" s="6">
        <f t="shared" si="3"/>
        <v>0.2</v>
      </c>
      <c r="AC59" s="6">
        <f t="shared" si="3"/>
        <v>0.2</v>
      </c>
      <c r="AD59" s="6">
        <f t="shared" si="3"/>
        <v>0.2</v>
      </c>
    </row>
    <row r="60" spans="1:16" ht="12.75">
      <c r="A60" s="1" t="s">
        <v>59</v>
      </c>
      <c r="B60" s="7" t="s">
        <v>1</v>
      </c>
      <c r="C60" s="4">
        <v>0.2</v>
      </c>
      <c r="O60" s="2"/>
      <c r="P60" s="3"/>
    </row>
    <row r="61" spans="1:16" ht="12.75">
      <c r="A61" s="1" t="s">
        <v>58</v>
      </c>
      <c r="B61" s="7" t="s">
        <v>1</v>
      </c>
      <c r="C61" s="4">
        <v>0.06</v>
      </c>
      <c r="O61" s="2"/>
      <c r="P61" s="3"/>
    </row>
    <row r="62" spans="1:16" ht="12.75">
      <c r="A62" s="1" t="s">
        <v>60</v>
      </c>
      <c r="B62" s="7" t="s">
        <v>1</v>
      </c>
      <c r="C62" s="6">
        <v>0.3</v>
      </c>
      <c r="O62" s="2"/>
      <c r="P62" s="3"/>
    </row>
    <row r="63" spans="1:16" ht="12.75">
      <c r="A63" s="1" t="s">
        <v>61</v>
      </c>
      <c r="B63" s="7" t="s">
        <v>1</v>
      </c>
      <c r="C63" s="6">
        <v>0.08</v>
      </c>
      <c r="O63" s="2"/>
      <c r="P63" s="3"/>
    </row>
    <row r="64" spans="1:3" ht="12.75">
      <c r="A64" s="1" t="s">
        <v>2</v>
      </c>
      <c r="B64" s="7" t="s">
        <v>1</v>
      </c>
      <c r="C64" s="4">
        <v>0.1</v>
      </c>
    </row>
    <row r="65" spans="1:3" ht="12.75">
      <c r="A65" s="1" t="s">
        <v>62</v>
      </c>
      <c r="B65" s="7" t="s">
        <v>1</v>
      </c>
      <c r="C65" s="4">
        <v>0.25</v>
      </c>
    </row>
    <row r="66" spans="1:3" s="82" customFormat="1" ht="12.75">
      <c r="A66" s="82" t="s">
        <v>135</v>
      </c>
      <c r="B66" s="83" t="s">
        <v>44</v>
      </c>
      <c r="C66" s="84">
        <v>5</v>
      </c>
    </row>
    <row r="67" spans="1:30" s="82" customFormat="1" ht="13.5" thickBot="1">
      <c r="A67" s="15" t="s">
        <v>138</v>
      </c>
      <c r="B67" s="16" t="s">
        <v>10</v>
      </c>
      <c r="C67" s="17">
        <f>(1+20%)/(1+7%)*(1+C3)-1</f>
        <v>0.19999999999999996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</row>
    <row r="68" spans="2:3" ht="13.5" thickTop="1">
      <c r="B68" s="7"/>
      <c r="C68" s="5"/>
    </row>
    <row r="69" spans="1:3" ht="12.75">
      <c r="A69" s="3" t="s">
        <v>63</v>
      </c>
      <c r="B69" s="7"/>
      <c r="C69" s="4"/>
    </row>
    <row r="70" spans="1:30" ht="12.75">
      <c r="A70" s="1" t="s">
        <v>64</v>
      </c>
      <c r="B70" s="7"/>
      <c r="C70" s="5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</row>
    <row r="71" spans="1:30" ht="12.75">
      <c r="A71" s="1" t="s">
        <v>65</v>
      </c>
      <c r="B71" s="7"/>
      <c r="C71" s="5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</row>
    <row r="72" spans="1:30" ht="12.75">
      <c r="A72" s="1" t="s">
        <v>66</v>
      </c>
      <c r="B72" s="7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2:4" ht="12.75">
      <c r="B73" s="7"/>
      <c r="C73" s="4"/>
      <c r="D73" s="5"/>
    </row>
    <row r="74" spans="1:3" ht="12.75">
      <c r="A74" s="3" t="s">
        <v>67</v>
      </c>
      <c r="B74" s="3"/>
      <c r="C74" s="5"/>
    </row>
    <row r="75" spans="1:3" ht="12.75">
      <c r="A75" s="1" t="s">
        <v>68</v>
      </c>
      <c r="C75" s="5"/>
    </row>
    <row r="76" spans="1:3" ht="12.75">
      <c r="A76" s="1" t="s">
        <v>69</v>
      </c>
      <c r="C76" s="5"/>
    </row>
    <row r="77" spans="1:3" ht="12.75">
      <c r="A77" s="1" t="s">
        <v>70</v>
      </c>
      <c r="C77" s="5"/>
    </row>
    <row r="78" spans="1:3" ht="12.75">
      <c r="A78" s="1" t="s">
        <v>71</v>
      </c>
      <c r="C78" s="5"/>
    </row>
    <row r="79" spans="1:3" ht="12.75">
      <c r="A79" s="1" t="s">
        <v>72</v>
      </c>
      <c r="C79" s="5"/>
    </row>
    <row r="80" spans="1:3" ht="12.75">
      <c r="A80" s="1" t="s">
        <v>37</v>
      </c>
      <c r="C80" s="5"/>
    </row>
    <row r="81" spans="1:3" ht="12.75">
      <c r="A81" s="1" t="s">
        <v>73</v>
      </c>
      <c r="C81" s="5"/>
    </row>
    <row r="82" spans="1:3" ht="12.75">
      <c r="A82" s="1" t="s">
        <v>42</v>
      </c>
      <c r="C82" s="5"/>
    </row>
    <row r="83" spans="1:3" ht="12.75">
      <c r="A83" s="9" t="s">
        <v>27</v>
      </c>
      <c r="C83" s="5"/>
    </row>
    <row r="84" spans="1:3" ht="12.75">
      <c r="A84" s="9" t="s">
        <v>28</v>
      </c>
      <c r="C84" s="5"/>
    </row>
    <row r="85" spans="1:3" ht="12.75">
      <c r="A85" s="9" t="s">
        <v>29</v>
      </c>
      <c r="C85" s="5"/>
    </row>
    <row r="86" spans="1:3" ht="12.75">
      <c r="A86" s="9" t="s">
        <v>30</v>
      </c>
      <c r="C86" s="5"/>
    </row>
    <row r="87" spans="1:3" ht="12.75">
      <c r="A87" s="9" t="s">
        <v>31</v>
      </c>
      <c r="C87" s="5"/>
    </row>
    <row r="88" spans="1:3" ht="12.75">
      <c r="A88" s="9" t="s">
        <v>32</v>
      </c>
      <c r="C88" s="5"/>
    </row>
    <row r="89" spans="1:3" ht="12.75">
      <c r="A89" s="9" t="s">
        <v>33</v>
      </c>
      <c r="C89" s="5"/>
    </row>
    <row r="90" spans="1:3" ht="12.75">
      <c r="A90" s="1" t="s">
        <v>74</v>
      </c>
      <c r="C90" s="5"/>
    </row>
    <row r="91" spans="1:3" ht="12.75">
      <c r="A91" s="1" t="s">
        <v>75</v>
      </c>
      <c r="C91" s="5"/>
    </row>
    <row r="92" spans="1:3" ht="12.75">
      <c r="A92" s="1" t="s">
        <v>76</v>
      </c>
      <c r="C92" s="5"/>
    </row>
    <row r="93" spans="1:3" ht="12.75">
      <c r="A93" s="3" t="s">
        <v>77</v>
      </c>
      <c r="C93" s="5"/>
    </row>
    <row r="94" spans="1:5" ht="12.75">
      <c r="A94" s="1" t="s">
        <v>78</v>
      </c>
      <c r="C94" s="5"/>
      <c r="D94" s="5"/>
      <c r="E94" s="5"/>
    </row>
    <row r="95" spans="1:5" ht="12.75">
      <c r="A95" s="1" t="s">
        <v>79</v>
      </c>
      <c r="C95" s="5"/>
      <c r="D95" s="5"/>
      <c r="E95" s="5"/>
    </row>
    <row r="96" spans="1:5" ht="12.75">
      <c r="A96" s="1" t="s">
        <v>41</v>
      </c>
      <c r="C96" s="5"/>
      <c r="D96" s="5"/>
      <c r="E96" s="5"/>
    </row>
    <row r="97" spans="1:5" ht="12.75">
      <c r="A97" s="1" t="s">
        <v>80</v>
      </c>
      <c r="C97" s="5"/>
      <c r="D97" s="5"/>
      <c r="E97" s="5"/>
    </row>
    <row r="98" spans="1:5" ht="12.75">
      <c r="A98" s="9" t="s">
        <v>27</v>
      </c>
      <c r="C98" s="5"/>
      <c r="D98" s="5"/>
      <c r="E98" s="5"/>
    </row>
    <row r="99" spans="1:5" ht="12.75">
      <c r="A99" s="9" t="s">
        <v>28</v>
      </c>
      <c r="C99" s="5"/>
      <c r="D99" s="5"/>
      <c r="E99" s="5"/>
    </row>
    <row r="100" spans="1:5" ht="12.75">
      <c r="A100" s="9" t="s">
        <v>29</v>
      </c>
      <c r="C100" s="5"/>
      <c r="D100" s="5"/>
      <c r="E100" s="5"/>
    </row>
    <row r="101" spans="1:5" ht="12.75">
      <c r="A101" s="9" t="s">
        <v>30</v>
      </c>
      <c r="C101" s="5"/>
      <c r="D101" s="5"/>
      <c r="E101" s="5"/>
    </row>
    <row r="102" spans="1:5" ht="12.75">
      <c r="A102" s="9" t="s">
        <v>31</v>
      </c>
      <c r="C102" s="5"/>
      <c r="D102" s="5"/>
      <c r="E102" s="5"/>
    </row>
    <row r="103" spans="1:5" ht="12.75">
      <c r="A103" s="9" t="s">
        <v>32</v>
      </c>
      <c r="C103" s="5"/>
      <c r="D103" s="5"/>
      <c r="E103" s="5"/>
    </row>
    <row r="104" spans="1:5" ht="12.75">
      <c r="A104" s="9" t="s">
        <v>33</v>
      </c>
      <c r="C104" s="5"/>
      <c r="D104" s="5"/>
      <c r="E104" s="5"/>
    </row>
    <row r="105" spans="1:5" ht="12.75">
      <c r="A105" s="1" t="s">
        <v>77</v>
      </c>
      <c r="C105" s="5"/>
      <c r="D105" s="5"/>
      <c r="E105" s="5"/>
    </row>
    <row r="106" spans="3:5" ht="12.75">
      <c r="C106" s="5"/>
      <c r="D106" s="5"/>
      <c r="E106" s="5"/>
    </row>
    <row r="107" spans="1:3" ht="12.75">
      <c r="A107" s="3" t="s">
        <v>81</v>
      </c>
      <c r="C107" s="5"/>
    </row>
    <row r="108" spans="1:5" ht="12.75">
      <c r="A108" s="1" t="s">
        <v>78</v>
      </c>
      <c r="C108" s="5"/>
      <c r="D108" s="5"/>
      <c r="E108" s="5"/>
    </row>
    <row r="109" spans="1:5" ht="12.75">
      <c r="A109" s="1" t="s">
        <v>79</v>
      </c>
      <c r="C109" s="5"/>
      <c r="D109" s="5"/>
      <c r="E109" s="5"/>
    </row>
    <row r="110" spans="1:5" ht="12.75">
      <c r="A110" s="1" t="s">
        <v>41</v>
      </c>
      <c r="C110" s="5"/>
      <c r="D110" s="5"/>
      <c r="E110" s="5"/>
    </row>
    <row r="111" spans="1:5" ht="12.75">
      <c r="A111" s="1" t="s">
        <v>80</v>
      </c>
      <c r="C111" s="5"/>
      <c r="D111" s="5"/>
      <c r="E111" s="5"/>
    </row>
    <row r="112" spans="1:5" ht="12.75">
      <c r="A112" s="9" t="s">
        <v>27</v>
      </c>
      <c r="C112" s="5"/>
      <c r="D112" s="5"/>
      <c r="E112" s="5"/>
    </row>
    <row r="113" spans="1:5" ht="12.75">
      <c r="A113" s="9" t="s">
        <v>28</v>
      </c>
      <c r="C113" s="5"/>
      <c r="D113" s="5"/>
      <c r="E113" s="5"/>
    </row>
    <row r="114" spans="1:5" ht="12.75">
      <c r="A114" s="9" t="s">
        <v>29</v>
      </c>
      <c r="C114" s="5"/>
      <c r="D114" s="5"/>
      <c r="E114" s="5"/>
    </row>
    <row r="115" spans="1:5" ht="12.75">
      <c r="A115" s="9" t="s">
        <v>30</v>
      </c>
      <c r="C115" s="5"/>
      <c r="D115" s="5"/>
      <c r="E115" s="5"/>
    </row>
    <row r="116" spans="1:5" ht="12.75">
      <c r="A116" s="9" t="s">
        <v>31</v>
      </c>
      <c r="C116" s="5"/>
      <c r="D116" s="5"/>
      <c r="E116" s="5"/>
    </row>
    <row r="117" spans="1:5" ht="12.75">
      <c r="A117" s="9" t="s">
        <v>32</v>
      </c>
      <c r="C117" s="5"/>
      <c r="D117" s="5"/>
      <c r="E117" s="5"/>
    </row>
    <row r="118" spans="1:5" ht="12.75">
      <c r="A118" s="9" t="s">
        <v>33</v>
      </c>
      <c r="C118" s="5"/>
      <c r="D118" s="5"/>
      <c r="E118" s="5"/>
    </row>
    <row r="119" spans="1:5" ht="12.75">
      <c r="A119" s="1" t="s">
        <v>77</v>
      </c>
      <c r="C119" s="5"/>
      <c r="D119" s="5"/>
      <c r="E119" s="5"/>
    </row>
    <row r="120" spans="1:5" ht="12.75">
      <c r="A120" s="3" t="s">
        <v>82</v>
      </c>
      <c r="B120" s="3"/>
      <c r="C120" s="19"/>
      <c r="D120" s="5"/>
      <c r="E120" s="5"/>
    </row>
    <row r="121" spans="1:5" ht="12.75">
      <c r="A121" s="3"/>
      <c r="B121" s="3"/>
      <c r="C121" s="19"/>
      <c r="D121" s="5"/>
      <c r="E121" s="5"/>
    </row>
    <row r="122" spans="1:5" ht="12.75">
      <c r="A122" s="3" t="s">
        <v>83</v>
      </c>
      <c r="C122" s="5"/>
      <c r="D122" s="5"/>
      <c r="E122" s="5"/>
    </row>
    <row r="123" spans="1:7" ht="12.75">
      <c r="A123" s="1" t="s">
        <v>84</v>
      </c>
      <c r="C123" s="5"/>
      <c r="D123" s="5"/>
      <c r="E123" s="5"/>
      <c r="G123" s="5"/>
    </row>
    <row r="124" spans="1:7" ht="12.75">
      <c r="A124" s="1" t="s">
        <v>85</v>
      </c>
      <c r="C124" s="5"/>
      <c r="D124" s="5"/>
      <c r="E124" s="5"/>
      <c r="G124" s="5"/>
    </row>
    <row r="125" spans="3:5" ht="12.75">
      <c r="C125" s="5"/>
      <c r="D125" s="5"/>
      <c r="E125" s="5"/>
    </row>
    <row r="126" spans="1:5" ht="12.75">
      <c r="A126" s="3" t="s">
        <v>87</v>
      </c>
      <c r="C126" s="5"/>
      <c r="D126" s="5"/>
      <c r="E126" s="5"/>
    </row>
    <row r="127" spans="1:30" ht="12.75">
      <c r="A127" s="1" t="s">
        <v>88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:5" ht="12.75">
      <c r="A128" s="1" t="s">
        <v>89</v>
      </c>
      <c r="C128" s="5"/>
      <c r="D128" s="5"/>
      <c r="E128" s="5"/>
    </row>
    <row r="129" spans="1:5" ht="12.75">
      <c r="A129" s="1" t="s">
        <v>90</v>
      </c>
      <c r="C129" s="5"/>
      <c r="D129" s="5"/>
      <c r="E129" s="5"/>
    </row>
    <row r="130" spans="1:30" ht="12.75">
      <c r="A130" s="1" t="s">
        <v>91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0" ht="12.75">
      <c r="A131" s="1" t="s">
        <v>92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1:30" ht="12.75">
      <c r="A132" s="1" t="s">
        <v>93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ht="12.75">
      <c r="A133" s="1" t="s">
        <v>94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3:5" ht="12.75">
      <c r="C134" s="5"/>
      <c r="D134" s="5"/>
      <c r="E134" s="5"/>
    </row>
    <row r="135" spans="1:30" ht="12.75">
      <c r="A135" s="1" t="s">
        <v>95</v>
      </c>
      <c r="B135" s="20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3:5" ht="12.75">
      <c r="C136" s="5"/>
      <c r="D136" s="5"/>
      <c r="E136" s="5"/>
    </row>
    <row r="137" spans="1:5" ht="12.75">
      <c r="A137" s="3" t="s">
        <v>96</v>
      </c>
      <c r="C137" s="5"/>
      <c r="D137" s="5"/>
      <c r="E137" s="5"/>
    </row>
    <row r="138" spans="3:5" ht="12.75">
      <c r="C138" s="5"/>
      <c r="D138" s="5"/>
      <c r="E138" s="5"/>
    </row>
    <row r="139" spans="1:5" ht="12.75">
      <c r="A139" s="3" t="s">
        <v>97</v>
      </c>
      <c r="C139" s="5"/>
      <c r="D139" s="5"/>
      <c r="E139" s="5"/>
    </row>
    <row r="140" spans="1:31" ht="12.75">
      <c r="A140" s="1" t="s">
        <v>98</v>
      </c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:26" ht="12.75">
      <c r="A141" s="1" t="s">
        <v>99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30" ht="12.75">
      <c r="A142" s="1" t="s">
        <v>100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ht="12.75">
      <c r="A143" s="1" t="s">
        <v>101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ht="12.75">
      <c r="A144" s="1" t="s">
        <v>102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ht="12.75">
      <c r="A145" s="1" t="s">
        <v>103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7" ht="12.75">
      <c r="A147" s="3" t="s">
        <v>104</v>
      </c>
    </row>
    <row r="148" spans="1:30" ht="12.75">
      <c r="A148" s="1" t="s">
        <v>105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2.75">
      <c r="A149" s="1" t="s">
        <v>106</v>
      </c>
      <c r="C149" s="8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1:30" ht="12.75">
      <c r="A150" s="1" t="s">
        <v>106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</row>
    <row r="151" spans="1:30" ht="12.75">
      <c r="A151" s="1" t="s">
        <v>107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ht="12.75">
      <c r="A152" s="1" t="s">
        <v>137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ht="12.75">
      <c r="A153" s="1" t="s">
        <v>136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6:30" ht="12.75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6" ht="12.75">
      <c r="A155" s="3" t="s">
        <v>108</v>
      </c>
      <c r="F155" s="5"/>
    </row>
    <row r="156" spans="1:30" ht="12.75">
      <c r="A156" s="1" t="s">
        <v>109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ht="12.75">
      <c r="A157" s="1" t="s">
        <v>110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ht="12.75">
      <c r="A158" s="1" t="s">
        <v>111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ht="12.75">
      <c r="F159" s="5"/>
    </row>
    <row r="160" spans="1:30" ht="12.75">
      <c r="A160" s="1" t="s">
        <v>112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6:30" ht="12.75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ht="12.75">
      <c r="A162" s="1" t="s">
        <v>113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ht="12.75">
      <c r="A163" s="1" t="s">
        <v>114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ht="12.75">
      <c r="A164" s="1" t="s">
        <v>115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ht="12.75">
      <c r="F165" s="5"/>
    </row>
    <row r="166" spans="1:30" ht="12.75">
      <c r="A166" s="1" t="s">
        <v>3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:30" ht="12.75">
      <c r="A167" s="1" t="s">
        <v>116</v>
      </c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 ht="12.75">
      <c r="A168" s="1" t="s">
        <v>117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1:30" ht="12.75">
      <c r="A169" s="1" t="s">
        <v>118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ht="12.75">
      <c r="A170" s="1" t="s">
        <v>119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1:30" ht="12.75">
      <c r="A171" s="1" t="s">
        <v>132</v>
      </c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1:30" ht="12.75">
      <c r="A172" s="1" t="s">
        <v>120</v>
      </c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ht="12.75">
      <c r="F173" s="5"/>
    </row>
    <row r="174" ht="12.75">
      <c r="F174" s="5"/>
    </row>
    <row r="175" spans="1:6" ht="12.75">
      <c r="A175" s="3" t="s">
        <v>121</v>
      </c>
      <c r="F175" s="5"/>
    </row>
    <row r="176" spans="1:6" ht="12.75">
      <c r="A176" s="1" t="s">
        <v>122</v>
      </c>
      <c r="F176" s="5"/>
    </row>
    <row r="177" spans="1:30" ht="12.75">
      <c r="A177" s="22" t="s">
        <v>136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1:30" ht="12.75">
      <c r="A178" s="1" t="s">
        <v>123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1:30" ht="12.75">
      <c r="A179" s="22" t="s">
        <v>124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1:30" ht="12.75">
      <c r="A180" s="22" t="s">
        <v>113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1:30" ht="12.75">
      <c r="A181" s="22" t="s">
        <v>114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1:30" ht="12.75">
      <c r="A182" s="22" t="s">
        <v>115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1:30" ht="12.75">
      <c r="A183" s="22" t="s">
        <v>127</v>
      </c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1:30" ht="12.75">
      <c r="A184" s="1" t="s">
        <v>125</v>
      </c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1:6" ht="12.75">
      <c r="A185" s="1" t="s">
        <v>126</v>
      </c>
      <c r="C185" s="5"/>
      <c r="D185" s="5"/>
      <c r="E185" s="5"/>
      <c r="F185" s="5"/>
    </row>
    <row r="186" spans="1:30" s="3" customFormat="1" ht="12.75">
      <c r="A186" s="3" t="s">
        <v>128</v>
      </c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</row>
    <row r="187" spans="6:25" ht="12.75">
      <c r="F187" s="5"/>
      <c r="Y187" s="5"/>
    </row>
    <row r="188" spans="1:30" ht="12.75">
      <c r="A188" s="3" t="s">
        <v>129</v>
      </c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</row>
    <row r="190" spans="1:30" ht="12.75">
      <c r="A190" s="3" t="s">
        <v>130</v>
      </c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</row>
    <row r="192" ht="12.75">
      <c r="A192" s="3" t="s">
        <v>0</v>
      </c>
    </row>
    <row r="193" spans="1:2" ht="12.75">
      <c r="A193" s="24" t="s">
        <v>140</v>
      </c>
      <c r="B193" s="25"/>
    </row>
    <row r="194" spans="1:2" ht="12.75">
      <c r="A194" s="24" t="s">
        <v>131</v>
      </c>
      <c r="B194" s="26"/>
    </row>
    <row r="195" spans="3:30" ht="12.75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1:2" ht="12.75">
      <c r="A196" s="29" t="s">
        <v>142</v>
      </c>
      <c r="B196" s="54"/>
    </row>
    <row r="202" spans="1:30" ht="12.75">
      <c r="A202" s="29" t="s">
        <v>143</v>
      </c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</row>
    <row r="203" spans="1:30" ht="12.75">
      <c r="A203" s="29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</row>
    <row r="204" spans="1:30" ht="12.75">
      <c r="A204" s="29" t="s">
        <v>5</v>
      </c>
      <c r="B204" s="27"/>
      <c r="C204" s="85" t="s">
        <v>144</v>
      </c>
      <c r="D204" s="85"/>
      <c r="E204" s="85"/>
      <c r="F204" s="85"/>
      <c r="G204" s="85"/>
      <c r="H204" s="85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</row>
    <row r="205" spans="1:30" ht="13.5" thickBot="1">
      <c r="A205" s="27"/>
      <c r="B205" s="27"/>
      <c r="C205" s="34">
        <v>0.03</v>
      </c>
      <c r="D205" s="34">
        <v>0.05</v>
      </c>
      <c r="E205" s="34">
        <v>0.07</v>
      </c>
      <c r="F205" s="34">
        <v>0.09</v>
      </c>
      <c r="G205" s="34">
        <v>0.11</v>
      </c>
      <c r="H205" s="65">
        <v>0.12</v>
      </c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</row>
    <row r="206" spans="1:30" ht="12.75">
      <c r="A206" s="27" t="s">
        <v>145</v>
      </c>
      <c r="B206" s="33">
        <f>NPV((1+C67)/(1+7%)*(1+C3)-1,D188:AD188)+C188</f>
        <v>0</v>
      </c>
      <c r="C206" s="66"/>
      <c r="D206" s="67"/>
      <c r="E206" s="67"/>
      <c r="F206" s="67"/>
      <c r="G206" s="67"/>
      <c r="H206" s="68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</row>
    <row r="207" spans="1:30" ht="12.75">
      <c r="A207" s="27" t="s">
        <v>146</v>
      </c>
      <c r="B207" s="69">
        <f>$B$194</f>
        <v>0</v>
      </c>
      <c r="C207" s="70"/>
      <c r="D207" s="71"/>
      <c r="E207" s="71"/>
      <c r="F207" s="71"/>
      <c r="G207" s="71"/>
      <c r="H207" s="72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</row>
    <row r="208" spans="1:30" ht="13.5" thickBot="1">
      <c r="A208" s="27" t="s">
        <v>147</v>
      </c>
      <c r="B208" s="43"/>
      <c r="C208" s="73"/>
      <c r="D208" s="74"/>
      <c r="E208" s="74"/>
      <c r="F208" s="74"/>
      <c r="G208" s="74"/>
      <c r="H208" s="75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</row>
    <row r="209" spans="1:30" ht="12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</row>
    <row r="210" spans="1:30" ht="12.75">
      <c r="A210" s="29" t="s">
        <v>78</v>
      </c>
      <c r="B210" s="27"/>
      <c r="C210" s="85" t="s">
        <v>148</v>
      </c>
      <c r="D210" s="85"/>
      <c r="E210" s="85"/>
      <c r="F210" s="85"/>
      <c r="G210" s="85"/>
      <c r="H210" s="85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</row>
    <row r="211" spans="1:30" ht="13.5" thickBot="1">
      <c r="A211" s="27"/>
      <c r="B211" s="27"/>
      <c r="C211" s="27">
        <v>10</v>
      </c>
      <c r="D211" s="27">
        <v>12</v>
      </c>
      <c r="E211" s="27">
        <v>14</v>
      </c>
      <c r="F211" s="27">
        <v>16</v>
      </c>
      <c r="G211" s="27">
        <v>18</v>
      </c>
      <c r="H211" s="76">
        <v>0.2</v>
      </c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</row>
    <row r="212" spans="1:30" ht="12.75">
      <c r="A212" s="27" t="s">
        <v>145</v>
      </c>
      <c r="B212" s="33">
        <f>$B$196</f>
        <v>0</v>
      </c>
      <c r="C212" s="66"/>
      <c r="D212" s="67"/>
      <c r="E212" s="67"/>
      <c r="F212" s="67"/>
      <c r="G212" s="67"/>
      <c r="H212" s="68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</row>
    <row r="213" spans="1:30" ht="13.5" thickBot="1">
      <c r="A213" s="27" t="s">
        <v>146</v>
      </c>
      <c r="B213" s="69">
        <f>$B$194</f>
        <v>0</v>
      </c>
      <c r="C213" s="73"/>
      <c r="D213" s="74"/>
      <c r="E213" s="74"/>
      <c r="F213" s="74"/>
      <c r="G213" s="74"/>
      <c r="H213" s="75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</row>
    <row r="214" spans="1:30" ht="12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</row>
    <row r="215" spans="1:30" ht="12.75">
      <c r="A215" s="29" t="s">
        <v>149</v>
      </c>
      <c r="B215" s="27"/>
      <c r="C215" s="85" t="s">
        <v>150</v>
      </c>
      <c r="D215" s="85"/>
      <c r="E215" s="85"/>
      <c r="F215" s="85"/>
      <c r="G215" s="85"/>
      <c r="H215" s="85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</row>
    <row r="216" spans="1:30" ht="13.5" thickBot="1">
      <c r="A216" s="27"/>
      <c r="B216" s="27"/>
      <c r="C216" s="34">
        <v>0.02</v>
      </c>
      <c r="D216" s="69">
        <v>0.035</v>
      </c>
      <c r="E216" s="34">
        <v>0.04</v>
      </c>
      <c r="F216" s="34">
        <v>0.05</v>
      </c>
      <c r="G216" s="34">
        <v>0.06</v>
      </c>
      <c r="H216" s="77">
        <v>0.07</v>
      </c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</row>
    <row r="217" spans="1:30" ht="12.75">
      <c r="A217" s="27" t="s">
        <v>145</v>
      </c>
      <c r="B217" s="33">
        <f>$B$196</f>
        <v>0</v>
      </c>
      <c r="C217" s="66"/>
      <c r="D217" s="67"/>
      <c r="E217" s="67"/>
      <c r="F217" s="67"/>
      <c r="G217" s="67"/>
      <c r="H217" s="68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</row>
    <row r="218" spans="1:30" ht="13.5" thickBot="1">
      <c r="A218" s="27" t="s">
        <v>146</v>
      </c>
      <c r="B218" s="69">
        <f>$B$194</f>
        <v>0</v>
      </c>
      <c r="C218" s="73"/>
      <c r="D218" s="74"/>
      <c r="E218" s="74"/>
      <c r="F218" s="74"/>
      <c r="G218" s="74"/>
      <c r="H218" s="75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</row>
    <row r="219" spans="1:30" ht="12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</row>
    <row r="220" spans="1:30" ht="12.75">
      <c r="A220" s="29" t="s">
        <v>151</v>
      </c>
      <c r="B220" s="27"/>
      <c r="C220" s="85" t="s">
        <v>152</v>
      </c>
      <c r="D220" s="85"/>
      <c r="E220" s="85"/>
      <c r="F220" s="85"/>
      <c r="G220" s="85"/>
      <c r="H220" s="85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</row>
    <row r="221" spans="1:30" ht="13.5" thickBot="1">
      <c r="A221" s="27"/>
      <c r="B221" s="27"/>
      <c r="C221" s="27">
        <v>60</v>
      </c>
      <c r="D221" s="27">
        <v>50</v>
      </c>
      <c r="E221" s="27">
        <v>40</v>
      </c>
      <c r="F221" s="27">
        <v>30</v>
      </c>
      <c r="G221" s="78">
        <v>25</v>
      </c>
      <c r="H221" s="79">
        <v>20</v>
      </c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</row>
    <row r="222" spans="1:30" ht="12.75">
      <c r="A222" s="27" t="s">
        <v>145</v>
      </c>
      <c r="B222" s="33">
        <f>$B$196</f>
        <v>0</v>
      </c>
      <c r="C222" s="66"/>
      <c r="D222" s="67"/>
      <c r="E222" s="67"/>
      <c r="F222" s="67"/>
      <c r="G222" s="67"/>
      <c r="H222" s="68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</row>
    <row r="223" spans="1:30" ht="13.5" thickBot="1">
      <c r="A223" s="27" t="s">
        <v>146</v>
      </c>
      <c r="B223" s="69">
        <f>$B$194</f>
        <v>0</v>
      </c>
      <c r="C223" s="73"/>
      <c r="D223" s="74"/>
      <c r="E223" s="74"/>
      <c r="F223" s="74"/>
      <c r="G223" s="74"/>
      <c r="H223" s="75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</row>
    <row r="224" spans="1:30" ht="12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</row>
    <row r="225" spans="1:30" ht="12.75">
      <c r="A225" s="29" t="s">
        <v>153</v>
      </c>
      <c r="B225" s="27"/>
      <c r="C225" s="85" t="s">
        <v>154</v>
      </c>
      <c r="D225" s="85"/>
      <c r="E225" s="85"/>
      <c r="F225" s="85"/>
      <c r="G225" s="85"/>
      <c r="H225" s="85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</row>
    <row r="226" spans="1:30" ht="13.5" thickBot="1">
      <c r="A226" s="27"/>
      <c r="B226" s="27"/>
      <c r="C226" s="34">
        <v>0.25</v>
      </c>
      <c r="D226" s="34">
        <v>0.3</v>
      </c>
      <c r="E226" s="34">
        <v>0.35</v>
      </c>
      <c r="F226" s="34">
        <v>0.4</v>
      </c>
      <c r="G226" s="32">
        <v>0.45</v>
      </c>
      <c r="H226" s="77">
        <v>0.5</v>
      </c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</row>
    <row r="227" spans="1:30" ht="12.75">
      <c r="A227" s="27" t="s">
        <v>145</v>
      </c>
      <c r="B227" s="33">
        <f>$B$196</f>
        <v>0</v>
      </c>
      <c r="C227" s="66"/>
      <c r="D227" s="67"/>
      <c r="E227" s="67"/>
      <c r="F227" s="67"/>
      <c r="G227" s="67"/>
      <c r="H227" s="68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</row>
    <row r="228" spans="1:30" ht="13.5" thickBot="1">
      <c r="A228" s="27" t="s">
        <v>146</v>
      </c>
      <c r="B228" s="69">
        <f>$B$194</f>
        <v>0</v>
      </c>
      <c r="C228" s="73"/>
      <c r="D228" s="74"/>
      <c r="E228" s="74"/>
      <c r="F228" s="74"/>
      <c r="G228" s="74"/>
      <c r="H228" s="75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</row>
    <row r="229" spans="1:30" ht="12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</row>
    <row r="230" spans="1:30" ht="12.75">
      <c r="A230" s="29" t="s">
        <v>155</v>
      </c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</row>
    <row r="231" spans="1:30" ht="12.75">
      <c r="A231" s="27" t="s">
        <v>156</v>
      </c>
      <c r="B231" s="27"/>
      <c r="C231" s="27"/>
      <c r="D231" s="32">
        <v>0.06</v>
      </c>
      <c r="E231" s="32">
        <v>0.06</v>
      </c>
      <c r="F231" s="32">
        <v>0.06</v>
      </c>
      <c r="G231" s="32">
        <v>0.06</v>
      </c>
      <c r="H231" s="32">
        <v>0.06</v>
      </c>
      <c r="I231" s="32">
        <v>0.06</v>
      </c>
      <c r="J231" s="32">
        <v>0.06</v>
      </c>
      <c r="K231" s="32">
        <v>0.05</v>
      </c>
      <c r="L231" s="32">
        <v>0.05</v>
      </c>
      <c r="M231" s="32">
        <v>0.05</v>
      </c>
      <c r="N231" s="32">
        <v>0.05</v>
      </c>
      <c r="O231" s="32">
        <v>0.05</v>
      </c>
      <c r="P231" s="32">
        <v>0.04</v>
      </c>
      <c r="Q231" s="32">
        <v>0.04</v>
      </c>
      <c r="R231" s="32">
        <v>0.04</v>
      </c>
      <c r="S231" s="32">
        <v>0.04</v>
      </c>
      <c r="T231" s="32">
        <v>0.04</v>
      </c>
      <c r="U231" s="32">
        <v>0.03</v>
      </c>
      <c r="V231" s="32">
        <v>0.03</v>
      </c>
      <c r="W231" s="32">
        <v>0.03</v>
      </c>
      <c r="X231" s="32">
        <v>0.03</v>
      </c>
      <c r="Y231" s="32">
        <v>0.03</v>
      </c>
      <c r="Z231" s="32">
        <v>0.03</v>
      </c>
      <c r="AA231" s="32">
        <v>0.03</v>
      </c>
      <c r="AB231" s="32">
        <v>0.03</v>
      </c>
      <c r="AC231" s="32">
        <v>0.03</v>
      </c>
      <c r="AD231" s="32">
        <v>0.03</v>
      </c>
    </row>
    <row r="232" spans="1:30" ht="12.75">
      <c r="A232" s="27" t="s">
        <v>157</v>
      </c>
      <c r="B232" s="41">
        <v>0.02</v>
      </c>
      <c r="C232" s="27"/>
      <c r="D232" s="32">
        <f>D$231+$B232</f>
        <v>0.08</v>
      </c>
      <c r="E232" s="32">
        <f aca="true" t="shared" si="4" ref="E232:AD233">E$231+$B232</f>
        <v>0.08</v>
      </c>
      <c r="F232" s="32">
        <f t="shared" si="4"/>
        <v>0.08</v>
      </c>
      <c r="G232" s="32">
        <f t="shared" si="4"/>
        <v>0.08</v>
      </c>
      <c r="H232" s="32">
        <f t="shared" si="4"/>
        <v>0.08</v>
      </c>
      <c r="I232" s="32">
        <f t="shared" si="4"/>
        <v>0.08</v>
      </c>
      <c r="J232" s="32">
        <f t="shared" si="4"/>
        <v>0.08</v>
      </c>
      <c r="K232" s="32">
        <f t="shared" si="4"/>
        <v>0.07</v>
      </c>
      <c r="L232" s="32">
        <f t="shared" si="4"/>
        <v>0.07</v>
      </c>
      <c r="M232" s="32">
        <f t="shared" si="4"/>
        <v>0.07</v>
      </c>
      <c r="N232" s="32">
        <f t="shared" si="4"/>
        <v>0.07</v>
      </c>
      <c r="O232" s="32">
        <f t="shared" si="4"/>
        <v>0.07</v>
      </c>
      <c r="P232" s="32">
        <f t="shared" si="4"/>
        <v>0.06</v>
      </c>
      <c r="Q232" s="32">
        <f t="shared" si="4"/>
        <v>0.06</v>
      </c>
      <c r="R232" s="32">
        <f t="shared" si="4"/>
        <v>0.06</v>
      </c>
      <c r="S232" s="32">
        <f t="shared" si="4"/>
        <v>0.06</v>
      </c>
      <c r="T232" s="32">
        <f t="shared" si="4"/>
        <v>0.06</v>
      </c>
      <c r="U232" s="32">
        <f t="shared" si="4"/>
        <v>0.05</v>
      </c>
      <c r="V232" s="32">
        <f t="shared" si="4"/>
        <v>0.05</v>
      </c>
      <c r="W232" s="32">
        <f t="shared" si="4"/>
        <v>0.05</v>
      </c>
      <c r="X232" s="32">
        <f t="shared" si="4"/>
        <v>0.05</v>
      </c>
      <c r="Y232" s="32">
        <f t="shared" si="4"/>
        <v>0.05</v>
      </c>
      <c r="Z232" s="32">
        <f t="shared" si="4"/>
        <v>0.05</v>
      </c>
      <c r="AA232" s="32">
        <f t="shared" si="4"/>
        <v>0.05</v>
      </c>
      <c r="AB232" s="32">
        <f t="shared" si="4"/>
        <v>0.05</v>
      </c>
      <c r="AC232" s="32">
        <f t="shared" si="4"/>
        <v>0.05</v>
      </c>
      <c r="AD232" s="32">
        <f t="shared" si="4"/>
        <v>0.05</v>
      </c>
    </row>
    <row r="233" spans="1:30" ht="12.75">
      <c r="A233" s="27" t="s">
        <v>158</v>
      </c>
      <c r="B233" s="41">
        <v>-0.02</v>
      </c>
      <c r="C233" s="27"/>
      <c r="D233" s="32">
        <f>D$231+$B233</f>
        <v>0.039999999999999994</v>
      </c>
      <c r="E233" s="32">
        <f t="shared" si="4"/>
        <v>0.039999999999999994</v>
      </c>
      <c r="F233" s="32">
        <f t="shared" si="4"/>
        <v>0.039999999999999994</v>
      </c>
      <c r="G233" s="32">
        <f t="shared" si="4"/>
        <v>0.039999999999999994</v>
      </c>
      <c r="H233" s="32">
        <f t="shared" si="4"/>
        <v>0.039999999999999994</v>
      </c>
      <c r="I233" s="32">
        <f t="shared" si="4"/>
        <v>0.039999999999999994</v>
      </c>
      <c r="J233" s="32">
        <f t="shared" si="4"/>
        <v>0.039999999999999994</v>
      </c>
      <c r="K233" s="32">
        <f t="shared" si="4"/>
        <v>0.030000000000000002</v>
      </c>
      <c r="L233" s="32">
        <f t="shared" si="4"/>
        <v>0.030000000000000002</v>
      </c>
      <c r="M233" s="32">
        <f t="shared" si="4"/>
        <v>0.030000000000000002</v>
      </c>
      <c r="N233" s="32">
        <f t="shared" si="4"/>
        <v>0.030000000000000002</v>
      </c>
      <c r="O233" s="32">
        <f t="shared" si="4"/>
        <v>0.030000000000000002</v>
      </c>
      <c r="P233" s="32">
        <f t="shared" si="4"/>
        <v>0.02</v>
      </c>
      <c r="Q233" s="32">
        <f t="shared" si="4"/>
        <v>0.02</v>
      </c>
      <c r="R233" s="32">
        <f t="shared" si="4"/>
        <v>0.02</v>
      </c>
      <c r="S233" s="32">
        <f t="shared" si="4"/>
        <v>0.02</v>
      </c>
      <c r="T233" s="32">
        <f t="shared" si="4"/>
        <v>0.02</v>
      </c>
      <c r="U233" s="32">
        <f t="shared" si="4"/>
        <v>0.009999999999999998</v>
      </c>
      <c r="V233" s="32">
        <f t="shared" si="4"/>
        <v>0.009999999999999998</v>
      </c>
      <c r="W233" s="32">
        <f t="shared" si="4"/>
        <v>0.009999999999999998</v>
      </c>
      <c r="X233" s="32">
        <f t="shared" si="4"/>
        <v>0.009999999999999998</v>
      </c>
      <c r="Y233" s="32">
        <f t="shared" si="4"/>
        <v>0.009999999999999998</v>
      </c>
      <c r="Z233" s="32">
        <f t="shared" si="4"/>
        <v>0.009999999999999998</v>
      </c>
      <c r="AA233" s="32">
        <f t="shared" si="4"/>
        <v>0.009999999999999998</v>
      </c>
      <c r="AB233" s="32">
        <f t="shared" si="4"/>
        <v>0.009999999999999998</v>
      </c>
      <c r="AC233" s="32">
        <f t="shared" si="4"/>
        <v>0.009999999999999998</v>
      </c>
      <c r="AD233" s="32">
        <f t="shared" si="4"/>
        <v>0.009999999999999998</v>
      </c>
    </row>
    <row r="234" spans="1:30" ht="12.75">
      <c r="A234" s="80" t="s">
        <v>159</v>
      </c>
      <c r="B234" s="27">
        <v>1</v>
      </c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</row>
    <row r="235" spans="1:30" ht="13.5" thickBot="1">
      <c r="A235" s="27"/>
      <c r="B235" s="27"/>
      <c r="C235" s="81">
        <v>1</v>
      </c>
      <c r="D235" s="81">
        <v>2</v>
      </c>
      <c r="E235" s="81">
        <v>3</v>
      </c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</row>
    <row r="236" spans="1:30" ht="12.75">
      <c r="A236" s="27" t="s">
        <v>145</v>
      </c>
      <c r="B236" s="33">
        <f>$B$196</f>
        <v>0</v>
      </c>
      <c r="C236" s="66"/>
      <c r="D236" s="67"/>
      <c r="E236" s="68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</row>
    <row r="237" spans="1:30" ht="13.5" thickBot="1">
      <c r="A237" s="27" t="s">
        <v>146</v>
      </c>
      <c r="B237" s="69">
        <f>$B$194</f>
        <v>0</v>
      </c>
      <c r="C237" s="73"/>
      <c r="D237" s="74"/>
      <c r="E237" s="75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</row>
    <row r="238" spans="1:30" ht="12.7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</row>
    <row r="239" spans="1:30" ht="12.75">
      <c r="A239" s="29" t="s">
        <v>160</v>
      </c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</row>
    <row r="240" spans="1:30" ht="12.75">
      <c r="A240" s="27" t="s">
        <v>156</v>
      </c>
      <c r="B240" s="27"/>
      <c r="C240" s="27"/>
      <c r="D240" s="32"/>
      <c r="E240" s="32"/>
      <c r="F240" s="32">
        <v>0.5</v>
      </c>
      <c r="G240" s="32">
        <v>0.4</v>
      </c>
      <c r="H240" s="32">
        <v>0.3</v>
      </c>
      <c r="I240" s="32">
        <v>0.2</v>
      </c>
      <c r="J240" s="32">
        <v>0.2</v>
      </c>
      <c r="K240" s="32">
        <v>0.2</v>
      </c>
      <c r="L240" s="32">
        <v>0.2</v>
      </c>
      <c r="M240" s="32">
        <v>0.2</v>
      </c>
      <c r="N240" s="32">
        <v>0.2</v>
      </c>
      <c r="O240" s="32">
        <v>0.2</v>
      </c>
      <c r="P240" s="32">
        <v>0.2</v>
      </c>
      <c r="Q240" s="32">
        <v>0.2</v>
      </c>
      <c r="R240" s="32">
        <v>0.2</v>
      </c>
      <c r="S240" s="32">
        <v>0.2</v>
      </c>
      <c r="T240" s="32">
        <v>0.2</v>
      </c>
      <c r="U240" s="32">
        <v>0.2</v>
      </c>
      <c r="V240" s="32">
        <v>0.2</v>
      </c>
      <c r="W240" s="32">
        <v>0.2</v>
      </c>
      <c r="X240" s="32">
        <v>0.2</v>
      </c>
      <c r="Y240" s="32">
        <v>0.2</v>
      </c>
      <c r="Z240" s="32">
        <v>0.2</v>
      </c>
      <c r="AA240" s="32">
        <v>0.2</v>
      </c>
      <c r="AB240" s="32">
        <v>0.2</v>
      </c>
      <c r="AC240" s="32">
        <v>0.2</v>
      </c>
      <c r="AD240" s="32">
        <v>0.2</v>
      </c>
    </row>
    <row r="241" spans="1:30" ht="12.75">
      <c r="A241" s="27" t="s">
        <v>157</v>
      </c>
      <c r="B241" s="41">
        <v>-0.1</v>
      </c>
      <c r="C241" s="27"/>
      <c r="D241" s="32"/>
      <c r="E241" s="32"/>
      <c r="F241" s="32">
        <f aca="true" t="shared" si="5" ref="F241:H242">F$240+$B241</f>
        <v>0.4</v>
      </c>
      <c r="G241" s="32">
        <f t="shared" si="5"/>
        <v>0.30000000000000004</v>
      </c>
      <c r="H241" s="32">
        <f t="shared" si="5"/>
        <v>0.19999999999999998</v>
      </c>
      <c r="I241" s="32">
        <v>0.2</v>
      </c>
      <c r="J241" s="32">
        <v>0.2</v>
      </c>
      <c r="K241" s="32">
        <v>0.2</v>
      </c>
      <c r="L241" s="32">
        <v>0.2</v>
      </c>
      <c r="M241" s="32">
        <v>0.2</v>
      </c>
      <c r="N241" s="32">
        <v>0.2</v>
      </c>
      <c r="O241" s="32">
        <v>0.2</v>
      </c>
      <c r="P241" s="32">
        <v>0.2</v>
      </c>
      <c r="Q241" s="32">
        <v>0.2</v>
      </c>
      <c r="R241" s="32">
        <v>0.2</v>
      </c>
      <c r="S241" s="32">
        <v>0.2</v>
      </c>
      <c r="T241" s="32">
        <v>0.2</v>
      </c>
      <c r="U241" s="32">
        <v>0.2</v>
      </c>
      <c r="V241" s="32">
        <v>0.2</v>
      </c>
      <c r="W241" s="32">
        <v>0.2</v>
      </c>
      <c r="X241" s="32">
        <v>0.2</v>
      </c>
      <c r="Y241" s="32">
        <v>0.2</v>
      </c>
      <c r="Z241" s="32">
        <v>0.2</v>
      </c>
      <c r="AA241" s="32">
        <v>0.2</v>
      </c>
      <c r="AB241" s="32">
        <v>0.2</v>
      </c>
      <c r="AC241" s="32">
        <v>0.2</v>
      </c>
      <c r="AD241" s="32">
        <v>0.2</v>
      </c>
    </row>
    <row r="242" spans="1:30" ht="12.75">
      <c r="A242" s="27" t="s">
        <v>158</v>
      </c>
      <c r="B242" s="41">
        <v>0.15</v>
      </c>
      <c r="C242" s="27"/>
      <c r="D242" s="32"/>
      <c r="E242" s="32"/>
      <c r="F242" s="32">
        <f t="shared" si="5"/>
        <v>0.65</v>
      </c>
      <c r="G242" s="32">
        <f t="shared" si="5"/>
        <v>0.55</v>
      </c>
      <c r="H242" s="32">
        <f t="shared" si="5"/>
        <v>0.44999999999999996</v>
      </c>
      <c r="I242" s="32">
        <f>I$240+$B242</f>
        <v>0.35</v>
      </c>
      <c r="J242" s="32">
        <v>0.3</v>
      </c>
      <c r="K242" s="32">
        <v>0.25</v>
      </c>
      <c r="L242" s="32">
        <v>0.2</v>
      </c>
      <c r="M242" s="32">
        <v>0.2</v>
      </c>
      <c r="N242" s="32">
        <v>0.2</v>
      </c>
      <c r="O242" s="32">
        <v>0.2</v>
      </c>
      <c r="P242" s="32">
        <v>0.2</v>
      </c>
      <c r="Q242" s="32">
        <v>0.2</v>
      </c>
      <c r="R242" s="32">
        <v>0.2</v>
      </c>
      <c r="S242" s="32">
        <v>0.2</v>
      </c>
      <c r="T242" s="32">
        <v>0.2</v>
      </c>
      <c r="U242" s="32">
        <v>0.2</v>
      </c>
      <c r="V242" s="32">
        <v>0.2</v>
      </c>
      <c r="W242" s="32">
        <v>0.2</v>
      </c>
      <c r="X242" s="32">
        <v>0.2</v>
      </c>
      <c r="Y242" s="32">
        <v>0.2</v>
      </c>
      <c r="Z242" s="32">
        <v>0.2</v>
      </c>
      <c r="AA242" s="32">
        <v>0.2</v>
      </c>
      <c r="AB242" s="32">
        <v>0.2</v>
      </c>
      <c r="AC242" s="32">
        <v>0.2</v>
      </c>
      <c r="AD242" s="32">
        <v>0.2</v>
      </c>
    </row>
    <row r="243" spans="1:30" ht="12.75">
      <c r="A243" s="80" t="s">
        <v>159</v>
      </c>
      <c r="B243" s="27">
        <v>1</v>
      </c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</row>
    <row r="244" spans="1:30" ht="13.5" thickBot="1">
      <c r="A244" s="27"/>
      <c r="B244" s="27"/>
      <c r="C244" s="81">
        <v>1</v>
      </c>
      <c r="D244" s="81">
        <v>2</v>
      </c>
      <c r="E244" s="81">
        <v>3</v>
      </c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</row>
    <row r="245" spans="1:30" ht="12.75">
      <c r="A245" s="27" t="s">
        <v>145</v>
      </c>
      <c r="B245" s="33">
        <f>$B$196</f>
        <v>0</v>
      </c>
      <c r="C245" s="66"/>
      <c r="D245" s="67"/>
      <c r="E245" s="68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</row>
    <row r="246" spans="1:30" ht="13.5" thickBot="1">
      <c r="A246" s="27" t="s">
        <v>146</v>
      </c>
      <c r="B246" s="69">
        <f>$B$194</f>
        <v>0</v>
      </c>
      <c r="C246" s="73"/>
      <c r="D246" s="74"/>
      <c r="E246" s="75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</row>
  </sheetData>
  <sheetProtection/>
  <mergeCells count="5">
    <mergeCell ref="C204:H204"/>
    <mergeCell ref="C210:H210"/>
    <mergeCell ref="C215:H215"/>
    <mergeCell ref="C220:H220"/>
    <mergeCell ref="C225:H2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6"/>
  <sheetViews>
    <sheetView tabSelected="1" zoomScalePageLayoutView="0" workbookViewId="0" topLeftCell="A1">
      <pane xSplit="1" ySplit="2" topLeftCell="B16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203" sqref="M203"/>
    </sheetView>
  </sheetViews>
  <sheetFormatPr defaultColWidth="9.140625" defaultRowHeight="12.75"/>
  <cols>
    <col min="1" max="1" width="43.28125" style="1" bestFit="1" customWidth="1"/>
    <col min="2" max="2" width="9.7109375" style="1" customWidth="1"/>
    <col min="3" max="3" width="12.57421875" style="1" bestFit="1" customWidth="1"/>
    <col min="4" max="4" width="12.00390625" style="1" customWidth="1"/>
    <col min="5" max="16384" width="9.140625" style="1" customWidth="1"/>
  </cols>
  <sheetData>
    <row r="1" spans="2:30" ht="12.75">
      <c r="B1" s="1" t="s">
        <v>8</v>
      </c>
      <c r="C1" s="2">
        <v>2009</v>
      </c>
      <c r="D1" s="3">
        <v>2010</v>
      </c>
      <c r="E1" s="2">
        <v>2011</v>
      </c>
      <c r="F1" s="3">
        <v>2012</v>
      </c>
      <c r="G1" s="2">
        <v>2013</v>
      </c>
      <c r="H1" s="3">
        <v>2014</v>
      </c>
      <c r="I1" s="2">
        <v>2015</v>
      </c>
      <c r="J1" s="3">
        <v>2016</v>
      </c>
      <c r="K1" s="2">
        <v>2017</v>
      </c>
      <c r="L1" s="3">
        <v>2018</v>
      </c>
      <c r="M1" s="2">
        <v>2019</v>
      </c>
      <c r="N1" s="3">
        <v>2020</v>
      </c>
      <c r="O1" s="2">
        <v>2021</v>
      </c>
      <c r="P1" s="3">
        <v>2022</v>
      </c>
      <c r="Q1" s="2">
        <v>2023</v>
      </c>
      <c r="R1" s="3">
        <v>2024</v>
      </c>
      <c r="S1" s="2">
        <v>2025</v>
      </c>
      <c r="T1" s="3">
        <v>2026</v>
      </c>
      <c r="U1" s="2">
        <v>2027</v>
      </c>
      <c r="V1" s="3">
        <v>2028</v>
      </c>
      <c r="W1" s="2">
        <v>2029</v>
      </c>
      <c r="X1" s="3">
        <v>2030</v>
      </c>
      <c r="Y1" s="2">
        <v>2031</v>
      </c>
      <c r="Z1" s="3">
        <v>2032</v>
      </c>
      <c r="AA1" s="2">
        <v>2033</v>
      </c>
      <c r="AB1" s="3">
        <v>2034</v>
      </c>
      <c r="AC1" s="2">
        <v>2035</v>
      </c>
      <c r="AD1" s="3">
        <v>2036</v>
      </c>
    </row>
    <row r="2" spans="1:30" ht="12.75">
      <c r="A2" s="3" t="s">
        <v>4</v>
      </c>
      <c r="B2" s="1" t="s">
        <v>9</v>
      </c>
      <c r="C2" s="2">
        <v>0</v>
      </c>
      <c r="D2" s="3">
        <v>1</v>
      </c>
      <c r="E2" s="2">
        <v>2</v>
      </c>
      <c r="F2" s="3">
        <v>3</v>
      </c>
      <c r="G2" s="2">
        <v>4</v>
      </c>
      <c r="H2" s="3">
        <v>5</v>
      </c>
      <c r="I2" s="2">
        <v>6</v>
      </c>
      <c r="J2" s="3">
        <v>7</v>
      </c>
      <c r="K2" s="2">
        <v>8</v>
      </c>
      <c r="L2" s="3">
        <v>9</v>
      </c>
      <c r="M2" s="2">
        <v>10</v>
      </c>
      <c r="N2" s="3">
        <v>11</v>
      </c>
      <c r="O2" s="2">
        <v>12</v>
      </c>
      <c r="P2" s="3">
        <v>13</v>
      </c>
      <c r="Q2" s="2">
        <v>14</v>
      </c>
      <c r="R2" s="3">
        <v>15</v>
      </c>
      <c r="S2" s="2">
        <v>16</v>
      </c>
      <c r="T2" s="3">
        <v>17</v>
      </c>
      <c r="U2" s="2">
        <v>18</v>
      </c>
      <c r="V2" s="3">
        <v>19</v>
      </c>
      <c r="W2" s="2">
        <v>20</v>
      </c>
      <c r="X2" s="3">
        <v>21</v>
      </c>
      <c r="Y2" s="2">
        <v>22</v>
      </c>
      <c r="Z2" s="3">
        <v>23</v>
      </c>
      <c r="AA2" s="2">
        <v>24</v>
      </c>
      <c r="AB2" s="3">
        <v>25</v>
      </c>
      <c r="AC2" s="2">
        <v>26</v>
      </c>
      <c r="AD2" s="3">
        <v>27</v>
      </c>
    </row>
    <row r="3" spans="1:30" ht="12.75">
      <c r="A3" s="1" t="s">
        <v>5</v>
      </c>
      <c r="B3" s="1" t="s">
        <v>10</v>
      </c>
      <c r="C3" s="4">
        <v>0.07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16" ht="12.75">
      <c r="A4" s="1" t="s">
        <v>6</v>
      </c>
      <c r="B4" s="1" t="s">
        <v>10</v>
      </c>
      <c r="C4" s="5">
        <v>18000</v>
      </c>
      <c r="O4" s="2"/>
      <c r="P4" s="3"/>
    </row>
    <row r="5" spans="1:30" ht="12.75">
      <c r="A5" s="1" t="s">
        <v>7</v>
      </c>
      <c r="B5" s="1" t="s">
        <v>10</v>
      </c>
      <c r="C5" s="4">
        <v>0.02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16" ht="12.75">
      <c r="C6" s="5"/>
      <c r="O6" s="2"/>
      <c r="P6" s="3"/>
    </row>
    <row r="7" spans="1:16" ht="14.25">
      <c r="A7" s="1" t="s">
        <v>11</v>
      </c>
      <c r="B7" s="1" t="s">
        <v>161</v>
      </c>
      <c r="C7" s="5">
        <v>32000</v>
      </c>
      <c r="O7" s="2"/>
      <c r="P7" s="3"/>
    </row>
    <row r="8" spans="1:16" ht="14.25">
      <c r="A8" s="1" t="s">
        <v>12</v>
      </c>
      <c r="B8" s="1" t="s">
        <v>162</v>
      </c>
      <c r="C8" s="5">
        <v>125000</v>
      </c>
      <c r="O8" s="2"/>
      <c r="P8" s="3"/>
    </row>
    <row r="9" spans="1:16" ht="14.25">
      <c r="A9" s="1" t="s">
        <v>13</v>
      </c>
      <c r="B9" s="1" t="s">
        <v>161</v>
      </c>
      <c r="C9" s="7">
        <v>64</v>
      </c>
      <c r="O9" s="2"/>
      <c r="P9" s="3"/>
    </row>
    <row r="10" spans="1:16" ht="14.25">
      <c r="A10" s="1" t="s">
        <v>14</v>
      </c>
      <c r="B10" s="1" t="s">
        <v>161</v>
      </c>
      <c r="C10" s="7">
        <v>120</v>
      </c>
      <c r="O10" s="2"/>
      <c r="P10" s="3"/>
    </row>
    <row r="11" spans="1:16" ht="14.25">
      <c r="A11" s="1" t="s">
        <v>15</v>
      </c>
      <c r="B11" s="1" t="s">
        <v>161</v>
      </c>
      <c r="C11" s="7">
        <v>184</v>
      </c>
      <c r="O11" s="2"/>
      <c r="P11" s="3"/>
    </row>
    <row r="12" spans="1:16" ht="12.75">
      <c r="A12" s="1" t="s">
        <v>16</v>
      </c>
      <c r="B12" s="1" t="s">
        <v>34</v>
      </c>
      <c r="C12" s="5">
        <v>60</v>
      </c>
      <c r="O12" s="2"/>
      <c r="P12" s="3"/>
    </row>
    <row r="13" spans="1:16" ht="12.75">
      <c r="A13" s="1" t="s">
        <v>17</v>
      </c>
      <c r="B13" s="1" t="s">
        <v>34</v>
      </c>
      <c r="C13" s="5">
        <v>93</v>
      </c>
      <c r="O13" s="2"/>
      <c r="P13" s="3"/>
    </row>
    <row r="14" spans="1:16" ht="12.75">
      <c r="A14" s="1" t="s">
        <v>18</v>
      </c>
      <c r="B14" s="1" t="s">
        <v>34</v>
      </c>
      <c r="C14" s="5">
        <v>22</v>
      </c>
      <c r="O14" s="2"/>
      <c r="P14" s="3"/>
    </row>
    <row r="15" spans="1:16" ht="12.75">
      <c r="A15" s="1" t="s">
        <v>19</v>
      </c>
      <c r="B15" s="1" t="s">
        <v>10</v>
      </c>
      <c r="C15" s="7">
        <v>1.2</v>
      </c>
      <c r="O15" s="2"/>
      <c r="P15" s="3"/>
    </row>
    <row r="16" spans="1:16" ht="14.25">
      <c r="A16" s="1" t="s">
        <v>20</v>
      </c>
      <c r="B16" s="1" t="s">
        <v>161</v>
      </c>
      <c r="C16" s="7">
        <f>15*22</f>
        <v>330</v>
      </c>
      <c r="D16" s="5"/>
      <c r="O16" s="2"/>
      <c r="P16" s="3"/>
    </row>
    <row r="17" spans="1:16" ht="14.25">
      <c r="A17" s="1" t="s">
        <v>21</v>
      </c>
      <c r="B17" s="1" t="s">
        <v>163</v>
      </c>
      <c r="C17" s="7">
        <v>14.4</v>
      </c>
      <c r="O17" s="2"/>
      <c r="P17" s="3"/>
    </row>
    <row r="18" spans="1:16" ht="12.75">
      <c r="A18" s="1" t="s">
        <v>22</v>
      </c>
      <c r="B18" s="1" t="s">
        <v>35</v>
      </c>
      <c r="C18" s="7">
        <v>180</v>
      </c>
      <c r="O18" s="2"/>
      <c r="P18" s="3"/>
    </row>
    <row r="19" spans="1:16" ht="12.75">
      <c r="A19" s="1" t="s">
        <v>23</v>
      </c>
      <c r="B19" s="1" t="s">
        <v>35</v>
      </c>
      <c r="C19" s="7">
        <v>216</v>
      </c>
      <c r="O19" s="2"/>
      <c r="P19" s="3"/>
    </row>
    <row r="20" spans="1:16" ht="12.75">
      <c r="A20" s="1" t="s">
        <v>24</v>
      </c>
      <c r="B20" s="1" t="s">
        <v>35</v>
      </c>
      <c r="C20" s="7">
        <v>240</v>
      </c>
      <c r="O20" s="2"/>
      <c r="P20" s="3"/>
    </row>
    <row r="21" spans="1:16" ht="14.25">
      <c r="A21" s="1" t="s">
        <v>25</v>
      </c>
      <c r="B21" s="1" t="s">
        <v>163</v>
      </c>
      <c r="C21" s="8">
        <v>0.36</v>
      </c>
      <c r="O21" s="2"/>
      <c r="P21" s="3"/>
    </row>
    <row r="22" spans="1:16" ht="12.75">
      <c r="A22" s="1" t="s">
        <v>26</v>
      </c>
      <c r="B22" s="1" t="s">
        <v>10</v>
      </c>
      <c r="C22" s="5"/>
      <c r="O22" s="2"/>
      <c r="P22" s="3"/>
    </row>
    <row r="23" spans="1:16" ht="12.75">
      <c r="A23" s="9" t="s">
        <v>27</v>
      </c>
      <c r="B23" s="9"/>
      <c r="C23" s="10">
        <v>0.03</v>
      </c>
      <c r="O23" s="2"/>
      <c r="P23" s="3"/>
    </row>
    <row r="24" spans="1:16" ht="12.75">
      <c r="A24" s="9" t="s">
        <v>28</v>
      </c>
      <c r="B24" s="9"/>
      <c r="C24" s="10">
        <v>0.03</v>
      </c>
      <c r="O24" s="2"/>
      <c r="P24" s="3"/>
    </row>
    <row r="25" spans="1:16" ht="12.75">
      <c r="A25" s="9" t="s">
        <v>29</v>
      </c>
      <c r="B25" s="9"/>
      <c r="C25" s="10">
        <v>0.015</v>
      </c>
      <c r="O25" s="2"/>
      <c r="P25" s="3"/>
    </row>
    <row r="26" spans="1:16" ht="12.75">
      <c r="A26" s="9" t="s">
        <v>30</v>
      </c>
      <c r="B26" s="9"/>
      <c r="C26" s="10">
        <v>0.02</v>
      </c>
      <c r="O26" s="2"/>
      <c r="P26" s="3"/>
    </row>
    <row r="27" spans="1:16" ht="12.75">
      <c r="A27" s="9" t="s">
        <v>31</v>
      </c>
      <c r="B27" s="9"/>
      <c r="C27" s="10">
        <v>0.036</v>
      </c>
      <c r="O27" s="2"/>
      <c r="P27" s="3"/>
    </row>
    <row r="28" spans="1:16" ht="12.75">
      <c r="A28" s="9" t="s">
        <v>32</v>
      </c>
      <c r="B28" s="9"/>
      <c r="C28" s="10">
        <v>0.004</v>
      </c>
      <c r="O28" s="2"/>
      <c r="P28" s="3"/>
    </row>
    <row r="29" spans="1:16" ht="12.75">
      <c r="A29" s="9" t="s">
        <v>33</v>
      </c>
      <c r="B29" s="9"/>
      <c r="C29" s="10">
        <v>0.05</v>
      </c>
      <c r="O29" s="2"/>
      <c r="P29" s="3"/>
    </row>
    <row r="30" spans="1:16" ht="12.75">
      <c r="A30" s="11" t="s">
        <v>36</v>
      </c>
      <c r="B30" s="1" t="s">
        <v>10</v>
      </c>
      <c r="C30" s="10">
        <v>0.1</v>
      </c>
      <c r="O30" s="2"/>
      <c r="P30" s="3"/>
    </row>
    <row r="31" spans="1:16" ht="14.25">
      <c r="A31" s="1" t="s">
        <v>37</v>
      </c>
      <c r="B31" s="1" t="s">
        <v>163</v>
      </c>
      <c r="C31" s="7">
        <v>5</v>
      </c>
      <c r="O31" s="2"/>
      <c r="P31" s="3"/>
    </row>
    <row r="32" spans="1:16" ht="12.75">
      <c r="A32" s="1" t="s">
        <v>38</v>
      </c>
      <c r="C32" s="5"/>
      <c r="O32" s="2"/>
      <c r="P32" s="3"/>
    </row>
    <row r="33" spans="1:16" ht="12.75">
      <c r="A33" s="1" t="s">
        <v>39</v>
      </c>
      <c r="C33" s="4">
        <v>0.3</v>
      </c>
      <c r="D33" s="4">
        <v>0.55</v>
      </c>
      <c r="E33" s="4">
        <f>1-C33-D33</f>
        <v>0.1499999999999999</v>
      </c>
      <c r="O33" s="2"/>
      <c r="P33" s="3"/>
    </row>
    <row r="34" spans="1:16" ht="12.75">
      <c r="A34" s="1" t="s">
        <v>40</v>
      </c>
      <c r="C34" s="4">
        <v>0</v>
      </c>
      <c r="D34" s="4">
        <v>0</v>
      </c>
      <c r="E34" s="4">
        <f>1-C34-D34</f>
        <v>1</v>
      </c>
      <c r="O34" s="2"/>
      <c r="P34" s="3"/>
    </row>
    <row r="35" spans="1:16" ht="12.75">
      <c r="A35" s="1" t="s">
        <v>41</v>
      </c>
      <c r="C35" s="4">
        <v>0</v>
      </c>
      <c r="D35" s="4">
        <v>0</v>
      </c>
      <c r="E35" s="4">
        <f>1-C35-D35</f>
        <v>1</v>
      </c>
      <c r="O35" s="2"/>
      <c r="P35" s="3"/>
    </row>
    <row r="36" spans="1:16" ht="12.75">
      <c r="A36" s="1" t="s">
        <v>42</v>
      </c>
      <c r="C36" s="4"/>
      <c r="D36" s="4"/>
      <c r="E36" s="4"/>
      <c r="O36" s="2"/>
      <c r="P36" s="3"/>
    </row>
    <row r="37" spans="1:16" ht="12.75">
      <c r="A37" s="9" t="s">
        <v>27</v>
      </c>
      <c r="C37" s="4">
        <v>1</v>
      </c>
      <c r="D37" s="4">
        <v>0</v>
      </c>
      <c r="E37" s="4">
        <f aca="true" t="shared" si="0" ref="E37:E43">1-C37-D37</f>
        <v>0</v>
      </c>
      <c r="O37" s="2"/>
      <c r="P37" s="3"/>
    </row>
    <row r="38" spans="1:16" ht="12.75">
      <c r="A38" s="9" t="s">
        <v>28</v>
      </c>
      <c r="C38" s="4">
        <v>1</v>
      </c>
      <c r="D38" s="4">
        <v>0</v>
      </c>
      <c r="E38" s="4">
        <f t="shared" si="0"/>
        <v>0</v>
      </c>
      <c r="O38" s="2"/>
      <c r="P38" s="3"/>
    </row>
    <row r="39" spans="1:16" ht="12.75">
      <c r="A39" s="9" t="s">
        <v>29</v>
      </c>
      <c r="C39" s="4">
        <v>1</v>
      </c>
      <c r="D39" s="4">
        <v>0</v>
      </c>
      <c r="E39" s="4">
        <f t="shared" si="0"/>
        <v>0</v>
      </c>
      <c r="O39" s="2"/>
      <c r="P39" s="3"/>
    </row>
    <row r="40" spans="1:16" ht="12.75">
      <c r="A40" s="9" t="s">
        <v>30</v>
      </c>
      <c r="C40" s="4">
        <v>0.5</v>
      </c>
      <c r="D40" s="4">
        <v>0</v>
      </c>
      <c r="E40" s="4">
        <f t="shared" si="0"/>
        <v>0.5</v>
      </c>
      <c r="O40" s="2"/>
      <c r="P40" s="3"/>
    </row>
    <row r="41" spans="1:16" ht="12.75">
      <c r="A41" s="9" t="s">
        <v>31</v>
      </c>
      <c r="C41" s="4">
        <v>0.5</v>
      </c>
      <c r="D41" s="4">
        <v>0.3</v>
      </c>
      <c r="E41" s="4">
        <f t="shared" si="0"/>
        <v>0.2</v>
      </c>
      <c r="O41" s="2"/>
      <c r="P41" s="3"/>
    </row>
    <row r="42" spans="1:16" ht="12.75">
      <c r="A42" s="9" t="s">
        <v>32</v>
      </c>
      <c r="C42" s="4">
        <v>0.35</v>
      </c>
      <c r="D42" s="4">
        <v>0.3</v>
      </c>
      <c r="E42" s="4">
        <f t="shared" si="0"/>
        <v>0.35000000000000003</v>
      </c>
      <c r="O42" s="2"/>
      <c r="P42" s="3"/>
    </row>
    <row r="43" spans="1:16" ht="12.75">
      <c r="A43" s="9" t="s">
        <v>33</v>
      </c>
      <c r="C43" s="4">
        <v>0.3</v>
      </c>
      <c r="D43" s="4">
        <v>0.35</v>
      </c>
      <c r="E43" s="4">
        <f t="shared" si="0"/>
        <v>0.35</v>
      </c>
      <c r="O43" s="2"/>
      <c r="P43" s="3"/>
    </row>
    <row r="44" spans="1:16" ht="12.75">
      <c r="A44" s="11" t="s">
        <v>43</v>
      </c>
      <c r="B44" s="1" t="s">
        <v>44</v>
      </c>
      <c r="C44" s="5">
        <v>3</v>
      </c>
      <c r="D44" s="4"/>
      <c r="E44" s="4"/>
      <c r="O44" s="2"/>
      <c r="P44" s="3"/>
    </row>
    <row r="45" spans="1:16" ht="12.75">
      <c r="A45" s="1" t="s">
        <v>167</v>
      </c>
      <c r="B45" s="7" t="s">
        <v>44</v>
      </c>
      <c r="C45" s="5">
        <v>25</v>
      </c>
      <c r="O45" s="2"/>
      <c r="P45" s="3"/>
    </row>
    <row r="46" spans="1:16" ht="12.75">
      <c r="A46" s="1" t="s">
        <v>99</v>
      </c>
      <c r="B46" s="7" t="s">
        <v>44</v>
      </c>
      <c r="C46" s="5">
        <v>5</v>
      </c>
      <c r="O46" s="2"/>
      <c r="P46" s="3"/>
    </row>
    <row r="47" spans="1:16" ht="12.75">
      <c r="A47" s="1" t="s">
        <v>100</v>
      </c>
      <c r="B47" s="7" t="s">
        <v>44</v>
      </c>
      <c r="C47" s="5">
        <v>25</v>
      </c>
      <c r="O47" s="2"/>
      <c r="P47" s="3"/>
    </row>
    <row r="48" spans="1:16" ht="12.75">
      <c r="A48" s="1" t="s">
        <v>48</v>
      </c>
      <c r="B48" s="7" t="s">
        <v>44</v>
      </c>
      <c r="C48" s="5">
        <v>3</v>
      </c>
      <c r="O48" s="2"/>
      <c r="P48" s="3"/>
    </row>
    <row r="49" spans="1:16" ht="12.75">
      <c r="A49" s="1" t="s">
        <v>49</v>
      </c>
      <c r="B49" s="7" t="s">
        <v>10</v>
      </c>
      <c r="C49" s="6">
        <v>0.8</v>
      </c>
      <c r="D49" s="6">
        <v>0.3</v>
      </c>
      <c r="E49" s="6">
        <v>0</v>
      </c>
      <c r="O49" s="2"/>
      <c r="P49" s="3"/>
    </row>
    <row r="50" spans="1:16" ht="12.75">
      <c r="A50" s="1" t="s">
        <v>50</v>
      </c>
      <c r="B50" s="7" t="s">
        <v>10</v>
      </c>
      <c r="C50" s="6">
        <f>1-C49</f>
        <v>0.19999999999999996</v>
      </c>
      <c r="D50" s="6">
        <f>1-D49</f>
        <v>0.7</v>
      </c>
      <c r="E50" s="6">
        <f>1-E49</f>
        <v>1</v>
      </c>
      <c r="O50" s="2"/>
      <c r="P50" s="3"/>
    </row>
    <row r="51" spans="1:16" ht="12.75">
      <c r="A51" s="1" t="s">
        <v>51</v>
      </c>
      <c r="B51" s="7" t="s">
        <v>10</v>
      </c>
      <c r="C51" s="12">
        <v>0.08</v>
      </c>
      <c r="D51" s="6"/>
      <c r="E51" s="6"/>
      <c r="O51" s="2"/>
      <c r="P51" s="3"/>
    </row>
    <row r="52" spans="1:16" ht="12.75">
      <c r="A52" s="1" t="s">
        <v>133</v>
      </c>
      <c r="B52" s="7" t="s">
        <v>10</v>
      </c>
      <c r="C52" s="12">
        <v>0.035</v>
      </c>
      <c r="D52" s="6"/>
      <c r="E52" s="6"/>
      <c r="O52" s="2"/>
      <c r="P52" s="3"/>
    </row>
    <row r="53" spans="1:16" ht="12.75">
      <c r="A53" s="1" t="s">
        <v>52</v>
      </c>
      <c r="B53" s="7" t="s">
        <v>10</v>
      </c>
      <c r="C53" s="12">
        <f>(1+C3)*(1+C54)-1</f>
        <v>0.11499999999999999</v>
      </c>
      <c r="D53" s="6"/>
      <c r="E53" s="6"/>
      <c r="O53" s="2"/>
      <c r="P53" s="3"/>
    </row>
    <row r="54" spans="1:16" ht="12.75">
      <c r="A54" s="1" t="s">
        <v>53</v>
      </c>
      <c r="B54" s="7" t="s">
        <v>10</v>
      </c>
      <c r="C54" s="13">
        <f>(1+C51+C52)/(1+7%)-1</f>
        <v>0.04205607476635498</v>
      </c>
      <c r="O54" s="2"/>
      <c r="P54" s="3"/>
    </row>
    <row r="55" spans="1:16" ht="12.75">
      <c r="A55" s="1" t="s">
        <v>54</v>
      </c>
      <c r="B55" s="7" t="s">
        <v>44</v>
      </c>
      <c r="C55" s="5">
        <v>4</v>
      </c>
      <c r="O55" s="2"/>
      <c r="P55" s="3"/>
    </row>
    <row r="56" spans="1:16" ht="12.75">
      <c r="A56" s="1" t="s">
        <v>55</v>
      </c>
      <c r="B56" s="7" t="s">
        <v>44</v>
      </c>
      <c r="C56" s="5">
        <v>10</v>
      </c>
      <c r="O56" s="2"/>
      <c r="P56" s="3"/>
    </row>
    <row r="57" spans="1:16" ht="14.25">
      <c r="A57" s="1" t="s">
        <v>56</v>
      </c>
      <c r="B57" s="1" t="s">
        <v>164</v>
      </c>
      <c r="C57" s="5">
        <f>40</f>
        <v>40</v>
      </c>
      <c r="O57" s="2"/>
      <c r="P57" s="3"/>
    </row>
    <row r="58" spans="1:30" ht="12.75">
      <c r="A58" s="1" t="s">
        <v>57</v>
      </c>
      <c r="B58" s="7" t="s">
        <v>10</v>
      </c>
      <c r="C58" s="14"/>
      <c r="D58" s="14">
        <v>0.06</v>
      </c>
      <c r="E58" s="14">
        <f aca="true" t="shared" si="1" ref="E58:J58">$D$58</f>
        <v>0.06</v>
      </c>
      <c r="F58" s="14">
        <f t="shared" si="1"/>
        <v>0.06</v>
      </c>
      <c r="G58" s="14">
        <f t="shared" si="1"/>
        <v>0.06</v>
      </c>
      <c r="H58" s="14">
        <f t="shared" si="1"/>
        <v>0.06</v>
      </c>
      <c r="I58" s="14">
        <f t="shared" si="1"/>
        <v>0.06</v>
      </c>
      <c r="J58" s="14">
        <f t="shared" si="1"/>
        <v>0.06</v>
      </c>
      <c r="K58" s="6">
        <v>0.05</v>
      </c>
      <c r="L58" s="6">
        <f>$K$58</f>
        <v>0.05</v>
      </c>
      <c r="M58" s="6">
        <f>$K$58</f>
        <v>0.05</v>
      </c>
      <c r="N58" s="6">
        <f>$K$58</f>
        <v>0.05</v>
      </c>
      <c r="O58" s="6">
        <f>$K$58</f>
        <v>0.05</v>
      </c>
      <c r="P58" s="6">
        <v>0.04</v>
      </c>
      <c r="Q58" s="6">
        <f>$P$58</f>
        <v>0.04</v>
      </c>
      <c r="R58" s="6">
        <f>$P$58</f>
        <v>0.04</v>
      </c>
      <c r="S58" s="6">
        <f>$P$58</f>
        <v>0.04</v>
      </c>
      <c r="T58" s="6">
        <f>$P$58</f>
        <v>0.04</v>
      </c>
      <c r="U58" s="6">
        <v>0.03</v>
      </c>
      <c r="V58" s="6">
        <f aca="true" t="shared" si="2" ref="V58:AD58">$U$58</f>
        <v>0.03</v>
      </c>
      <c r="W58" s="6">
        <f t="shared" si="2"/>
        <v>0.03</v>
      </c>
      <c r="X58" s="6">
        <f t="shared" si="2"/>
        <v>0.03</v>
      </c>
      <c r="Y58" s="6">
        <f t="shared" si="2"/>
        <v>0.03</v>
      </c>
      <c r="Z58" s="6">
        <f t="shared" si="2"/>
        <v>0.03</v>
      </c>
      <c r="AA58" s="6">
        <f t="shared" si="2"/>
        <v>0.03</v>
      </c>
      <c r="AB58" s="6">
        <f t="shared" si="2"/>
        <v>0.03</v>
      </c>
      <c r="AC58" s="6">
        <f t="shared" si="2"/>
        <v>0.03</v>
      </c>
      <c r="AD58" s="6">
        <f t="shared" si="2"/>
        <v>0.03</v>
      </c>
    </row>
    <row r="59" spans="1:30" ht="12.75">
      <c r="A59" s="1" t="s">
        <v>134</v>
      </c>
      <c r="B59" s="7" t="s">
        <v>10</v>
      </c>
      <c r="C59" s="7"/>
      <c r="F59" s="6">
        <v>0.5</v>
      </c>
      <c r="G59" s="6">
        <v>0.4</v>
      </c>
      <c r="H59" s="6">
        <v>0.3</v>
      </c>
      <c r="I59" s="6">
        <v>0.2</v>
      </c>
      <c r="J59" s="6">
        <f>$I$59</f>
        <v>0.2</v>
      </c>
      <c r="K59" s="6">
        <f aca="true" t="shared" si="3" ref="K59:AD59">$I$59</f>
        <v>0.2</v>
      </c>
      <c r="L59" s="6">
        <f t="shared" si="3"/>
        <v>0.2</v>
      </c>
      <c r="M59" s="6">
        <f t="shared" si="3"/>
        <v>0.2</v>
      </c>
      <c r="N59" s="6">
        <f t="shared" si="3"/>
        <v>0.2</v>
      </c>
      <c r="O59" s="6">
        <f t="shared" si="3"/>
        <v>0.2</v>
      </c>
      <c r="P59" s="6">
        <f t="shared" si="3"/>
        <v>0.2</v>
      </c>
      <c r="Q59" s="6">
        <f t="shared" si="3"/>
        <v>0.2</v>
      </c>
      <c r="R59" s="6">
        <f t="shared" si="3"/>
        <v>0.2</v>
      </c>
      <c r="S59" s="6">
        <f t="shared" si="3"/>
        <v>0.2</v>
      </c>
      <c r="T59" s="6">
        <f t="shared" si="3"/>
        <v>0.2</v>
      </c>
      <c r="U59" s="6">
        <f t="shared" si="3"/>
        <v>0.2</v>
      </c>
      <c r="V59" s="6">
        <f t="shared" si="3"/>
        <v>0.2</v>
      </c>
      <c r="W59" s="6">
        <f t="shared" si="3"/>
        <v>0.2</v>
      </c>
      <c r="X59" s="6">
        <f t="shared" si="3"/>
        <v>0.2</v>
      </c>
      <c r="Y59" s="6">
        <f t="shared" si="3"/>
        <v>0.2</v>
      </c>
      <c r="Z59" s="6">
        <f t="shared" si="3"/>
        <v>0.2</v>
      </c>
      <c r="AA59" s="6">
        <f t="shared" si="3"/>
        <v>0.2</v>
      </c>
      <c r="AB59" s="6">
        <f t="shared" si="3"/>
        <v>0.2</v>
      </c>
      <c r="AC59" s="6">
        <f t="shared" si="3"/>
        <v>0.2</v>
      </c>
      <c r="AD59" s="6">
        <f t="shared" si="3"/>
        <v>0.2</v>
      </c>
    </row>
    <row r="60" spans="1:16" ht="12.75">
      <c r="A60" s="1" t="s">
        <v>59</v>
      </c>
      <c r="B60" s="7" t="s">
        <v>1</v>
      </c>
      <c r="C60" s="4">
        <v>0.2</v>
      </c>
      <c r="O60" s="2"/>
      <c r="P60" s="3"/>
    </row>
    <row r="61" spans="1:16" ht="12.75">
      <c r="A61" s="1" t="s">
        <v>58</v>
      </c>
      <c r="B61" s="7" t="s">
        <v>1</v>
      </c>
      <c r="C61" s="4">
        <v>0.06</v>
      </c>
      <c r="O61" s="2"/>
      <c r="P61" s="3"/>
    </row>
    <row r="62" spans="1:16" ht="12.75">
      <c r="A62" s="1" t="s">
        <v>60</v>
      </c>
      <c r="B62" s="7" t="s">
        <v>1</v>
      </c>
      <c r="C62" s="6">
        <v>0.3</v>
      </c>
      <c r="O62" s="2"/>
      <c r="P62" s="3"/>
    </row>
    <row r="63" spans="1:16" ht="12.75">
      <c r="A63" s="1" t="s">
        <v>61</v>
      </c>
      <c r="B63" s="7" t="s">
        <v>1</v>
      </c>
      <c r="C63" s="6">
        <v>0.08</v>
      </c>
      <c r="O63" s="2"/>
      <c r="P63" s="3"/>
    </row>
    <row r="64" spans="1:3" ht="12.75">
      <c r="A64" s="1" t="s">
        <v>2</v>
      </c>
      <c r="B64" s="7" t="s">
        <v>1</v>
      </c>
      <c r="C64" s="4">
        <v>0.1</v>
      </c>
    </row>
    <row r="65" spans="1:3" ht="12.75">
      <c r="A65" s="1" t="s">
        <v>62</v>
      </c>
      <c r="B65" s="7" t="s">
        <v>1</v>
      </c>
      <c r="C65" s="4">
        <v>0.25</v>
      </c>
    </row>
    <row r="66" spans="1:3" ht="12.75">
      <c r="A66" s="1" t="s">
        <v>135</v>
      </c>
      <c r="B66" s="7" t="s">
        <v>44</v>
      </c>
      <c r="C66" s="5">
        <v>5</v>
      </c>
    </row>
    <row r="67" spans="1:30" ht="13.5" thickBot="1">
      <c r="A67" s="15" t="s">
        <v>138</v>
      </c>
      <c r="B67" s="16" t="s">
        <v>10</v>
      </c>
      <c r="C67" s="17">
        <f>(1+20%)/(1+7%)*(1+C3)-1</f>
        <v>0.19999999999999996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</row>
    <row r="68" spans="2:3" ht="13.5" thickTop="1">
      <c r="B68" s="7"/>
      <c r="C68" s="5"/>
    </row>
    <row r="69" spans="1:3" ht="12.75">
      <c r="A69" s="3" t="s">
        <v>63</v>
      </c>
      <c r="B69" s="7"/>
      <c r="C69" s="4"/>
    </row>
    <row r="70" spans="1:30" ht="12.75">
      <c r="A70" s="1" t="s">
        <v>64</v>
      </c>
      <c r="B70" s="7"/>
      <c r="C70" s="5">
        <v>1</v>
      </c>
      <c r="D70" s="18">
        <f>C70*(1+$C$3)</f>
        <v>1.07</v>
      </c>
      <c r="E70" s="18">
        <f aca="true" t="shared" si="4" ref="E70:AD70">D70*(1+$C$3)</f>
        <v>1.1449</v>
      </c>
      <c r="F70" s="18">
        <f t="shared" si="4"/>
        <v>1.225043</v>
      </c>
      <c r="G70" s="18">
        <f t="shared" si="4"/>
        <v>1.3107960100000002</v>
      </c>
      <c r="H70" s="18">
        <f t="shared" si="4"/>
        <v>1.4025517307000004</v>
      </c>
      <c r="I70" s="18">
        <f t="shared" si="4"/>
        <v>1.5007303518490005</v>
      </c>
      <c r="J70" s="18">
        <f t="shared" si="4"/>
        <v>1.6057814764784306</v>
      </c>
      <c r="K70" s="18">
        <f t="shared" si="4"/>
        <v>1.718186179831921</v>
      </c>
      <c r="L70" s="18">
        <f t="shared" si="4"/>
        <v>1.8384592124201555</v>
      </c>
      <c r="M70" s="18">
        <f t="shared" si="4"/>
        <v>1.9671513572895665</v>
      </c>
      <c r="N70" s="18">
        <f t="shared" si="4"/>
        <v>2.1048519522998363</v>
      </c>
      <c r="O70" s="18">
        <f t="shared" si="4"/>
        <v>2.252191588960825</v>
      </c>
      <c r="P70" s="18">
        <f t="shared" si="4"/>
        <v>2.4098450001880827</v>
      </c>
      <c r="Q70" s="18">
        <f t="shared" si="4"/>
        <v>2.5785341502012487</v>
      </c>
      <c r="R70" s="18">
        <f t="shared" si="4"/>
        <v>2.7590315407153363</v>
      </c>
      <c r="S70" s="18">
        <f t="shared" si="4"/>
        <v>2.95216374856541</v>
      </c>
      <c r="T70" s="18">
        <f t="shared" si="4"/>
        <v>3.158815210964989</v>
      </c>
      <c r="U70" s="18">
        <f t="shared" si="4"/>
        <v>3.3799322757325387</v>
      </c>
      <c r="V70" s="18">
        <f t="shared" si="4"/>
        <v>3.616527535033817</v>
      </c>
      <c r="W70" s="18">
        <f t="shared" si="4"/>
        <v>3.8696844624861844</v>
      </c>
      <c r="X70" s="18">
        <f t="shared" si="4"/>
        <v>4.140562374860218</v>
      </c>
      <c r="Y70" s="18">
        <f t="shared" si="4"/>
        <v>4.430401741100433</v>
      </c>
      <c r="Z70" s="18">
        <f t="shared" si="4"/>
        <v>4.740529862977464</v>
      </c>
      <c r="AA70" s="18">
        <f t="shared" si="4"/>
        <v>5.072366953385887</v>
      </c>
      <c r="AB70" s="18">
        <f t="shared" si="4"/>
        <v>5.4274326401229</v>
      </c>
      <c r="AC70" s="18">
        <f t="shared" si="4"/>
        <v>5.807352924931504</v>
      </c>
      <c r="AD70" s="18">
        <f t="shared" si="4"/>
        <v>6.2138676296767095</v>
      </c>
    </row>
    <row r="71" spans="1:30" ht="12.75">
      <c r="A71" s="1" t="s">
        <v>65</v>
      </c>
      <c r="B71" s="7"/>
      <c r="C71" s="5">
        <v>1</v>
      </c>
      <c r="D71" s="18">
        <f>C71*(1+$C$5)</f>
        <v>1.02</v>
      </c>
      <c r="E71" s="18">
        <f aca="true" t="shared" si="5" ref="E71:AD71">D71*(1+$C$5)</f>
        <v>1.0404</v>
      </c>
      <c r="F71" s="18">
        <f t="shared" si="5"/>
        <v>1.061208</v>
      </c>
      <c r="G71" s="18">
        <f t="shared" si="5"/>
        <v>1.08243216</v>
      </c>
      <c r="H71" s="18">
        <f t="shared" si="5"/>
        <v>1.1040808032</v>
      </c>
      <c r="I71" s="18">
        <f t="shared" si="5"/>
        <v>1.126162419264</v>
      </c>
      <c r="J71" s="18">
        <f t="shared" si="5"/>
        <v>1.14868566764928</v>
      </c>
      <c r="K71" s="18">
        <f t="shared" si="5"/>
        <v>1.1716593810022657</v>
      </c>
      <c r="L71" s="18">
        <f t="shared" si="5"/>
        <v>1.195092568622311</v>
      </c>
      <c r="M71" s="18">
        <f t="shared" si="5"/>
        <v>1.2189944199947573</v>
      </c>
      <c r="N71" s="18">
        <f t="shared" si="5"/>
        <v>1.2433743083946525</v>
      </c>
      <c r="O71" s="18">
        <f t="shared" si="5"/>
        <v>1.2682417945625455</v>
      </c>
      <c r="P71" s="18">
        <f t="shared" si="5"/>
        <v>1.2936066304537963</v>
      </c>
      <c r="Q71" s="18">
        <f t="shared" si="5"/>
        <v>1.3194787630628724</v>
      </c>
      <c r="R71" s="18">
        <f t="shared" si="5"/>
        <v>1.3458683383241299</v>
      </c>
      <c r="S71" s="18">
        <f t="shared" si="5"/>
        <v>1.3727857050906125</v>
      </c>
      <c r="T71" s="18">
        <f t="shared" si="5"/>
        <v>1.4002414191924248</v>
      </c>
      <c r="U71" s="18">
        <f t="shared" si="5"/>
        <v>1.4282462475762734</v>
      </c>
      <c r="V71" s="18">
        <f t="shared" si="5"/>
        <v>1.4568111725277988</v>
      </c>
      <c r="W71" s="18">
        <f t="shared" si="5"/>
        <v>1.485947395978355</v>
      </c>
      <c r="X71" s="18">
        <f t="shared" si="5"/>
        <v>1.515666343897922</v>
      </c>
      <c r="Y71" s="18">
        <f t="shared" si="5"/>
        <v>1.5459796707758806</v>
      </c>
      <c r="Z71" s="18">
        <f t="shared" si="5"/>
        <v>1.5768992641913981</v>
      </c>
      <c r="AA71" s="18">
        <f t="shared" si="5"/>
        <v>1.6084372494752261</v>
      </c>
      <c r="AB71" s="18">
        <f t="shared" si="5"/>
        <v>1.6406059944647307</v>
      </c>
      <c r="AC71" s="18">
        <f t="shared" si="5"/>
        <v>1.6734181143540252</v>
      </c>
      <c r="AD71" s="18">
        <f t="shared" si="5"/>
        <v>1.7068864766411058</v>
      </c>
    </row>
    <row r="72" spans="1:30" ht="12.75">
      <c r="A72" s="1" t="s">
        <v>66</v>
      </c>
      <c r="B72" s="7"/>
      <c r="C72" s="5">
        <f>$C$4</f>
        <v>18000</v>
      </c>
      <c r="D72" s="5">
        <f>$C$72*D70/D71</f>
        <v>18882.35294117647</v>
      </c>
      <c r="E72" s="5">
        <f aca="true" t="shared" si="6" ref="E72:AD72">$C$72*E70/E71</f>
        <v>19807.95847750865</v>
      </c>
      <c r="F72" s="5">
        <f t="shared" si="6"/>
        <v>20778.936834249274</v>
      </c>
      <c r="G72" s="5">
        <f t="shared" si="6"/>
        <v>21797.512169261496</v>
      </c>
      <c r="H72" s="5">
        <f t="shared" si="6"/>
        <v>22866.017667754706</v>
      </c>
      <c r="I72" s="5">
        <f t="shared" si="6"/>
        <v>23986.90088676229</v>
      </c>
      <c r="J72" s="5">
        <f t="shared" si="6"/>
        <v>25162.729361603582</v>
      </c>
      <c r="K72" s="5">
        <f t="shared" si="6"/>
        <v>26396.196487172383</v>
      </c>
      <c r="L72" s="5">
        <f t="shared" si="6"/>
        <v>27690.12768752397</v>
      </c>
      <c r="M72" s="5">
        <f t="shared" si="6"/>
        <v>29047.486887892795</v>
      </c>
      <c r="N72" s="5">
        <f t="shared" si="6"/>
        <v>30471.383303965973</v>
      </c>
      <c r="O72" s="5">
        <f t="shared" si="6"/>
        <v>31965.078563964307</v>
      </c>
      <c r="P72" s="5">
        <f t="shared" si="6"/>
        <v>33531.994179844914</v>
      </c>
      <c r="Q72" s="5">
        <f t="shared" si="6"/>
        <v>35175.71938473928</v>
      </c>
      <c r="R72" s="5">
        <f t="shared" si="6"/>
        <v>36900.01935457943</v>
      </c>
      <c r="S72" s="5">
        <f t="shared" si="6"/>
        <v>38708.84383274509</v>
      </c>
      <c r="T72" s="5">
        <f t="shared" si="6"/>
        <v>40606.3361774875</v>
      </c>
      <c r="U72" s="5">
        <f t="shared" si="6"/>
        <v>42596.84285285454</v>
      </c>
      <c r="V72" s="5">
        <f t="shared" si="6"/>
        <v>44684.92338485722</v>
      </c>
      <c r="W72" s="5">
        <f t="shared" si="6"/>
        <v>46875.36080568355</v>
      </c>
      <c r="X72" s="5">
        <f t="shared" si="6"/>
        <v>49173.172609883724</v>
      </c>
      <c r="Y72" s="5">
        <f t="shared" si="6"/>
        <v>51583.62224762313</v>
      </c>
      <c r="Z72" s="5">
        <f t="shared" si="6"/>
        <v>54112.23118133016</v>
      </c>
      <c r="AA72" s="5">
        <f t="shared" si="6"/>
        <v>56764.79153335615</v>
      </c>
      <c r="AB72" s="5">
        <f t="shared" si="6"/>
        <v>59547.37935361871</v>
      </c>
      <c r="AC72" s="5">
        <f t="shared" si="6"/>
        <v>62466.36853761964</v>
      </c>
      <c r="AD72" s="5">
        <f t="shared" si="6"/>
        <v>65528.445426718645</v>
      </c>
    </row>
    <row r="73" spans="2:4" ht="12.75">
      <c r="B73" s="7"/>
      <c r="C73" s="4"/>
      <c r="D73" s="5"/>
    </row>
    <row r="74" spans="1:3" ht="12.75">
      <c r="A74" s="3" t="s">
        <v>67</v>
      </c>
      <c r="B74" s="3"/>
      <c r="C74" s="5"/>
    </row>
    <row r="75" spans="1:3" ht="14.25">
      <c r="A75" s="1" t="s">
        <v>68</v>
      </c>
      <c r="B75" s="1" t="s">
        <v>161</v>
      </c>
      <c r="C75" s="5">
        <f>C9*C12+C10*C13+C11*C14</f>
        <v>19048</v>
      </c>
    </row>
    <row r="76" spans="1:3" ht="14.25">
      <c r="A76" s="1" t="s">
        <v>69</v>
      </c>
      <c r="B76" s="1" t="s">
        <v>161</v>
      </c>
      <c r="C76" s="5">
        <f>C75*C15</f>
        <v>22857.6</v>
      </c>
    </row>
    <row r="77" spans="1:3" ht="12.75">
      <c r="A77" s="1" t="s">
        <v>70</v>
      </c>
      <c r="B77" s="1" t="s">
        <v>35</v>
      </c>
      <c r="C77" s="5">
        <f>C76*C17</f>
        <v>329149.44</v>
      </c>
    </row>
    <row r="78" spans="1:3" ht="12.75">
      <c r="A78" s="1" t="s">
        <v>71</v>
      </c>
      <c r="B78" s="1" t="s">
        <v>35</v>
      </c>
      <c r="C78" s="5">
        <f>C12*C18+C13*C19+C14*C20</f>
        <v>36168</v>
      </c>
    </row>
    <row r="79" spans="1:3" ht="12.75">
      <c r="A79" s="1" t="s">
        <v>72</v>
      </c>
      <c r="B79" s="1" t="s">
        <v>35</v>
      </c>
      <c r="C79" s="5">
        <f>C21*C76</f>
        <v>8228.735999999999</v>
      </c>
    </row>
    <row r="80" spans="1:3" ht="12.75">
      <c r="A80" s="1" t="s">
        <v>37</v>
      </c>
      <c r="B80" s="1" t="s">
        <v>35</v>
      </c>
      <c r="C80" s="5">
        <f>C31*C16</f>
        <v>1650</v>
      </c>
    </row>
    <row r="81" spans="1:3" ht="12.75">
      <c r="A81" s="1" t="s">
        <v>73</v>
      </c>
      <c r="B81" s="1" t="s">
        <v>35</v>
      </c>
      <c r="C81" s="5">
        <f>C77+C78+C79+C80</f>
        <v>375196.176</v>
      </c>
    </row>
    <row r="82" spans="1:3" ht="12.75">
      <c r="A82" s="1" t="s">
        <v>42</v>
      </c>
      <c r="C82" s="5"/>
    </row>
    <row r="83" spans="1:3" ht="12.75">
      <c r="A83" s="9" t="s">
        <v>27</v>
      </c>
      <c r="B83" s="1" t="s">
        <v>35</v>
      </c>
      <c r="C83" s="5">
        <f aca="true" t="shared" si="7" ref="C83:C89">C23*C$81</f>
        <v>11255.885279999999</v>
      </c>
    </row>
    <row r="84" spans="1:3" ht="12.75">
      <c r="A84" s="9" t="s">
        <v>28</v>
      </c>
      <c r="B84" s="1" t="s">
        <v>35</v>
      </c>
      <c r="C84" s="5">
        <f t="shared" si="7"/>
        <v>11255.885279999999</v>
      </c>
    </row>
    <row r="85" spans="1:3" ht="12.75">
      <c r="A85" s="9" t="s">
        <v>29</v>
      </c>
      <c r="B85" s="1" t="s">
        <v>35</v>
      </c>
      <c r="C85" s="5">
        <f t="shared" si="7"/>
        <v>5627.942639999999</v>
      </c>
    </row>
    <row r="86" spans="1:3" ht="12.75">
      <c r="A86" s="9" t="s">
        <v>30</v>
      </c>
      <c r="B86" s="1" t="s">
        <v>35</v>
      </c>
      <c r="C86" s="5">
        <f t="shared" si="7"/>
        <v>7503.923519999999</v>
      </c>
    </row>
    <row r="87" spans="1:3" ht="12.75">
      <c r="A87" s="9" t="s">
        <v>31</v>
      </c>
      <c r="B87" s="1" t="s">
        <v>35</v>
      </c>
      <c r="C87" s="5">
        <f t="shared" si="7"/>
        <v>13507.062335999999</v>
      </c>
    </row>
    <row r="88" spans="1:3" ht="12.75">
      <c r="A88" s="9" t="s">
        <v>32</v>
      </c>
      <c r="B88" s="1" t="s">
        <v>35</v>
      </c>
      <c r="C88" s="5">
        <f t="shared" si="7"/>
        <v>1500.784704</v>
      </c>
    </row>
    <row r="89" spans="1:3" ht="12.75">
      <c r="A89" s="9" t="s">
        <v>33</v>
      </c>
      <c r="B89" s="1" t="s">
        <v>35</v>
      </c>
      <c r="C89" s="5">
        <f t="shared" si="7"/>
        <v>18759.8088</v>
      </c>
    </row>
    <row r="90" spans="1:3" ht="12.75">
      <c r="A90" s="1" t="s">
        <v>74</v>
      </c>
      <c r="B90" s="1" t="s">
        <v>35</v>
      </c>
      <c r="C90" s="5">
        <f>C81+SUM(C83:C89)</f>
        <v>444607.46855999995</v>
      </c>
    </row>
    <row r="91" spans="1:3" ht="12.75">
      <c r="A91" s="1" t="s">
        <v>75</v>
      </c>
      <c r="B91" s="1" t="s">
        <v>35</v>
      </c>
      <c r="C91" s="5">
        <f>C90*C30</f>
        <v>44460.746856</v>
      </c>
    </row>
    <row r="92" spans="1:3" ht="12.75">
      <c r="A92" s="1" t="s">
        <v>76</v>
      </c>
      <c r="C92" s="5">
        <f>C91+C90</f>
        <v>489068.21541599993</v>
      </c>
    </row>
    <row r="93" spans="1:3" ht="12.75">
      <c r="A93" s="3" t="s">
        <v>77</v>
      </c>
      <c r="C93" s="5"/>
    </row>
    <row r="94" spans="1:5" ht="12.75">
      <c r="A94" s="1" t="s">
        <v>78</v>
      </c>
      <c r="B94" s="1" t="s">
        <v>35</v>
      </c>
      <c r="C94" s="5">
        <f>$C77*(1+$C$30)*C33</f>
        <v>108619.3152</v>
      </c>
      <c r="D94" s="5">
        <f>$C77*(1+$C$30)*D33</f>
        <v>199135.41120000003</v>
      </c>
      <c r="E94" s="5">
        <f>$C77*(1+$C$30)*E33</f>
        <v>54309.65759999997</v>
      </c>
    </row>
    <row r="95" spans="1:5" ht="12.75">
      <c r="A95" s="1" t="s">
        <v>79</v>
      </c>
      <c r="B95" s="1" t="s">
        <v>35</v>
      </c>
      <c r="C95" s="5">
        <f>($C78+$C79)*(1+$C$30)*C34</f>
        <v>0</v>
      </c>
      <c r="D95" s="5">
        <f>($C78+$C79)*(1+$C$30)*D34</f>
        <v>0</v>
      </c>
      <c r="E95" s="5">
        <f>($C78+$C79)*(1+$C$30)*E34</f>
        <v>48836.4096</v>
      </c>
    </row>
    <row r="96" spans="1:5" ht="12.75">
      <c r="A96" s="1" t="s">
        <v>41</v>
      </c>
      <c r="B96" s="1" t="s">
        <v>35</v>
      </c>
      <c r="C96" s="5">
        <f>$C80*(1+$C$30)*C35</f>
        <v>0</v>
      </c>
      <c r="D96" s="5">
        <f>$C80*(1+$C$30)*D35</f>
        <v>0</v>
      </c>
      <c r="E96" s="5">
        <f>$C80*(1+$C$30)*E35</f>
        <v>1815.0000000000002</v>
      </c>
    </row>
    <row r="97" spans="1:5" ht="12.75">
      <c r="A97" s="1" t="s">
        <v>80</v>
      </c>
      <c r="C97" s="5"/>
      <c r="D97" s="5"/>
      <c r="E97" s="5"/>
    </row>
    <row r="98" spans="1:5" ht="12.75">
      <c r="A98" s="9" t="s">
        <v>27</v>
      </c>
      <c r="B98" s="1" t="s">
        <v>35</v>
      </c>
      <c r="C98" s="5">
        <f aca="true" t="shared" si="8" ref="C98:E104">$C83*(1+$C$30)*C37</f>
        <v>12381.473807999999</v>
      </c>
      <c r="D98" s="5">
        <f t="shared" si="8"/>
        <v>0</v>
      </c>
      <c r="E98" s="5">
        <f t="shared" si="8"/>
        <v>0</v>
      </c>
    </row>
    <row r="99" spans="1:5" ht="12.75">
      <c r="A99" s="9" t="s">
        <v>28</v>
      </c>
      <c r="B99" s="1" t="s">
        <v>35</v>
      </c>
      <c r="C99" s="5">
        <f t="shared" si="8"/>
        <v>12381.473807999999</v>
      </c>
      <c r="D99" s="5">
        <f t="shared" si="8"/>
        <v>0</v>
      </c>
      <c r="E99" s="5">
        <f t="shared" si="8"/>
        <v>0</v>
      </c>
    </row>
    <row r="100" spans="1:5" ht="12.75">
      <c r="A100" s="9" t="s">
        <v>29</v>
      </c>
      <c r="B100" s="1" t="s">
        <v>35</v>
      </c>
      <c r="C100" s="5">
        <f t="shared" si="8"/>
        <v>6190.736903999999</v>
      </c>
      <c r="D100" s="5">
        <f t="shared" si="8"/>
        <v>0</v>
      </c>
      <c r="E100" s="5">
        <f t="shared" si="8"/>
        <v>0</v>
      </c>
    </row>
    <row r="101" spans="1:5" ht="12.75">
      <c r="A101" s="9" t="s">
        <v>30</v>
      </c>
      <c r="B101" s="1" t="s">
        <v>35</v>
      </c>
      <c r="C101" s="5">
        <f t="shared" si="8"/>
        <v>4127.157936</v>
      </c>
      <c r="D101" s="5">
        <f t="shared" si="8"/>
        <v>0</v>
      </c>
      <c r="E101" s="5">
        <f t="shared" si="8"/>
        <v>4127.157936</v>
      </c>
    </row>
    <row r="102" spans="1:5" ht="12.75">
      <c r="A102" s="9" t="s">
        <v>31</v>
      </c>
      <c r="B102" s="1" t="s">
        <v>35</v>
      </c>
      <c r="C102" s="5">
        <f t="shared" si="8"/>
        <v>7428.8842848</v>
      </c>
      <c r="D102" s="5">
        <f t="shared" si="8"/>
        <v>4457.33057088</v>
      </c>
      <c r="E102" s="5">
        <f t="shared" si="8"/>
        <v>2971.5537139200005</v>
      </c>
    </row>
    <row r="103" spans="1:5" ht="12.75">
      <c r="A103" s="9" t="s">
        <v>32</v>
      </c>
      <c r="B103" s="1" t="s">
        <v>35</v>
      </c>
      <c r="C103" s="5">
        <f t="shared" si="8"/>
        <v>577.8021110399999</v>
      </c>
      <c r="D103" s="5">
        <f t="shared" si="8"/>
        <v>495.25895231999993</v>
      </c>
      <c r="E103" s="5">
        <f t="shared" si="8"/>
        <v>577.80211104</v>
      </c>
    </row>
    <row r="104" spans="1:5" ht="12.75">
      <c r="A104" s="9" t="s">
        <v>33</v>
      </c>
      <c r="B104" s="1" t="s">
        <v>35</v>
      </c>
      <c r="C104" s="5">
        <f t="shared" si="8"/>
        <v>6190.736904</v>
      </c>
      <c r="D104" s="5">
        <f t="shared" si="8"/>
        <v>7222.526388</v>
      </c>
      <c r="E104" s="5">
        <f t="shared" si="8"/>
        <v>7222.526388</v>
      </c>
    </row>
    <row r="105" spans="1:5" ht="12.75">
      <c r="A105" s="1" t="s">
        <v>77</v>
      </c>
      <c r="B105" s="1" t="s">
        <v>35</v>
      </c>
      <c r="C105" s="5">
        <f>SUM(C94:C104)</f>
        <v>157897.58095583998</v>
      </c>
      <c r="D105" s="5">
        <f>SUM(D94:D104)</f>
        <v>211310.52711120003</v>
      </c>
      <c r="E105" s="5">
        <f>SUM(E94:E104)</f>
        <v>119860.10734895997</v>
      </c>
    </row>
    <row r="106" spans="3:5" ht="12.75">
      <c r="C106" s="5"/>
      <c r="D106" s="5"/>
      <c r="E106" s="5"/>
    </row>
    <row r="107" spans="1:3" ht="12.75">
      <c r="A107" s="3" t="s">
        <v>81</v>
      </c>
      <c r="C107" s="5"/>
    </row>
    <row r="108" spans="1:5" ht="12.75">
      <c r="A108" s="1" t="s">
        <v>78</v>
      </c>
      <c r="B108" s="1" t="s">
        <v>35</v>
      </c>
      <c r="C108" s="5">
        <f aca="true" t="shared" si="9" ref="C108:E116">C94*C$70</f>
        <v>108619.3152</v>
      </c>
      <c r="D108" s="5">
        <f t="shared" si="9"/>
        <v>213074.88998400004</v>
      </c>
      <c r="E108" s="5">
        <f t="shared" si="9"/>
        <v>62179.126986239964</v>
      </c>
    </row>
    <row r="109" spans="1:5" ht="12.75">
      <c r="A109" s="1" t="s">
        <v>79</v>
      </c>
      <c r="B109" s="1" t="s">
        <v>35</v>
      </c>
      <c r="C109" s="5">
        <f t="shared" si="9"/>
        <v>0</v>
      </c>
      <c r="D109" s="5">
        <f t="shared" si="9"/>
        <v>0</v>
      </c>
      <c r="E109" s="5">
        <f t="shared" si="9"/>
        <v>55912.80535104</v>
      </c>
    </row>
    <row r="110" spans="1:5" ht="12.75">
      <c r="A110" s="1" t="s">
        <v>41</v>
      </c>
      <c r="B110" s="1" t="s">
        <v>35</v>
      </c>
      <c r="C110" s="5">
        <f t="shared" si="9"/>
        <v>0</v>
      </c>
      <c r="D110" s="5">
        <f t="shared" si="9"/>
        <v>0</v>
      </c>
      <c r="E110" s="5">
        <f t="shared" si="9"/>
        <v>2077.9935000000005</v>
      </c>
    </row>
    <row r="111" spans="1:5" ht="12.75">
      <c r="A111" s="1" t="s">
        <v>80</v>
      </c>
      <c r="C111" s="5">
        <f t="shared" si="9"/>
        <v>0</v>
      </c>
      <c r="D111" s="5">
        <f t="shared" si="9"/>
        <v>0</v>
      </c>
      <c r="E111" s="5">
        <f t="shared" si="9"/>
        <v>0</v>
      </c>
    </row>
    <row r="112" spans="1:5" ht="12.75">
      <c r="A112" s="9" t="s">
        <v>27</v>
      </c>
      <c r="B112" s="1" t="s">
        <v>35</v>
      </c>
      <c r="C112" s="5">
        <f t="shared" si="9"/>
        <v>12381.473807999999</v>
      </c>
      <c r="D112" s="5">
        <f t="shared" si="9"/>
        <v>0</v>
      </c>
      <c r="E112" s="5">
        <f t="shared" si="9"/>
        <v>0</v>
      </c>
    </row>
    <row r="113" spans="1:5" ht="12.75">
      <c r="A113" s="9" t="s">
        <v>28</v>
      </c>
      <c r="B113" s="1" t="s">
        <v>35</v>
      </c>
      <c r="C113" s="5">
        <f t="shared" si="9"/>
        <v>12381.473807999999</v>
      </c>
      <c r="D113" s="5">
        <f t="shared" si="9"/>
        <v>0</v>
      </c>
      <c r="E113" s="5">
        <f t="shared" si="9"/>
        <v>0</v>
      </c>
    </row>
    <row r="114" spans="1:5" ht="12.75">
      <c r="A114" s="9" t="s">
        <v>29</v>
      </c>
      <c r="B114" s="1" t="s">
        <v>35</v>
      </c>
      <c r="C114" s="5">
        <f t="shared" si="9"/>
        <v>6190.736903999999</v>
      </c>
      <c r="D114" s="5">
        <f t="shared" si="9"/>
        <v>0</v>
      </c>
      <c r="E114" s="5">
        <f t="shared" si="9"/>
        <v>0</v>
      </c>
    </row>
    <row r="115" spans="1:5" ht="12.75">
      <c r="A115" s="9" t="s">
        <v>30</v>
      </c>
      <c r="B115" s="1" t="s">
        <v>35</v>
      </c>
      <c r="C115" s="5">
        <f t="shared" si="9"/>
        <v>4127.157936</v>
      </c>
      <c r="D115" s="5">
        <f t="shared" si="9"/>
        <v>0</v>
      </c>
      <c r="E115" s="5">
        <f t="shared" si="9"/>
        <v>4725.1831209264</v>
      </c>
    </row>
    <row r="116" spans="1:5" ht="12.75">
      <c r="A116" s="9" t="s">
        <v>31</v>
      </c>
      <c r="B116" s="1" t="s">
        <v>35</v>
      </c>
      <c r="C116" s="5">
        <f t="shared" si="9"/>
        <v>7428.8842848</v>
      </c>
      <c r="D116" s="5">
        <f t="shared" si="9"/>
        <v>4769.3437108416</v>
      </c>
      <c r="E116" s="5">
        <f t="shared" si="9"/>
        <v>3402.1318470670085</v>
      </c>
    </row>
    <row r="117" spans="1:5" ht="12.75">
      <c r="A117" s="9" t="s">
        <v>32</v>
      </c>
      <c r="B117" s="1" t="s">
        <v>35</v>
      </c>
      <c r="C117" s="5">
        <f aca="true" t="shared" si="10" ref="C117:E118">C103*C$70</f>
        <v>577.8021110399999</v>
      </c>
      <c r="D117" s="5">
        <f t="shared" si="10"/>
        <v>529.9270789824</v>
      </c>
      <c r="E117" s="5">
        <f t="shared" si="10"/>
        <v>661.525636929696</v>
      </c>
    </row>
    <row r="118" spans="1:5" ht="12.75">
      <c r="A118" s="9" t="s">
        <v>33</v>
      </c>
      <c r="B118" s="1" t="s">
        <v>35</v>
      </c>
      <c r="C118" s="5">
        <f t="shared" si="10"/>
        <v>6190.736904</v>
      </c>
      <c r="D118" s="5">
        <f t="shared" si="10"/>
        <v>7728.103235160001</v>
      </c>
      <c r="E118" s="5">
        <f t="shared" si="10"/>
        <v>8269.0704616212</v>
      </c>
    </row>
    <row r="119" spans="1:5" ht="12.75">
      <c r="A119" s="1" t="s">
        <v>77</v>
      </c>
      <c r="B119" s="1" t="s">
        <v>35</v>
      </c>
      <c r="C119" s="5">
        <f>SUM(C108:C118)</f>
        <v>157897.58095583998</v>
      </c>
      <c r="D119" s="5">
        <f>SUM(D108:D118)</f>
        <v>226102.26400898406</v>
      </c>
      <c r="E119" s="5">
        <f>SUM(E108:E118)</f>
        <v>137227.83690382427</v>
      </c>
    </row>
    <row r="120" spans="1:5" ht="12.75">
      <c r="A120" s="3" t="s">
        <v>82</v>
      </c>
      <c r="B120" s="3" t="s">
        <v>35</v>
      </c>
      <c r="C120" s="19">
        <f>SUM(C119:E119)</f>
        <v>521227.6818686483</v>
      </c>
      <c r="D120" s="5"/>
      <c r="E120" s="5"/>
    </row>
    <row r="121" spans="1:5" ht="12.75">
      <c r="A121" s="3"/>
      <c r="B121" s="3"/>
      <c r="C121" s="19"/>
      <c r="D121" s="5"/>
      <c r="E121" s="5"/>
    </row>
    <row r="122" spans="1:7" ht="12.75">
      <c r="A122" s="3" t="s">
        <v>83</v>
      </c>
      <c r="C122" s="5"/>
      <c r="D122" s="5"/>
      <c r="E122" s="5"/>
      <c r="G122" s="1" t="s">
        <v>86</v>
      </c>
    </row>
    <row r="123" spans="1:7" ht="12.75">
      <c r="A123" s="1" t="s">
        <v>84</v>
      </c>
      <c r="B123" s="1" t="s">
        <v>35</v>
      </c>
      <c r="C123" s="5">
        <f aca="true" t="shared" si="11" ref="C123:E124">C$119*C49</f>
        <v>126318.06476467199</v>
      </c>
      <c r="D123" s="5">
        <f t="shared" si="11"/>
        <v>67830.67920269522</v>
      </c>
      <c r="E123" s="5">
        <f t="shared" si="11"/>
        <v>0</v>
      </c>
      <c r="G123" s="5">
        <f>SUM(C123:E123)</f>
        <v>194148.74396736722</v>
      </c>
    </row>
    <row r="124" spans="1:7" ht="12.75">
      <c r="A124" s="1" t="s">
        <v>85</v>
      </c>
      <c r="B124" s="1" t="s">
        <v>35</v>
      </c>
      <c r="C124" s="5">
        <f t="shared" si="11"/>
        <v>31579.51619116799</v>
      </c>
      <c r="D124" s="5">
        <f t="shared" si="11"/>
        <v>158271.58480628883</v>
      </c>
      <c r="E124" s="5">
        <f t="shared" si="11"/>
        <v>137227.83690382427</v>
      </c>
      <c r="G124" s="5">
        <f>SUM(C124:E124)</f>
        <v>327078.93790128105</v>
      </c>
    </row>
    <row r="125" spans="3:5" ht="12.75">
      <c r="C125" s="5"/>
      <c r="D125" s="5"/>
      <c r="E125" s="5"/>
    </row>
    <row r="126" spans="1:5" ht="12.75">
      <c r="A126" s="3" t="s">
        <v>87</v>
      </c>
      <c r="C126" s="5"/>
      <c r="D126" s="5"/>
      <c r="E126" s="5"/>
    </row>
    <row r="127" spans="1:30" ht="12.75">
      <c r="A127" s="1" t="s">
        <v>88</v>
      </c>
      <c r="C127" s="5">
        <v>0</v>
      </c>
      <c r="D127" s="5">
        <f>C133</f>
        <v>31579.51619116799</v>
      </c>
      <c r="E127" s="5">
        <f>D133</f>
        <v>193482.74535944112</v>
      </c>
      <c r="F127" s="5">
        <f>E133</f>
        <v>352961.0979796011</v>
      </c>
      <c r="G127" s="5">
        <f aca="true" t="shared" si="12" ref="G127:O127">F133</f>
        <v>352961.0979796011</v>
      </c>
      <c r="H127" s="5">
        <f t="shared" si="12"/>
        <v>352961.0979796011</v>
      </c>
      <c r="I127" s="5">
        <f t="shared" si="12"/>
        <v>352961.0979796011</v>
      </c>
      <c r="J127" s="5">
        <f t="shared" si="12"/>
        <v>352961.0979796011</v>
      </c>
      <c r="K127" s="5">
        <f t="shared" si="12"/>
        <v>317664.98818164103</v>
      </c>
      <c r="L127" s="5">
        <f t="shared" si="12"/>
        <v>282368.87838368095</v>
      </c>
      <c r="M127" s="5">
        <f t="shared" si="12"/>
        <v>247072.76858572083</v>
      </c>
      <c r="N127" s="5">
        <f t="shared" si="12"/>
        <v>211776.6587877607</v>
      </c>
      <c r="O127" s="5">
        <f t="shared" si="12"/>
        <v>176480.5489898006</v>
      </c>
      <c r="P127" s="5">
        <f aca="true" t="shared" si="13" ref="P127:Y127">O133</f>
        <v>141184.43919184047</v>
      </c>
      <c r="Q127" s="5">
        <f t="shared" si="13"/>
        <v>105888.32939388035</v>
      </c>
      <c r="R127" s="5">
        <f t="shared" si="13"/>
        <v>70592.21959592024</v>
      </c>
      <c r="S127" s="5">
        <f t="shared" si="13"/>
        <v>35296.109797960125</v>
      </c>
      <c r="T127" s="5">
        <f t="shared" si="13"/>
        <v>1.4551915228366852E-11</v>
      </c>
      <c r="U127" s="5">
        <f t="shared" si="13"/>
        <v>1.4551915228366852E-11</v>
      </c>
      <c r="V127" s="5">
        <f t="shared" si="13"/>
        <v>1.4551915228366852E-11</v>
      </c>
      <c r="W127" s="5">
        <f t="shared" si="13"/>
        <v>1.4551915228366852E-11</v>
      </c>
      <c r="X127" s="5">
        <f t="shared" si="13"/>
        <v>1.4551915228366852E-11</v>
      </c>
      <c r="Y127" s="5">
        <f t="shared" si="13"/>
        <v>1.4551915228366852E-11</v>
      </c>
      <c r="Z127" s="5">
        <f>Y133</f>
        <v>1.4551915228366852E-11</v>
      </c>
      <c r="AA127" s="5">
        <f>Z133</f>
        <v>1.4551915228366852E-11</v>
      </c>
      <c r="AB127" s="5">
        <f>AA133</f>
        <v>1.4551915228366852E-11</v>
      </c>
      <c r="AC127" s="5">
        <f>AB133</f>
        <v>1.4551915228366852E-11</v>
      </c>
      <c r="AD127" s="5">
        <f>AC133</f>
        <v>1.4551915228366852E-11</v>
      </c>
    </row>
    <row r="128" spans="1:30" ht="12.75">
      <c r="A128" s="1" t="s">
        <v>89</v>
      </c>
      <c r="C128" s="5">
        <f>C124</f>
        <v>31579.51619116799</v>
      </c>
      <c r="D128" s="5">
        <f>D124</f>
        <v>158271.58480628883</v>
      </c>
      <c r="E128" s="5">
        <f>E124</f>
        <v>137227.83690382427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</row>
    <row r="129" spans="1:30" ht="12.75">
      <c r="A129" s="1" t="s">
        <v>90</v>
      </c>
      <c r="C129" s="5">
        <f>C127*$C$53</f>
        <v>0</v>
      </c>
      <c r="D129" s="5">
        <f>D127*$C$53</f>
        <v>3631.6443619843185</v>
      </c>
      <c r="E129" s="5">
        <f>E127*$C$53</f>
        <v>22250.515716335725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</row>
    <row r="130" spans="1:30" ht="12.75">
      <c r="A130" s="1" t="s">
        <v>91</v>
      </c>
      <c r="C130" s="1">
        <v>0</v>
      </c>
      <c r="D130" s="1">
        <v>0</v>
      </c>
      <c r="E130" s="1">
        <v>0</v>
      </c>
      <c r="F130" s="5">
        <f>F127*$C$53</f>
        <v>40590.526267654124</v>
      </c>
      <c r="G130" s="5">
        <f>G127*$C$53</f>
        <v>40590.526267654124</v>
      </c>
      <c r="H130" s="5">
        <f aca="true" t="shared" si="14" ref="H130:AD130">H127*$C$53</f>
        <v>40590.526267654124</v>
      </c>
      <c r="I130" s="5">
        <f t="shared" si="14"/>
        <v>40590.526267654124</v>
      </c>
      <c r="J130" s="5">
        <f t="shared" si="14"/>
        <v>40590.526267654124</v>
      </c>
      <c r="K130" s="5">
        <f t="shared" si="14"/>
        <v>36531.47364088872</v>
      </c>
      <c r="L130" s="5">
        <f t="shared" si="14"/>
        <v>32472.421014123305</v>
      </c>
      <c r="M130" s="5">
        <f t="shared" si="14"/>
        <v>28413.368387357892</v>
      </c>
      <c r="N130" s="5">
        <f t="shared" si="14"/>
        <v>24354.31576059248</v>
      </c>
      <c r="O130" s="5">
        <f t="shared" si="14"/>
        <v>20295.263133827066</v>
      </c>
      <c r="P130" s="5">
        <f t="shared" si="14"/>
        <v>16236.210507061653</v>
      </c>
      <c r="Q130" s="5">
        <f t="shared" si="14"/>
        <v>12177.15788029624</v>
      </c>
      <c r="R130" s="5">
        <f t="shared" si="14"/>
        <v>8118.105253530826</v>
      </c>
      <c r="S130" s="5">
        <f t="shared" si="14"/>
        <v>4059.052626765414</v>
      </c>
      <c r="T130" s="5">
        <f t="shared" si="14"/>
        <v>1.6734702512621878E-12</v>
      </c>
      <c r="U130" s="5">
        <f t="shared" si="14"/>
        <v>1.6734702512621878E-12</v>
      </c>
      <c r="V130" s="5">
        <f t="shared" si="14"/>
        <v>1.6734702512621878E-12</v>
      </c>
      <c r="W130" s="5">
        <f t="shared" si="14"/>
        <v>1.6734702512621878E-12</v>
      </c>
      <c r="X130" s="5">
        <f t="shared" si="14"/>
        <v>1.6734702512621878E-12</v>
      </c>
      <c r="Y130" s="5">
        <f t="shared" si="14"/>
        <v>1.6734702512621878E-12</v>
      </c>
      <c r="Z130" s="5">
        <f t="shared" si="14"/>
        <v>1.6734702512621878E-12</v>
      </c>
      <c r="AA130" s="5">
        <f t="shared" si="14"/>
        <v>1.6734702512621878E-12</v>
      </c>
      <c r="AB130" s="5">
        <f t="shared" si="14"/>
        <v>1.6734702512621878E-12</v>
      </c>
      <c r="AC130" s="5">
        <f t="shared" si="14"/>
        <v>1.6734702512621878E-12</v>
      </c>
      <c r="AD130" s="5">
        <f t="shared" si="14"/>
        <v>1.6734702512621878E-12</v>
      </c>
    </row>
    <row r="131" spans="1:30" ht="12.75">
      <c r="A131" s="1" t="s">
        <v>92</v>
      </c>
      <c r="C131" s="5">
        <v>0</v>
      </c>
      <c r="D131" s="5">
        <v>0</v>
      </c>
      <c r="E131" s="5">
        <v>0</v>
      </c>
      <c r="F131" s="5">
        <f aca="true" t="shared" si="15" ref="F131:AD131">IF(F2-2&gt;$C$55,IF(F2-2-$C$55&gt;$C$56,0,$F$127/$C$56),0)</f>
        <v>0</v>
      </c>
      <c r="G131" s="5">
        <f t="shared" si="15"/>
        <v>0</v>
      </c>
      <c r="H131" s="5">
        <f t="shared" si="15"/>
        <v>0</v>
      </c>
      <c r="I131" s="5">
        <f t="shared" si="15"/>
        <v>0</v>
      </c>
      <c r="J131" s="5">
        <f t="shared" si="15"/>
        <v>35296.10979796011</v>
      </c>
      <c r="K131" s="5">
        <f t="shared" si="15"/>
        <v>35296.10979796011</v>
      </c>
      <c r="L131" s="5">
        <f t="shared" si="15"/>
        <v>35296.10979796011</v>
      </c>
      <c r="M131" s="5">
        <f t="shared" si="15"/>
        <v>35296.10979796011</v>
      </c>
      <c r="N131" s="5">
        <f t="shared" si="15"/>
        <v>35296.10979796011</v>
      </c>
      <c r="O131" s="5">
        <f t="shared" si="15"/>
        <v>35296.10979796011</v>
      </c>
      <c r="P131" s="5">
        <f t="shared" si="15"/>
        <v>35296.10979796011</v>
      </c>
      <c r="Q131" s="5">
        <f t="shared" si="15"/>
        <v>35296.10979796011</v>
      </c>
      <c r="R131" s="5">
        <f t="shared" si="15"/>
        <v>35296.10979796011</v>
      </c>
      <c r="S131" s="5">
        <f t="shared" si="15"/>
        <v>35296.10979796011</v>
      </c>
      <c r="T131" s="5">
        <f t="shared" si="15"/>
        <v>0</v>
      </c>
      <c r="U131" s="5">
        <f t="shared" si="15"/>
        <v>0</v>
      </c>
      <c r="V131" s="5">
        <f t="shared" si="15"/>
        <v>0</v>
      </c>
      <c r="W131" s="5">
        <f t="shared" si="15"/>
        <v>0</v>
      </c>
      <c r="X131" s="5">
        <f t="shared" si="15"/>
        <v>0</v>
      </c>
      <c r="Y131" s="5">
        <f t="shared" si="15"/>
        <v>0</v>
      </c>
      <c r="Z131" s="5">
        <f t="shared" si="15"/>
        <v>0</v>
      </c>
      <c r="AA131" s="5">
        <f t="shared" si="15"/>
        <v>0</v>
      </c>
      <c r="AB131" s="5">
        <f t="shared" si="15"/>
        <v>0</v>
      </c>
      <c r="AC131" s="5">
        <f t="shared" si="15"/>
        <v>0</v>
      </c>
      <c r="AD131" s="5">
        <f t="shared" si="15"/>
        <v>0</v>
      </c>
    </row>
    <row r="132" spans="1:30" ht="12.75">
      <c r="A132" s="1" t="s">
        <v>93</v>
      </c>
      <c r="C132" s="5">
        <f>SUM(C130:C131)</f>
        <v>0</v>
      </c>
      <c r="D132" s="5">
        <f aca="true" t="shared" si="16" ref="D132:O132">SUM(D130:D131)</f>
        <v>0</v>
      </c>
      <c r="E132" s="5">
        <f t="shared" si="16"/>
        <v>0</v>
      </c>
      <c r="F132" s="5">
        <f t="shared" si="16"/>
        <v>40590.526267654124</v>
      </c>
      <c r="G132" s="5">
        <f t="shared" si="16"/>
        <v>40590.526267654124</v>
      </c>
      <c r="H132" s="5">
        <f t="shared" si="16"/>
        <v>40590.526267654124</v>
      </c>
      <c r="I132" s="5">
        <f t="shared" si="16"/>
        <v>40590.526267654124</v>
      </c>
      <c r="J132" s="5">
        <f t="shared" si="16"/>
        <v>75886.63606561424</v>
      </c>
      <c r="K132" s="5">
        <f t="shared" si="16"/>
        <v>71827.58343884883</v>
      </c>
      <c r="L132" s="5">
        <f t="shared" si="16"/>
        <v>67768.53081208342</v>
      </c>
      <c r="M132" s="5">
        <f t="shared" si="16"/>
        <v>63709.478185318</v>
      </c>
      <c r="N132" s="5">
        <f t="shared" si="16"/>
        <v>59650.42555855259</v>
      </c>
      <c r="O132" s="5">
        <f t="shared" si="16"/>
        <v>55591.37293178718</v>
      </c>
      <c r="P132" s="5">
        <f aca="true" t="shared" si="17" ref="P132:Z132">SUM(P130:P131)</f>
        <v>51532.32030502176</v>
      </c>
      <c r="Q132" s="5">
        <f t="shared" si="17"/>
        <v>47473.26767825635</v>
      </c>
      <c r="R132" s="5">
        <f t="shared" si="17"/>
        <v>43414.21505149094</v>
      </c>
      <c r="S132" s="5">
        <f t="shared" si="17"/>
        <v>39355.162424725524</v>
      </c>
      <c r="T132" s="5">
        <f t="shared" si="17"/>
        <v>1.6734702512621878E-12</v>
      </c>
      <c r="U132" s="5">
        <f t="shared" si="17"/>
        <v>1.6734702512621878E-12</v>
      </c>
      <c r="V132" s="5">
        <f t="shared" si="17"/>
        <v>1.6734702512621878E-12</v>
      </c>
      <c r="W132" s="5">
        <f t="shared" si="17"/>
        <v>1.6734702512621878E-12</v>
      </c>
      <c r="X132" s="5">
        <f t="shared" si="17"/>
        <v>1.6734702512621878E-12</v>
      </c>
      <c r="Y132" s="5">
        <f t="shared" si="17"/>
        <v>1.6734702512621878E-12</v>
      </c>
      <c r="Z132" s="5">
        <f t="shared" si="17"/>
        <v>1.6734702512621878E-12</v>
      </c>
      <c r="AA132" s="5">
        <f>SUM(AA130:AA131)</f>
        <v>1.6734702512621878E-12</v>
      </c>
      <c r="AB132" s="5">
        <f>SUM(AB130:AB131)</f>
        <v>1.6734702512621878E-12</v>
      </c>
      <c r="AC132" s="5">
        <f>SUM(AC130:AC131)</f>
        <v>1.6734702512621878E-12</v>
      </c>
      <c r="AD132" s="5">
        <f>SUM(AD130:AD131)</f>
        <v>1.6734702512621878E-12</v>
      </c>
    </row>
    <row r="133" spans="1:30" ht="12.75">
      <c r="A133" s="1" t="s">
        <v>94</v>
      </c>
      <c r="C133" s="5">
        <f>C127+C128-C131+C129</f>
        <v>31579.51619116799</v>
      </c>
      <c r="D133" s="5">
        <f>D127+D128-D131+D129</f>
        <v>193482.74535944112</v>
      </c>
      <c r="E133" s="5">
        <f>E127+E128-E131+E129</f>
        <v>352961.0979796011</v>
      </c>
      <c r="F133" s="5">
        <f>F127+F128-F131+F129</f>
        <v>352961.0979796011</v>
      </c>
      <c r="G133" s="5">
        <f aca="true" t="shared" si="18" ref="G133:O133">G127+G128-G131+G129</f>
        <v>352961.0979796011</v>
      </c>
      <c r="H133" s="5">
        <f t="shared" si="18"/>
        <v>352961.0979796011</v>
      </c>
      <c r="I133" s="5">
        <f t="shared" si="18"/>
        <v>352961.0979796011</v>
      </c>
      <c r="J133" s="5">
        <f t="shared" si="18"/>
        <v>317664.98818164103</v>
      </c>
      <c r="K133" s="5">
        <f t="shared" si="18"/>
        <v>282368.87838368095</v>
      </c>
      <c r="L133" s="5">
        <f t="shared" si="18"/>
        <v>247072.76858572083</v>
      </c>
      <c r="M133" s="5">
        <f t="shared" si="18"/>
        <v>211776.6587877607</v>
      </c>
      <c r="N133" s="5">
        <f t="shared" si="18"/>
        <v>176480.5489898006</v>
      </c>
      <c r="O133" s="5">
        <f t="shared" si="18"/>
        <v>141184.43919184047</v>
      </c>
      <c r="P133" s="5">
        <f aca="true" t="shared" si="19" ref="P133:Y133">P127+P128-P131+P129</f>
        <v>105888.32939388035</v>
      </c>
      <c r="Q133" s="5">
        <f t="shared" si="19"/>
        <v>70592.21959592024</v>
      </c>
      <c r="R133" s="5">
        <f t="shared" si="19"/>
        <v>35296.109797960125</v>
      </c>
      <c r="S133" s="5">
        <f t="shared" si="19"/>
        <v>1.4551915228366852E-11</v>
      </c>
      <c r="T133" s="5">
        <f t="shared" si="19"/>
        <v>1.4551915228366852E-11</v>
      </c>
      <c r="U133" s="5">
        <f t="shared" si="19"/>
        <v>1.4551915228366852E-11</v>
      </c>
      <c r="V133" s="5">
        <f t="shared" si="19"/>
        <v>1.4551915228366852E-11</v>
      </c>
      <c r="W133" s="5">
        <f t="shared" si="19"/>
        <v>1.4551915228366852E-11</v>
      </c>
      <c r="X133" s="5">
        <f t="shared" si="19"/>
        <v>1.4551915228366852E-11</v>
      </c>
      <c r="Y133" s="5">
        <f t="shared" si="19"/>
        <v>1.4551915228366852E-11</v>
      </c>
      <c r="Z133" s="5">
        <f>Z127+Z128-Z131+Z129</f>
        <v>1.4551915228366852E-11</v>
      </c>
      <c r="AA133" s="5">
        <f>AA127+AA128-AA131+AA129</f>
        <v>1.4551915228366852E-11</v>
      </c>
      <c r="AB133" s="5">
        <f>AB127+AB128-AB131+AB129</f>
        <v>1.4551915228366852E-11</v>
      </c>
      <c r="AC133" s="5">
        <f>AC127+AC128-AC131+AC129</f>
        <v>1.4551915228366852E-11</v>
      </c>
      <c r="AD133" s="5">
        <f>AD127+AD128-AD131+AD129</f>
        <v>1.4551915228366852E-11</v>
      </c>
    </row>
    <row r="134" spans="3:5" ht="12.75">
      <c r="C134" s="5"/>
      <c r="D134" s="5"/>
      <c r="E134" s="5"/>
    </row>
    <row r="135" spans="1:30" ht="12.75">
      <c r="A135" s="1" t="s">
        <v>95</v>
      </c>
      <c r="B135" s="20"/>
      <c r="C135" s="5">
        <f>C128-C132</f>
        <v>31579.51619116799</v>
      </c>
      <c r="D135" s="5">
        <f>D128-D132</f>
        <v>158271.58480628883</v>
      </c>
      <c r="E135" s="5">
        <f>E128-E132</f>
        <v>137227.83690382427</v>
      </c>
      <c r="F135" s="5">
        <f>F128-F132</f>
        <v>-40590.526267654124</v>
      </c>
      <c r="G135" s="5">
        <f aca="true" t="shared" si="20" ref="G135:O135">G128-G132</f>
        <v>-40590.526267654124</v>
      </c>
      <c r="H135" s="5">
        <f t="shared" si="20"/>
        <v>-40590.526267654124</v>
      </c>
      <c r="I135" s="5">
        <f t="shared" si="20"/>
        <v>-40590.526267654124</v>
      </c>
      <c r="J135" s="5">
        <f t="shared" si="20"/>
        <v>-75886.63606561424</v>
      </c>
      <c r="K135" s="5">
        <f t="shared" si="20"/>
        <v>-71827.58343884883</v>
      </c>
      <c r="L135" s="5">
        <f t="shared" si="20"/>
        <v>-67768.53081208342</v>
      </c>
      <c r="M135" s="5">
        <f t="shared" si="20"/>
        <v>-63709.478185318</v>
      </c>
      <c r="N135" s="5">
        <f t="shared" si="20"/>
        <v>-59650.42555855259</v>
      </c>
      <c r="O135" s="5">
        <f t="shared" si="20"/>
        <v>-55591.37293178718</v>
      </c>
      <c r="P135" s="5">
        <f aca="true" t="shared" si="21" ref="P135:Y135">P128-P132</f>
        <v>-51532.32030502176</v>
      </c>
      <c r="Q135" s="5">
        <f t="shared" si="21"/>
        <v>-47473.26767825635</v>
      </c>
      <c r="R135" s="5">
        <f t="shared" si="21"/>
        <v>-43414.21505149094</v>
      </c>
      <c r="S135" s="5">
        <f t="shared" si="21"/>
        <v>-39355.162424725524</v>
      </c>
      <c r="T135" s="5">
        <f t="shared" si="21"/>
        <v>-1.6734702512621878E-12</v>
      </c>
      <c r="U135" s="5">
        <f t="shared" si="21"/>
        <v>-1.6734702512621878E-12</v>
      </c>
      <c r="V135" s="5">
        <f t="shared" si="21"/>
        <v>-1.6734702512621878E-12</v>
      </c>
      <c r="W135" s="5">
        <f t="shared" si="21"/>
        <v>-1.6734702512621878E-12</v>
      </c>
      <c r="X135" s="5">
        <f t="shared" si="21"/>
        <v>-1.6734702512621878E-12</v>
      </c>
      <c r="Y135" s="5">
        <f t="shared" si="21"/>
        <v>-1.6734702512621878E-12</v>
      </c>
      <c r="Z135" s="5">
        <f>Z128-Z132</f>
        <v>-1.6734702512621878E-12</v>
      </c>
      <c r="AA135" s="5">
        <f>AA128-AA132</f>
        <v>-1.6734702512621878E-12</v>
      </c>
      <c r="AB135" s="5">
        <f>AB128-AB132</f>
        <v>-1.6734702512621878E-12</v>
      </c>
      <c r="AC135" s="5">
        <f>AC128-AC132</f>
        <v>-1.6734702512621878E-12</v>
      </c>
      <c r="AD135" s="5">
        <f>AD128-AD132</f>
        <v>-1.6734702512621878E-12</v>
      </c>
    </row>
    <row r="136" spans="3:5" ht="12.75">
      <c r="C136" s="5"/>
      <c r="D136" s="5"/>
      <c r="E136" s="5"/>
    </row>
    <row r="137" spans="1:5" ht="12.75">
      <c r="A137" s="3" t="s">
        <v>96</v>
      </c>
      <c r="C137" s="5">
        <f>SUM(C129:E129)+C120</f>
        <v>547109.8419469683</v>
      </c>
      <c r="D137" s="5"/>
      <c r="E137" s="5"/>
    </row>
    <row r="138" spans="3:5" ht="12.75">
      <c r="C138" s="5"/>
      <c r="D138" s="5"/>
      <c r="E138" s="5"/>
    </row>
    <row r="139" spans="1:5" ht="12.75">
      <c r="A139" s="3" t="s">
        <v>97</v>
      </c>
      <c r="C139" s="5"/>
      <c r="D139" s="5"/>
      <c r="E139" s="5"/>
    </row>
    <row r="140" spans="1:31" ht="12.75">
      <c r="A140" s="1" t="s">
        <v>98</v>
      </c>
      <c r="C140" s="5"/>
      <c r="D140" s="5"/>
      <c r="E140" s="5"/>
      <c r="F140" s="5">
        <f aca="true" t="shared" si="22" ref="F140:AD140">IF(F2-2&gt;$C$45,"",(SUM($C$108:$E$108)+SUM($C$110:$E$110))/$C$45)</f>
        <v>15438.053026809599</v>
      </c>
      <c r="G140" s="5">
        <f t="shared" si="22"/>
        <v>15438.053026809599</v>
      </c>
      <c r="H140" s="5">
        <f t="shared" si="22"/>
        <v>15438.053026809599</v>
      </c>
      <c r="I140" s="5">
        <f t="shared" si="22"/>
        <v>15438.053026809599</v>
      </c>
      <c r="J140" s="5">
        <f t="shared" si="22"/>
        <v>15438.053026809599</v>
      </c>
      <c r="K140" s="5">
        <f t="shared" si="22"/>
        <v>15438.053026809599</v>
      </c>
      <c r="L140" s="5">
        <f t="shared" si="22"/>
        <v>15438.053026809599</v>
      </c>
      <c r="M140" s="5">
        <f t="shared" si="22"/>
        <v>15438.053026809599</v>
      </c>
      <c r="N140" s="5">
        <f t="shared" si="22"/>
        <v>15438.053026809599</v>
      </c>
      <c r="O140" s="5">
        <f t="shared" si="22"/>
        <v>15438.053026809599</v>
      </c>
      <c r="P140" s="5">
        <f t="shared" si="22"/>
        <v>15438.053026809599</v>
      </c>
      <c r="Q140" s="5">
        <f t="shared" si="22"/>
        <v>15438.053026809599</v>
      </c>
      <c r="R140" s="5">
        <f t="shared" si="22"/>
        <v>15438.053026809599</v>
      </c>
      <c r="S140" s="5">
        <f t="shared" si="22"/>
        <v>15438.053026809599</v>
      </c>
      <c r="T140" s="5">
        <f t="shared" si="22"/>
        <v>15438.053026809599</v>
      </c>
      <c r="U140" s="5">
        <f t="shared" si="22"/>
        <v>15438.053026809599</v>
      </c>
      <c r="V140" s="5">
        <f t="shared" si="22"/>
        <v>15438.053026809599</v>
      </c>
      <c r="W140" s="5">
        <f t="shared" si="22"/>
        <v>15438.053026809599</v>
      </c>
      <c r="X140" s="5">
        <f t="shared" si="22"/>
        <v>15438.053026809599</v>
      </c>
      <c r="Y140" s="5">
        <f t="shared" si="22"/>
        <v>15438.053026809599</v>
      </c>
      <c r="Z140" s="5">
        <f t="shared" si="22"/>
        <v>15438.053026809599</v>
      </c>
      <c r="AA140" s="5">
        <f t="shared" si="22"/>
        <v>15438.053026809599</v>
      </c>
      <c r="AB140" s="5">
        <f t="shared" si="22"/>
        <v>15438.053026809599</v>
      </c>
      <c r="AC140" s="5">
        <f t="shared" si="22"/>
        <v>15438.053026809599</v>
      </c>
      <c r="AD140" s="5">
        <f t="shared" si="22"/>
        <v>15438.053026809599</v>
      </c>
      <c r="AE140" s="5"/>
    </row>
    <row r="141" spans="1:26" ht="12.75">
      <c r="A141" s="1" t="s">
        <v>99</v>
      </c>
      <c r="C141" s="5"/>
      <c r="D141" s="5"/>
      <c r="E141" s="5"/>
      <c r="F141" s="5">
        <f aca="true" t="shared" si="23" ref="F141:Z141">IF(F2-2&gt;$C$46,"",SUM($C$109:$E$109)/$C$46)</f>
        <v>11182.561070208</v>
      </c>
      <c r="G141" s="5">
        <f t="shared" si="23"/>
        <v>11182.561070208</v>
      </c>
      <c r="H141" s="5">
        <f t="shared" si="23"/>
        <v>11182.561070208</v>
      </c>
      <c r="I141" s="5">
        <f t="shared" si="23"/>
        <v>11182.561070208</v>
      </c>
      <c r="J141" s="5">
        <f t="shared" si="23"/>
        <v>11182.561070208</v>
      </c>
      <c r="K141" s="5">
        <f t="shared" si="23"/>
      </c>
      <c r="L141" s="5">
        <f t="shared" si="23"/>
      </c>
      <c r="M141" s="5">
        <f t="shared" si="23"/>
      </c>
      <c r="N141" s="5">
        <f t="shared" si="23"/>
      </c>
      <c r="O141" s="5">
        <f t="shared" si="23"/>
      </c>
      <c r="P141" s="5">
        <f t="shared" si="23"/>
      </c>
      <c r="Q141" s="5">
        <f t="shared" si="23"/>
      </c>
      <c r="R141" s="5">
        <f t="shared" si="23"/>
      </c>
      <c r="S141" s="5">
        <f t="shared" si="23"/>
      </c>
      <c r="T141" s="5">
        <f t="shared" si="23"/>
      </c>
      <c r="U141" s="5">
        <f t="shared" si="23"/>
      </c>
      <c r="V141" s="5">
        <f t="shared" si="23"/>
      </c>
      <c r="W141" s="5">
        <f t="shared" si="23"/>
      </c>
      <c r="X141" s="5">
        <f t="shared" si="23"/>
      </c>
      <c r="Y141" s="5">
        <f t="shared" si="23"/>
      </c>
      <c r="Z141" s="5">
        <f t="shared" si="23"/>
      </c>
    </row>
    <row r="142" spans="1:30" ht="12.75">
      <c r="A142" s="1" t="s">
        <v>100</v>
      </c>
      <c r="C142" s="5"/>
      <c r="D142" s="5"/>
      <c r="E142" s="5"/>
      <c r="F142" s="5">
        <f>IF(F2-2&gt;$C$45,"",(SUM($C$112:$E$114)+$D$129+$E$129+$C$129)/$C$47)</f>
        <v>2273.4337839328014</v>
      </c>
      <c r="G142" s="5">
        <f aca="true" t="shared" si="24" ref="G142:AD142">IF(G2-2&gt;$C$45,"",(SUM($C$112:$E$114)+$D$129+$E$129+$C$129)/$C$47)</f>
        <v>2273.4337839328014</v>
      </c>
      <c r="H142" s="5">
        <f t="shared" si="24"/>
        <v>2273.4337839328014</v>
      </c>
      <c r="I142" s="5">
        <f t="shared" si="24"/>
        <v>2273.4337839328014</v>
      </c>
      <c r="J142" s="5">
        <f t="shared" si="24"/>
        <v>2273.4337839328014</v>
      </c>
      <c r="K142" s="5">
        <f t="shared" si="24"/>
        <v>2273.4337839328014</v>
      </c>
      <c r="L142" s="5">
        <f t="shared" si="24"/>
        <v>2273.4337839328014</v>
      </c>
      <c r="M142" s="5">
        <f t="shared" si="24"/>
        <v>2273.4337839328014</v>
      </c>
      <c r="N142" s="5">
        <f t="shared" si="24"/>
        <v>2273.4337839328014</v>
      </c>
      <c r="O142" s="5">
        <f t="shared" si="24"/>
        <v>2273.4337839328014</v>
      </c>
      <c r="P142" s="5">
        <f t="shared" si="24"/>
        <v>2273.4337839328014</v>
      </c>
      <c r="Q142" s="5">
        <f t="shared" si="24"/>
        <v>2273.4337839328014</v>
      </c>
      <c r="R142" s="5">
        <f t="shared" si="24"/>
        <v>2273.4337839328014</v>
      </c>
      <c r="S142" s="5">
        <f t="shared" si="24"/>
        <v>2273.4337839328014</v>
      </c>
      <c r="T142" s="5">
        <f t="shared" si="24"/>
        <v>2273.4337839328014</v>
      </c>
      <c r="U142" s="5">
        <f t="shared" si="24"/>
        <v>2273.4337839328014</v>
      </c>
      <c r="V142" s="5">
        <f t="shared" si="24"/>
        <v>2273.4337839328014</v>
      </c>
      <c r="W142" s="5">
        <f t="shared" si="24"/>
        <v>2273.4337839328014</v>
      </c>
      <c r="X142" s="5">
        <f t="shared" si="24"/>
        <v>2273.4337839328014</v>
      </c>
      <c r="Y142" s="5">
        <f t="shared" si="24"/>
        <v>2273.4337839328014</v>
      </c>
      <c r="Z142" s="5">
        <f t="shared" si="24"/>
        <v>2273.4337839328014</v>
      </c>
      <c r="AA142" s="5">
        <f t="shared" si="24"/>
        <v>2273.4337839328014</v>
      </c>
      <c r="AB142" s="5">
        <f t="shared" si="24"/>
        <v>2273.4337839328014</v>
      </c>
      <c r="AC142" s="5">
        <f t="shared" si="24"/>
        <v>2273.4337839328014</v>
      </c>
      <c r="AD142" s="5">
        <f t="shared" si="24"/>
        <v>2273.4337839328014</v>
      </c>
    </row>
    <row r="143" spans="1:30" ht="12.75">
      <c r="A143" s="1" t="s">
        <v>101</v>
      </c>
      <c r="F143" s="5">
        <f>SUM(C108:E114)+SUM(C129:E129)</f>
        <v>498699.9756196</v>
      </c>
      <c r="G143" s="5">
        <f>F145</f>
        <v>469805.9277386496</v>
      </c>
      <c r="H143" s="5">
        <f aca="true" t="shared" si="25" ref="H143:P143">G145</f>
        <v>440911.8798576992</v>
      </c>
      <c r="I143" s="5">
        <f t="shared" si="25"/>
        <v>412017.8319767488</v>
      </c>
      <c r="J143" s="5">
        <f t="shared" si="25"/>
        <v>383123.78409579844</v>
      </c>
      <c r="K143" s="5">
        <f t="shared" si="25"/>
        <v>354229.73621484806</v>
      </c>
      <c r="L143" s="5">
        <f t="shared" si="25"/>
        <v>336518.24940410565</v>
      </c>
      <c r="M143" s="5">
        <f t="shared" si="25"/>
        <v>318806.76259336324</v>
      </c>
      <c r="N143" s="5">
        <f t="shared" si="25"/>
        <v>301095.2757826208</v>
      </c>
      <c r="O143" s="5">
        <f t="shared" si="25"/>
        <v>283383.7889718784</v>
      </c>
      <c r="P143" s="5">
        <f t="shared" si="25"/>
        <v>265672.302161136</v>
      </c>
      <c r="Q143" s="5">
        <f aca="true" t="shared" si="26" ref="Q143:Z143">P145</f>
        <v>247960.8153503936</v>
      </c>
      <c r="R143" s="5">
        <f t="shared" si="26"/>
        <v>230249.32853965118</v>
      </c>
      <c r="S143" s="5">
        <f t="shared" si="26"/>
        <v>212537.84172890877</v>
      </c>
      <c r="T143" s="5">
        <f t="shared" si="26"/>
        <v>194826.35491816635</v>
      </c>
      <c r="U143" s="5">
        <f t="shared" si="26"/>
        <v>177114.86810742394</v>
      </c>
      <c r="V143" s="5">
        <f t="shared" si="26"/>
        <v>159403.38129668153</v>
      </c>
      <c r="W143" s="5">
        <f t="shared" si="26"/>
        <v>141691.89448593912</v>
      </c>
      <c r="X143" s="5">
        <f t="shared" si="26"/>
        <v>123980.40767519672</v>
      </c>
      <c r="Y143" s="5">
        <f t="shared" si="26"/>
        <v>106268.92086445433</v>
      </c>
      <c r="Z143" s="5">
        <f t="shared" si="26"/>
        <v>88557.43405371193</v>
      </c>
      <c r="AA143" s="5">
        <f>Z145</f>
        <v>70845.94724296953</v>
      </c>
      <c r="AB143" s="5">
        <f>AA145</f>
        <v>53134.46043222713</v>
      </c>
      <c r="AC143" s="5">
        <f>AB145</f>
        <v>35422.973621484736</v>
      </c>
      <c r="AD143" s="5">
        <f>AC145</f>
        <v>17711.486810742335</v>
      </c>
    </row>
    <row r="144" spans="1:30" ht="12.75">
      <c r="A144" s="1" t="s">
        <v>102</v>
      </c>
      <c r="F144" s="5">
        <f>SUM(F140:F142)</f>
        <v>28894.0478809504</v>
      </c>
      <c r="G144" s="5">
        <f aca="true" t="shared" si="27" ref="G144:P144">SUM(G140:G142)</f>
        <v>28894.0478809504</v>
      </c>
      <c r="H144" s="5">
        <f t="shared" si="27"/>
        <v>28894.0478809504</v>
      </c>
      <c r="I144" s="5">
        <f t="shared" si="27"/>
        <v>28894.0478809504</v>
      </c>
      <c r="J144" s="5">
        <f t="shared" si="27"/>
        <v>28894.0478809504</v>
      </c>
      <c r="K144" s="5">
        <f t="shared" si="27"/>
        <v>17711.4868107424</v>
      </c>
      <c r="L144" s="5">
        <f t="shared" si="27"/>
        <v>17711.4868107424</v>
      </c>
      <c r="M144" s="5">
        <f t="shared" si="27"/>
        <v>17711.4868107424</v>
      </c>
      <c r="N144" s="5">
        <f t="shared" si="27"/>
        <v>17711.4868107424</v>
      </c>
      <c r="O144" s="5">
        <f t="shared" si="27"/>
        <v>17711.4868107424</v>
      </c>
      <c r="P144" s="5">
        <f t="shared" si="27"/>
        <v>17711.4868107424</v>
      </c>
      <c r="Q144" s="5">
        <f aca="true" t="shared" si="28" ref="Q144:Y144">SUM(Q140:Q142)</f>
        <v>17711.4868107424</v>
      </c>
      <c r="R144" s="5">
        <f t="shared" si="28"/>
        <v>17711.4868107424</v>
      </c>
      <c r="S144" s="5">
        <f t="shared" si="28"/>
        <v>17711.4868107424</v>
      </c>
      <c r="T144" s="5">
        <f t="shared" si="28"/>
        <v>17711.4868107424</v>
      </c>
      <c r="U144" s="5">
        <f t="shared" si="28"/>
        <v>17711.4868107424</v>
      </c>
      <c r="V144" s="5">
        <f t="shared" si="28"/>
        <v>17711.4868107424</v>
      </c>
      <c r="W144" s="5">
        <f t="shared" si="28"/>
        <v>17711.4868107424</v>
      </c>
      <c r="X144" s="5">
        <f t="shared" si="28"/>
        <v>17711.4868107424</v>
      </c>
      <c r="Y144" s="5">
        <f t="shared" si="28"/>
        <v>17711.4868107424</v>
      </c>
      <c r="Z144" s="5">
        <f>SUM(Z140:Z142)</f>
        <v>17711.4868107424</v>
      </c>
      <c r="AA144" s="5">
        <f>SUM(AA140:AA142)</f>
        <v>17711.4868107424</v>
      </c>
      <c r="AB144" s="5">
        <f>SUM(AB140:AB142)</f>
        <v>17711.4868107424</v>
      </c>
      <c r="AC144" s="5">
        <f>SUM(AC140:AC142)</f>
        <v>17711.4868107424</v>
      </c>
      <c r="AD144" s="5">
        <f>SUM(AD140:AD142)</f>
        <v>17711.4868107424</v>
      </c>
    </row>
    <row r="145" spans="1:30" ht="12.75">
      <c r="A145" s="1" t="s">
        <v>103</v>
      </c>
      <c r="F145" s="5">
        <f>F143-F144</f>
        <v>469805.9277386496</v>
      </c>
      <c r="G145" s="5">
        <f>G143-G144</f>
        <v>440911.8798576992</v>
      </c>
      <c r="H145" s="5">
        <f aca="true" t="shared" si="29" ref="H145:P145">H143-H144</f>
        <v>412017.8319767488</v>
      </c>
      <c r="I145" s="5">
        <f t="shared" si="29"/>
        <v>383123.78409579844</v>
      </c>
      <c r="J145" s="5">
        <f t="shared" si="29"/>
        <v>354229.73621484806</v>
      </c>
      <c r="K145" s="5">
        <f t="shared" si="29"/>
        <v>336518.24940410565</v>
      </c>
      <c r="L145" s="5">
        <f t="shared" si="29"/>
        <v>318806.76259336324</v>
      </c>
      <c r="M145" s="5">
        <f t="shared" si="29"/>
        <v>301095.2757826208</v>
      </c>
      <c r="N145" s="5">
        <f t="shared" si="29"/>
        <v>283383.7889718784</v>
      </c>
      <c r="O145" s="5">
        <f t="shared" si="29"/>
        <v>265672.302161136</v>
      </c>
      <c r="P145" s="5">
        <f t="shared" si="29"/>
        <v>247960.8153503936</v>
      </c>
      <c r="Q145" s="5">
        <f aca="true" t="shared" si="30" ref="Q145:Z145">Q143-Q144</f>
        <v>230249.32853965118</v>
      </c>
      <c r="R145" s="5">
        <f t="shared" si="30"/>
        <v>212537.84172890877</v>
      </c>
      <c r="S145" s="5">
        <f t="shared" si="30"/>
        <v>194826.35491816635</v>
      </c>
      <c r="T145" s="5">
        <f t="shared" si="30"/>
        <v>177114.86810742394</v>
      </c>
      <c r="U145" s="5">
        <f t="shared" si="30"/>
        <v>159403.38129668153</v>
      </c>
      <c r="V145" s="5">
        <f t="shared" si="30"/>
        <v>141691.89448593912</v>
      </c>
      <c r="W145" s="5">
        <f t="shared" si="30"/>
        <v>123980.40767519672</v>
      </c>
      <c r="X145" s="5">
        <f t="shared" si="30"/>
        <v>106268.92086445433</v>
      </c>
      <c r="Y145" s="5">
        <f t="shared" si="30"/>
        <v>88557.43405371193</v>
      </c>
      <c r="Z145" s="5">
        <f t="shared" si="30"/>
        <v>70845.94724296953</v>
      </c>
      <c r="AA145" s="5">
        <f>AA143-AA144</f>
        <v>53134.46043222713</v>
      </c>
      <c r="AB145" s="5">
        <f>AB143-AB144</f>
        <v>35422.973621484736</v>
      </c>
      <c r="AC145" s="5">
        <f>AC143-AC144</f>
        <v>17711.486810742335</v>
      </c>
      <c r="AD145" s="5">
        <f>AD143-AD144</f>
        <v>-6.548361852765083E-11</v>
      </c>
    </row>
    <row r="147" ht="12.75">
      <c r="A147" s="3" t="s">
        <v>104</v>
      </c>
    </row>
    <row r="148" spans="1:30" ht="14.25">
      <c r="A148" s="1" t="s">
        <v>105</v>
      </c>
      <c r="B148" s="1" t="s">
        <v>161</v>
      </c>
      <c r="F148" s="5">
        <f>$C$75</f>
        <v>19048</v>
      </c>
      <c r="G148" s="5">
        <f aca="true" t="shared" si="31" ref="G148:AD148">$C$75</f>
        <v>19048</v>
      </c>
      <c r="H148" s="5">
        <f t="shared" si="31"/>
        <v>19048</v>
      </c>
      <c r="I148" s="5">
        <f t="shared" si="31"/>
        <v>19048</v>
      </c>
      <c r="J148" s="5">
        <f t="shared" si="31"/>
        <v>19048</v>
      </c>
      <c r="K148" s="5">
        <f t="shared" si="31"/>
        <v>19048</v>
      </c>
      <c r="L148" s="5">
        <f t="shared" si="31"/>
        <v>19048</v>
      </c>
      <c r="M148" s="5">
        <f t="shared" si="31"/>
        <v>19048</v>
      </c>
      <c r="N148" s="5">
        <f t="shared" si="31"/>
        <v>19048</v>
      </c>
      <c r="O148" s="5">
        <f t="shared" si="31"/>
        <v>19048</v>
      </c>
      <c r="P148" s="5">
        <f t="shared" si="31"/>
        <v>19048</v>
      </c>
      <c r="Q148" s="5">
        <f t="shared" si="31"/>
        <v>19048</v>
      </c>
      <c r="R148" s="5">
        <f t="shared" si="31"/>
        <v>19048</v>
      </c>
      <c r="S148" s="5">
        <f t="shared" si="31"/>
        <v>19048</v>
      </c>
      <c r="T148" s="5">
        <f t="shared" si="31"/>
        <v>19048</v>
      </c>
      <c r="U148" s="5">
        <f t="shared" si="31"/>
        <v>19048</v>
      </c>
      <c r="V148" s="5">
        <f t="shared" si="31"/>
        <v>19048</v>
      </c>
      <c r="W148" s="5">
        <f t="shared" si="31"/>
        <v>19048</v>
      </c>
      <c r="X148" s="5">
        <f t="shared" si="31"/>
        <v>19048</v>
      </c>
      <c r="Y148" s="5">
        <f t="shared" si="31"/>
        <v>19048</v>
      </c>
      <c r="Z148" s="5">
        <f t="shared" si="31"/>
        <v>19048</v>
      </c>
      <c r="AA148" s="5">
        <f t="shared" si="31"/>
        <v>19048</v>
      </c>
      <c r="AB148" s="5">
        <f t="shared" si="31"/>
        <v>19048</v>
      </c>
      <c r="AC148" s="5">
        <f t="shared" si="31"/>
        <v>19048</v>
      </c>
      <c r="AD148" s="5">
        <f t="shared" si="31"/>
        <v>19048</v>
      </c>
    </row>
    <row r="149" spans="1:30" ht="14.25">
      <c r="A149" s="1" t="s">
        <v>106</v>
      </c>
      <c r="B149" s="1" t="s">
        <v>164</v>
      </c>
      <c r="C149" s="8">
        <f>C57/(1+$C$64)</f>
        <v>36.36363636363636</v>
      </c>
      <c r="D149" s="21">
        <f aca="true" t="shared" si="32" ref="D149:AD149">C149*(1+D58)*(1+$C$5)</f>
        <v>39.31636363636364</v>
      </c>
      <c r="E149" s="21">
        <f t="shared" si="32"/>
        <v>42.508852363636365</v>
      </c>
      <c r="F149" s="21">
        <f t="shared" si="32"/>
        <v>45.960571175563636</v>
      </c>
      <c r="G149" s="21">
        <f t="shared" si="32"/>
        <v>49.6925695550194</v>
      </c>
      <c r="H149" s="21">
        <f t="shared" si="32"/>
        <v>53.72760620288699</v>
      </c>
      <c r="I149" s="21">
        <f t="shared" si="32"/>
        <v>58.090287826561415</v>
      </c>
      <c r="J149" s="21">
        <f t="shared" si="32"/>
        <v>62.80721919807821</v>
      </c>
      <c r="K149" s="21">
        <f t="shared" si="32"/>
        <v>67.26653176114176</v>
      </c>
      <c r="L149" s="21">
        <f t="shared" si="32"/>
        <v>72.04245551618283</v>
      </c>
      <c r="M149" s="21">
        <f t="shared" si="32"/>
        <v>77.15746985783181</v>
      </c>
      <c r="N149" s="21">
        <f t="shared" si="32"/>
        <v>82.63565021773788</v>
      </c>
      <c r="O149" s="21">
        <f t="shared" si="32"/>
        <v>88.50278138319726</v>
      </c>
      <c r="P149" s="21">
        <f t="shared" si="32"/>
        <v>93.88375049129567</v>
      </c>
      <c r="Q149" s="21">
        <f t="shared" si="32"/>
        <v>99.59188252116645</v>
      </c>
      <c r="R149" s="21">
        <f t="shared" si="32"/>
        <v>105.64706897845338</v>
      </c>
      <c r="S149" s="21">
        <f t="shared" si="32"/>
        <v>112.07041077234335</v>
      </c>
      <c r="T149" s="21">
        <f t="shared" si="32"/>
        <v>118.88429174730183</v>
      </c>
      <c r="U149" s="21">
        <f t="shared" si="32"/>
        <v>124.8998369097153</v>
      </c>
      <c r="V149" s="21">
        <f t="shared" si="32"/>
        <v>131.21976865734692</v>
      </c>
      <c r="W149" s="21">
        <f t="shared" si="32"/>
        <v>137.85948895140868</v>
      </c>
      <c r="X149" s="21">
        <f t="shared" si="32"/>
        <v>144.83517909234996</v>
      </c>
      <c r="Y149" s="21">
        <f t="shared" si="32"/>
        <v>152.16383915442287</v>
      </c>
      <c r="Z149" s="21">
        <f t="shared" si="32"/>
        <v>159.86332941563668</v>
      </c>
      <c r="AA149" s="21">
        <f t="shared" si="32"/>
        <v>167.9524138840679</v>
      </c>
      <c r="AB149" s="21">
        <f t="shared" si="32"/>
        <v>176.45080602660175</v>
      </c>
      <c r="AC149" s="21">
        <f t="shared" si="32"/>
        <v>185.3792168115478</v>
      </c>
      <c r="AD149" s="21">
        <f t="shared" si="32"/>
        <v>194.75940518221213</v>
      </c>
    </row>
    <row r="150" spans="1:30" ht="14.25">
      <c r="A150" s="1" t="s">
        <v>106</v>
      </c>
      <c r="B150" s="1" t="s">
        <v>163</v>
      </c>
      <c r="C150" s="8">
        <f>C149*C72/10^6</f>
        <v>0.6545454545454544</v>
      </c>
      <c r="D150" s="8">
        <f>D149*D72/10^6</f>
        <v>0.7423854545454545</v>
      </c>
      <c r="E150" s="8">
        <f aca="true" t="shared" si="33" ref="E150:AD150">E149*E72/10^6</f>
        <v>0.8420135825454547</v>
      </c>
      <c r="F150" s="8">
        <f t="shared" si="33"/>
        <v>0.9550118053230546</v>
      </c>
      <c r="G150" s="8">
        <f t="shared" si="33"/>
        <v>1.0831743895974086</v>
      </c>
      <c r="H150" s="8">
        <f t="shared" si="33"/>
        <v>1.2285363926813813</v>
      </c>
      <c r="I150" s="8">
        <f t="shared" si="33"/>
        <v>1.3934059765792226</v>
      </c>
      <c r="J150" s="8">
        <f t="shared" si="33"/>
        <v>1.5804010586361548</v>
      </c>
      <c r="K150" s="8">
        <f t="shared" si="33"/>
        <v>1.7755805893777197</v>
      </c>
      <c r="L150" s="8">
        <f t="shared" si="33"/>
        <v>1.9948647921658682</v>
      </c>
      <c r="M150" s="8">
        <f t="shared" si="33"/>
        <v>2.241230593998353</v>
      </c>
      <c r="N150" s="8">
        <f t="shared" si="33"/>
        <v>2.5180225723571503</v>
      </c>
      <c r="O150" s="8">
        <f t="shared" si="33"/>
        <v>2.8289983600432578</v>
      </c>
      <c r="P150" s="8">
        <f t="shared" si="33"/>
        <v>3.148109375056139</v>
      </c>
      <c r="Q150" s="8">
        <f t="shared" si="33"/>
        <v>3.5032161125624715</v>
      </c>
      <c r="R150" s="8">
        <f t="shared" si="33"/>
        <v>3.8983788900595178</v>
      </c>
      <c r="S150" s="8">
        <f t="shared" si="33"/>
        <v>4.3381160288582326</v>
      </c>
      <c r="T150" s="8">
        <f t="shared" si="33"/>
        <v>4.827455516913441</v>
      </c>
      <c r="U150" s="8">
        <f t="shared" si="33"/>
        <v>5.320338725190304</v>
      </c>
      <c r="V150" s="8">
        <f t="shared" si="33"/>
        <v>5.863545309032236</v>
      </c>
      <c r="W150" s="8">
        <f t="shared" si="33"/>
        <v>6.462213285084427</v>
      </c>
      <c r="X150" s="8">
        <f t="shared" si="33"/>
        <v>7.122005261491547</v>
      </c>
      <c r="Y150" s="8">
        <f t="shared" si="33"/>
        <v>7.849161998689835</v>
      </c>
      <c r="Z150" s="8">
        <f t="shared" si="33"/>
        <v>8.65056143875607</v>
      </c>
      <c r="AA150" s="8">
        <f t="shared" si="33"/>
        <v>9.533783761653066</v>
      </c>
      <c r="AB150" s="8">
        <f t="shared" si="33"/>
        <v>10.507183083717845</v>
      </c>
      <c r="AC150" s="8">
        <f t="shared" si="33"/>
        <v>11.579966476565437</v>
      </c>
      <c r="AD150" s="8">
        <f t="shared" si="33"/>
        <v>12.762281053822772</v>
      </c>
    </row>
    <row r="151" spans="1:30" ht="12.75">
      <c r="A151" s="1" t="s">
        <v>107</v>
      </c>
      <c r="B151" s="1" t="s">
        <v>35</v>
      </c>
      <c r="F151" s="5">
        <f>F150*F148*12</f>
        <v>218292.77841352255</v>
      </c>
      <c r="G151" s="5">
        <f aca="true" t="shared" si="34" ref="G151:P151">G150*G148*12</f>
        <v>247587.6692766173</v>
      </c>
      <c r="H151" s="5">
        <f t="shared" si="34"/>
        <v>280813.9344935394</v>
      </c>
      <c r="I151" s="5">
        <f t="shared" si="34"/>
        <v>318499.1645025724</v>
      </c>
      <c r="J151" s="5">
        <f t="shared" si="34"/>
        <v>361241.7523788177</v>
      </c>
      <c r="K151" s="5">
        <f t="shared" si="34"/>
        <v>405855.10879760166</v>
      </c>
      <c r="L151" s="5">
        <f t="shared" si="34"/>
        <v>455978.21473410545</v>
      </c>
      <c r="M151" s="5">
        <f t="shared" si="34"/>
        <v>512291.52425376757</v>
      </c>
      <c r="N151" s="5">
        <f t="shared" si="34"/>
        <v>575559.527499108</v>
      </c>
      <c r="O151" s="5">
        <f t="shared" si="34"/>
        <v>646641.1291452476</v>
      </c>
      <c r="P151" s="5">
        <f t="shared" si="34"/>
        <v>719582.248512832</v>
      </c>
      <c r="Q151" s="5">
        <f aca="true" t="shared" si="35" ref="Q151:Z151">Q150*Q148*12</f>
        <v>800751.1261450795</v>
      </c>
      <c r="R151" s="5">
        <f t="shared" si="35"/>
        <v>891075.8531742443</v>
      </c>
      <c r="S151" s="5">
        <f t="shared" si="35"/>
        <v>991589.2094122994</v>
      </c>
      <c r="T151" s="5">
        <f t="shared" si="35"/>
        <v>1103440.4722340067</v>
      </c>
      <c r="U151" s="5">
        <f t="shared" si="35"/>
        <v>1216101.744449099</v>
      </c>
      <c r="V151" s="5">
        <f t="shared" si="35"/>
        <v>1340265.7325573522</v>
      </c>
      <c r="W151" s="5">
        <f t="shared" si="35"/>
        <v>1477106.863851458</v>
      </c>
      <c r="X151" s="5">
        <f t="shared" si="35"/>
        <v>1627919.4746506917</v>
      </c>
      <c r="Y151" s="5">
        <f t="shared" si="35"/>
        <v>1794130.053012528</v>
      </c>
      <c r="Z151" s="5">
        <f t="shared" si="35"/>
        <v>1977310.7314251072</v>
      </c>
      <c r="AA151" s="5">
        <f>AA150*AA148*12</f>
        <v>2179194.157103611</v>
      </c>
      <c r="AB151" s="5">
        <f>AB150*AB148*12</f>
        <v>2401689.8805438904</v>
      </c>
      <c r="AC151" s="5">
        <f>AC150*AC148*12</f>
        <v>2646902.4173474214</v>
      </c>
      <c r="AD151" s="5">
        <f>AD150*AD148*12</f>
        <v>2917151.154158594</v>
      </c>
    </row>
    <row r="152" spans="1:30" ht="12.75">
      <c r="A152" s="1" t="s">
        <v>137</v>
      </c>
      <c r="B152" s="1" t="s">
        <v>35</v>
      </c>
      <c r="F152" s="5">
        <f aca="true" t="shared" si="36" ref="F152:AD152">F151*F59</f>
        <v>109146.38920676128</v>
      </c>
      <c r="G152" s="5">
        <f t="shared" si="36"/>
        <v>99035.06771064692</v>
      </c>
      <c r="H152" s="5">
        <f t="shared" si="36"/>
        <v>84244.18034806181</v>
      </c>
      <c r="I152" s="5">
        <f t="shared" si="36"/>
        <v>63699.83290051448</v>
      </c>
      <c r="J152" s="5">
        <f t="shared" si="36"/>
        <v>72248.35047576354</v>
      </c>
      <c r="K152" s="5">
        <f t="shared" si="36"/>
        <v>81171.02175952034</v>
      </c>
      <c r="L152" s="5">
        <f t="shared" si="36"/>
        <v>91195.6429468211</v>
      </c>
      <c r="M152" s="5">
        <f t="shared" si="36"/>
        <v>102458.30485075351</v>
      </c>
      <c r="N152" s="5">
        <f t="shared" si="36"/>
        <v>115111.9054998216</v>
      </c>
      <c r="O152" s="5">
        <f t="shared" si="36"/>
        <v>129328.22582904954</v>
      </c>
      <c r="P152" s="5">
        <f t="shared" si="36"/>
        <v>143916.4497025664</v>
      </c>
      <c r="Q152" s="5">
        <f t="shared" si="36"/>
        <v>160150.22522901592</v>
      </c>
      <c r="R152" s="5">
        <f t="shared" si="36"/>
        <v>178215.17063484888</v>
      </c>
      <c r="S152" s="5">
        <f t="shared" si="36"/>
        <v>198317.8418824599</v>
      </c>
      <c r="T152" s="5">
        <f t="shared" si="36"/>
        <v>220688.09444680135</v>
      </c>
      <c r="U152" s="5">
        <f t="shared" si="36"/>
        <v>243220.3488898198</v>
      </c>
      <c r="V152" s="5">
        <f t="shared" si="36"/>
        <v>268053.14651147043</v>
      </c>
      <c r="W152" s="5">
        <f t="shared" si="36"/>
        <v>295421.37277029164</v>
      </c>
      <c r="X152" s="5">
        <f t="shared" si="36"/>
        <v>325583.89493013837</v>
      </c>
      <c r="Y152" s="5">
        <f t="shared" si="36"/>
        <v>358826.01060250564</v>
      </c>
      <c r="Z152" s="5">
        <f t="shared" si="36"/>
        <v>395462.14628502144</v>
      </c>
      <c r="AA152" s="5">
        <f t="shared" si="36"/>
        <v>435838.83142072224</v>
      </c>
      <c r="AB152" s="5">
        <f t="shared" si="36"/>
        <v>480337.9761087781</v>
      </c>
      <c r="AC152" s="5">
        <f t="shared" si="36"/>
        <v>529380.4834694843</v>
      </c>
      <c r="AD152" s="5">
        <f t="shared" si="36"/>
        <v>583430.2308317189</v>
      </c>
    </row>
    <row r="153" spans="1:30" ht="12.75">
      <c r="A153" s="1" t="s">
        <v>136</v>
      </c>
      <c r="B153" s="1" t="s">
        <v>35</v>
      </c>
      <c r="F153" s="5">
        <f aca="true" t="shared" si="37" ref="F153:Z153">F151-F152</f>
        <v>109146.38920676128</v>
      </c>
      <c r="G153" s="5">
        <f t="shared" si="37"/>
        <v>148552.60156597037</v>
      </c>
      <c r="H153" s="5">
        <f t="shared" si="37"/>
        <v>196569.75414547758</v>
      </c>
      <c r="I153" s="5">
        <f t="shared" si="37"/>
        <v>254799.3316020579</v>
      </c>
      <c r="J153" s="5">
        <f t="shared" si="37"/>
        <v>288993.40190305415</v>
      </c>
      <c r="K153" s="5">
        <f t="shared" si="37"/>
        <v>324684.0870380813</v>
      </c>
      <c r="L153" s="5">
        <f t="shared" si="37"/>
        <v>364782.57178728434</v>
      </c>
      <c r="M153" s="5">
        <f t="shared" si="37"/>
        <v>409833.21940301405</v>
      </c>
      <c r="N153" s="5">
        <f t="shared" si="37"/>
        <v>460447.6219992864</v>
      </c>
      <c r="O153" s="5">
        <f t="shared" si="37"/>
        <v>517312.9033161981</v>
      </c>
      <c r="P153" s="5">
        <f t="shared" si="37"/>
        <v>575665.7988102656</v>
      </c>
      <c r="Q153" s="5">
        <f t="shared" si="37"/>
        <v>640600.9009160636</v>
      </c>
      <c r="R153" s="5">
        <f t="shared" si="37"/>
        <v>712860.6825393954</v>
      </c>
      <c r="S153" s="5">
        <f t="shared" si="37"/>
        <v>793271.3675298395</v>
      </c>
      <c r="T153" s="5">
        <f t="shared" si="37"/>
        <v>882752.3777872054</v>
      </c>
      <c r="U153" s="5">
        <f t="shared" si="37"/>
        <v>972881.3955592792</v>
      </c>
      <c r="V153" s="5">
        <f t="shared" si="37"/>
        <v>1072212.5860458817</v>
      </c>
      <c r="W153" s="5">
        <f t="shared" si="37"/>
        <v>1181685.4910811665</v>
      </c>
      <c r="X153" s="5">
        <f t="shared" si="37"/>
        <v>1302335.5797205535</v>
      </c>
      <c r="Y153" s="5">
        <f t="shared" si="37"/>
        <v>1435304.0424100223</v>
      </c>
      <c r="Z153" s="5">
        <f t="shared" si="37"/>
        <v>1581848.5851400858</v>
      </c>
      <c r="AA153" s="5">
        <f>AA151-AA152</f>
        <v>1743355.325682889</v>
      </c>
      <c r="AB153" s="5">
        <f>AB151-AB152</f>
        <v>1921351.9044351124</v>
      </c>
      <c r="AC153" s="5">
        <f>AC151-AC152</f>
        <v>2117521.933877937</v>
      </c>
      <c r="AD153" s="5">
        <f>AD151-AD152</f>
        <v>2333720.923326875</v>
      </c>
    </row>
    <row r="154" spans="6:30" ht="12.75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6" ht="12.75">
      <c r="A155" s="3" t="s">
        <v>108</v>
      </c>
      <c r="F155" s="5"/>
    </row>
    <row r="156" spans="1:30" ht="12.75">
      <c r="A156" s="1" t="s">
        <v>109</v>
      </c>
      <c r="B156" s="1" t="s">
        <v>35</v>
      </c>
      <c r="F156" s="5">
        <f aca="true" t="shared" si="38" ref="F156:AD156">F$153*$C60</f>
        <v>21829.277841352257</v>
      </c>
      <c r="G156" s="5">
        <f t="shared" si="38"/>
        <v>29710.520313194076</v>
      </c>
      <c r="H156" s="5">
        <f t="shared" si="38"/>
        <v>39313.95082909552</v>
      </c>
      <c r="I156" s="5">
        <f t="shared" si="38"/>
        <v>50959.86632041159</v>
      </c>
      <c r="J156" s="5">
        <f t="shared" si="38"/>
        <v>57798.68038061084</v>
      </c>
      <c r="K156" s="5">
        <f t="shared" si="38"/>
        <v>64936.81740761627</v>
      </c>
      <c r="L156" s="5">
        <f t="shared" si="38"/>
        <v>72956.51435745686</v>
      </c>
      <c r="M156" s="5">
        <f t="shared" si="38"/>
        <v>81966.64388060282</v>
      </c>
      <c r="N156" s="5">
        <f t="shared" si="38"/>
        <v>92089.52439985728</v>
      </c>
      <c r="O156" s="5">
        <f t="shared" si="38"/>
        <v>103462.58066323963</v>
      </c>
      <c r="P156" s="5">
        <f t="shared" si="38"/>
        <v>115133.15976205312</v>
      </c>
      <c r="Q156" s="5">
        <f t="shared" si="38"/>
        <v>128120.18018321272</v>
      </c>
      <c r="R156" s="5">
        <f t="shared" si="38"/>
        <v>142572.1365078791</v>
      </c>
      <c r="S156" s="5">
        <f t="shared" si="38"/>
        <v>158654.27350596793</v>
      </c>
      <c r="T156" s="5">
        <f t="shared" si="38"/>
        <v>176550.4755574411</v>
      </c>
      <c r="U156" s="5">
        <f t="shared" si="38"/>
        <v>194576.27911185587</v>
      </c>
      <c r="V156" s="5">
        <f t="shared" si="38"/>
        <v>214442.51720917635</v>
      </c>
      <c r="W156" s="5">
        <f t="shared" si="38"/>
        <v>236337.0982162333</v>
      </c>
      <c r="X156" s="5">
        <f t="shared" si="38"/>
        <v>260467.1159441107</v>
      </c>
      <c r="Y156" s="5">
        <f t="shared" si="38"/>
        <v>287060.8084820045</v>
      </c>
      <c r="Z156" s="5">
        <f t="shared" si="38"/>
        <v>316369.71702801716</v>
      </c>
      <c r="AA156" s="5">
        <f t="shared" si="38"/>
        <v>348671.0651365778</v>
      </c>
      <c r="AB156" s="5">
        <f t="shared" si="38"/>
        <v>384270.3808870225</v>
      </c>
      <c r="AC156" s="5">
        <f t="shared" si="38"/>
        <v>423504.38677558745</v>
      </c>
      <c r="AD156" s="5">
        <f t="shared" si="38"/>
        <v>466744.18466537504</v>
      </c>
    </row>
    <row r="157" spans="1:30" ht="12.75">
      <c r="A157" s="1" t="s">
        <v>110</v>
      </c>
      <c r="B157" s="1" t="s">
        <v>35</v>
      </c>
      <c r="F157" s="5">
        <f aca="true" t="shared" si="39" ref="F157:AD157">F$153*$C61</f>
        <v>6548.783352405676</v>
      </c>
      <c r="G157" s="5">
        <f t="shared" si="39"/>
        <v>8913.156093958221</v>
      </c>
      <c r="H157" s="5">
        <f t="shared" si="39"/>
        <v>11794.185248728654</v>
      </c>
      <c r="I157" s="5">
        <f t="shared" si="39"/>
        <v>15287.959896123473</v>
      </c>
      <c r="J157" s="5">
        <f t="shared" si="39"/>
        <v>17339.60411418325</v>
      </c>
      <c r="K157" s="5">
        <f t="shared" si="39"/>
        <v>19481.04522228488</v>
      </c>
      <c r="L157" s="5">
        <f t="shared" si="39"/>
        <v>21886.954307237058</v>
      </c>
      <c r="M157" s="5">
        <f t="shared" si="39"/>
        <v>24589.993164180843</v>
      </c>
      <c r="N157" s="5">
        <f t="shared" si="39"/>
        <v>27626.857319957184</v>
      </c>
      <c r="O157" s="5">
        <f t="shared" si="39"/>
        <v>31038.774198971885</v>
      </c>
      <c r="P157" s="5">
        <f t="shared" si="39"/>
        <v>34539.94792861593</v>
      </c>
      <c r="Q157" s="5">
        <f t="shared" si="39"/>
        <v>38436.05405496381</v>
      </c>
      <c r="R157" s="5">
        <f t="shared" si="39"/>
        <v>42771.64095236372</v>
      </c>
      <c r="S157" s="5">
        <f t="shared" si="39"/>
        <v>47596.28205179037</v>
      </c>
      <c r="T157" s="5">
        <f t="shared" si="39"/>
        <v>52965.14266723232</v>
      </c>
      <c r="U157" s="5">
        <f t="shared" si="39"/>
        <v>58372.88373355675</v>
      </c>
      <c r="V157" s="5">
        <f t="shared" si="39"/>
        <v>64332.7551627529</v>
      </c>
      <c r="W157" s="5">
        <f t="shared" si="39"/>
        <v>70901.12946486998</v>
      </c>
      <c r="X157" s="5">
        <f t="shared" si="39"/>
        <v>78140.13478323321</v>
      </c>
      <c r="Y157" s="5">
        <f t="shared" si="39"/>
        <v>86118.24254460134</v>
      </c>
      <c r="Z157" s="5">
        <f t="shared" si="39"/>
        <v>94910.91510840514</v>
      </c>
      <c r="AA157" s="5">
        <f t="shared" si="39"/>
        <v>104601.31954097333</v>
      </c>
      <c r="AB157" s="5">
        <f t="shared" si="39"/>
        <v>115281.11426610674</v>
      </c>
      <c r="AC157" s="5">
        <f t="shared" si="39"/>
        <v>127051.31603267622</v>
      </c>
      <c r="AD157" s="5">
        <f t="shared" si="39"/>
        <v>140023.2553996125</v>
      </c>
    </row>
    <row r="158" spans="1:30" ht="12.75">
      <c r="A158" s="1" t="s">
        <v>111</v>
      </c>
      <c r="B158" s="1" t="s">
        <v>35</v>
      </c>
      <c r="F158" s="5">
        <f aca="true" t="shared" si="40" ref="F158:AD158">IF(F2-2&gt;$C$48,0,SUM($C$115:$E$118)/$C$48)</f>
        <v>16136.622109122769</v>
      </c>
      <c r="G158" s="5">
        <f t="shared" si="40"/>
        <v>16136.622109122769</v>
      </c>
      <c r="H158" s="5">
        <f t="shared" si="40"/>
        <v>16136.622109122769</v>
      </c>
      <c r="I158" s="5">
        <f t="shared" si="40"/>
        <v>0</v>
      </c>
      <c r="J158" s="5">
        <f t="shared" si="40"/>
        <v>0</v>
      </c>
      <c r="K158" s="5">
        <f t="shared" si="40"/>
        <v>0</v>
      </c>
      <c r="L158" s="5">
        <f t="shared" si="40"/>
        <v>0</v>
      </c>
      <c r="M158" s="5">
        <f t="shared" si="40"/>
        <v>0</v>
      </c>
      <c r="N158" s="5">
        <f t="shared" si="40"/>
        <v>0</v>
      </c>
      <c r="O158" s="5">
        <f t="shared" si="40"/>
        <v>0</v>
      </c>
      <c r="P158" s="5">
        <f t="shared" si="40"/>
        <v>0</v>
      </c>
      <c r="Q158" s="5">
        <f t="shared" si="40"/>
        <v>0</v>
      </c>
      <c r="R158" s="5">
        <f t="shared" si="40"/>
        <v>0</v>
      </c>
      <c r="S158" s="5">
        <f t="shared" si="40"/>
        <v>0</v>
      </c>
      <c r="T158" s="5">
        <f t="shared" si="40"/>
        <v>0</v>
      </c>
      <c r="U158" s="5">
        <f t="shared" si="40"/>
        <v>0</v>
      </c>
      <c r="V158" s="5">
        <f t="shared" si="40"/>
        <v>0</v>
      </c>
      <c r="W158" s="5">
        <f t="shared" si="40"/>
        <v>0</v>
      </c>
      <c r="X158" s="5">
        <f t="shared" si="40"/>
        <v>0</v>
      </c>
      <c r="Y158" s="5">
        <f t="shared" si="40"/>
        <v>0</v>
      </c>
      <c r="Z158" s="5">
        <f t="shared" si="40"/>
        <v>0</v>
      </c>
      <c r="AA158" s="5">
        <f t="shared" si="40"/>
        <v>0</v>
      </c>
      <c r="AB158" s="5">
        <f t="shared" si="40"/>
        <v>0</v>
      </c>
      <c r="AC158" s="5">
        <f t="shared" si="40"/>
        <v>0</v>
      </c>
      <c r="AD158" s="5">
        <f t="shared" si="40"/>
        <v>0</v>
      </c>
    </row>
    <row r="159" ht="12.75">
      <c r="F159" s="5"/>
    </row>
    <row r="160" spans="1:30" ht="12.75">
      <c r="A160" s="1" t="s">
        <v>112</v>
      </c>
      <c r="B160" s="1" t="s">
        <v>35</v>
      </c>
      <c r="F160" s="5">
        <f>F153-F156-F157-F158</f>
        <v>64631.70590388057</v>
      </c>
      <c r="G160" s="5">
        <f aca="true" t="shared" si="41" ref="G160:AD160">G153-G156-G157-G158</f>
        <v>93792.3030496953</v>
      </c>
      <c r="H160" s="5">
        <f t="shared" si="41"/>
        <v>129324.99595853062</v>
      </c>
      <c r="I160" s="5">
        <f t="shared" si="41"/>
        <v>188551.50538552285</v>
      </c>
      <c r="J160" s="5">
        <f t="shared" si="41"/>
        <v>213855.11740826006</v>
      </c>
      <c r="K160" s="5">
        <f t="shared" si="41"/>
        <v>240266.22440818016</v>
      </c>
      <c r="L160" s="5">
        <f t="shared" si="41"/>
        <v>269939.1031225904</v>
      </c>
      <c r="M160" s="5">
        <f t="shared" si="41"/>
        <v>303276.58235823043</v>
      </c>
      <c r="N160" s="5">
        <f t="shared" si="41"/>
        <v>340731.24027947197</v>
      </c>
      <c r="O160" s="5">
        <f t="shared" si="41"/>
        <v>382811.5484539866</v>
      </c>
      <c r="P160" s="5">
        <f t="shared" si="41"/>
        <v>425992.6911195966</v>
      </c>
      <c r="Q160" s="5">
        <f t="shared" si="41"/>
        <v>474044.666677887</v>
      </c>
      <c r="R160" s="5">
        <f t="shared" si="41"/>
        <v>527516.9050791526</v>
      </c>
      <c r="S160" s="5">
        <f t="shared" si="41"/>
        <v>587020.8119720812</v>
      </c>
      <c r="T160" s="5">
        <f t="shared" si="41"/>
        <v>653236.759562532</v>
      </c>
      <c r="U160" s="5">
        <f t="shared" si="41"/>
        <v>719932.2327138666</v>
      </c>
      <c r="V160" s="5">
        <f t="shared" si="41"/>
        <v>793437.3136739525</v>
      </c>
      <c r="W160" s="5">
        <f t="shared" si="41"/>
        <v>874447.2634000633</v>
      </c>
      <c r="X160" s="5">
        <f t="shared" si="41"/>
        <v>963728.3289932096</v>
      </c>
      <c r="Y160" s="5">
        <f t="shared" si="41"/>
        <v>1062124.9913834163</v>
      </c>
      <c r="Z160" s="5">
        <f t="shared" si="41"/>
        <v>1170567.9530036636</v>
      </c>
      <c r="AA160" s="5">
        <f t="shared" si="41"/>
        <v>1290082.941005338</v>
      </c>
      <c r="AB160" s="5">
        <f t="shared" si="41"/>
        <v>1421800.409281983</v>
      </c>
      <c r="AC160" s="5">
        <f t="shared" si="41"/>
        <v>1566966.2310696733</v>
      </c>
      <c r="AD160" s="5">
        <f t="shared" si="41"/>
        <v>1726953.4832618877</v>
      </c>
    </row>
    <row r="161" spans="6:30" ht="12.75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ht="12.75">
      <c r="A162" s="1" t="s">
        <v>113</v>
      </c>
      <c r="B162" s="1" t="s">
        <v>35</v>
      </c>
      <c r="F162" s="5">
        <f aca="true" t="shared" si="42" ref="F162:AD162">F$160*$C62</f>
        <v>19389.51177116417</v>
      </c>
      <c r="G162" s="5">
        <f t="shared" si="42"/>
        <v>28137.690914908588</v>
      </c>
      <c r="H162" s="5">
        <f t="shared" si="42"/>
        <v>38797.49878755918</v>
      </c>
      <c r="I162" s="5">
        <f t="shared" si="42"/>
        <v>56565.45161565685</v>
      </c>
      <c r="J162" s="5">
        <f t="shared" si="42"/>
        <v>64156.535222478014</v>
      </c>
      <c r="K162" s="5">
        <f t="shared" si="42"/>
        <v>72079.86732245404</v>
      </c>
      <c r="L162" s="5">
        <f t="shared" si="42"/>
        <v>80981.73093677712</v>
      </c>
      <c r="M162" s="5">
        <f t="shared" si="42"/>
        <v>90982.97470746913</v>
      </c>
      <c r="N162" s="5">
        <f t="shared" si="42"/>
        <v>102219.37208384159</v>
      </c>
      <c r="O162" s="5">
        <f t="shared" si="42"/>
        <v>114843.46453619597</v>
      </c>
      <c r="P162" s="5">
        <f t="shared" si="42"/>
        <v>127797.80733587897</v>
      </c>
      <c r="Q162" s="5">
        <f t="shared" si="42"/>
        <v>142213.4000033661</v>
      </c>
      <c r="R162" s="5">
        <f t="shared" si="42"/>
        <v>158255.07152374575</v>
      </c>
      <c r="S162" s="5">
        <f t="shared" si="42"/>
        <v>176106.24359162434</v>
      </c>
      <c r="T162" s="5">
        <f t="shared" si="42"/>
        <v>195971.0278687596</v>
      </c>
      <c r="U162" s="5">
        <f t="shared" si="42"/>
        <v>215979.66981415998</v>
      </c>
      <c r="V162" s="5">
        <f t="shared" si="42"/>
        <v>238031.19410218572</v>
      </c>
      <c r="W162" s="5">
        <f t="shared" si="42"/>
        <v>262334.17902001896</v>
      </c>
      <c r="X162" s="5">
        <f t="shared" si="42"/>
        <v>289118.4986979629</v>
      </c>
      <c r="Y162" s="5">
        <f t="shared" si="42"/>
        <v>318637.4974150249</v>
      </c>
      <c r="Z162" s="5">
        <f t="shared" si="42"/>
        <v>351170.3859010991</v>
      </c>
      <c r="AA162" s="5">
        <f t="shared" si="42"/>
        <v>387024.8823016014</v>
      </c>
      <c r="AB162" s="5">
        <f t="shared" si="42"/>
        <v>426540.1227845949</v>
      </c>
      <c r="AC162" s="5">
        <f t="shared" si="42"/>
        <v>470089.869320902</v>
      </c>
      <c r="AD162" s="5">
        <f t="shared" si="42"/>
        <v>518086.0449785663</v>
      </c>
    </row>
    <row r="163" spans="1:30" ht="12.75">
      <c r="A163" s="1" t="s">
        <v>114</v>
      </c>
      <c r="B163" s="1" t="s">
        <v>35</v>
      </c>
      <c r="F163" s="5">
        <f aca="true" t="shared" si="43" ref="F163:AD163">F$160*$C63</f>
        <v>5170.536472310446</v>
      </c>
      <c r="G163" s="5">
        <f t="shared" si="43"/>
        <v>7503.3842439756245</v>
      </c>
      <c r="H163" s="5">
        <f t="shared" si="43"/>
        <v>10345.99967668245</v>
      </c>
      <c r="I163" s="5">
        <f t="shared" si="43"/>
        <v>15084.120430841827</v>
      </c>
      <c r="J163" s="5">
        <f t="shared" si="43"/>
        <v>17108.409392660804</v>
      </c>
      <c r="K163" s="5">
        <f t="shared" si="43"/>
        <v>19221.297952654415</v>
      </c>
      <c r="L163" s="5">
        <f t="shared" si="43"/>
        <v>21595.128249807232</v>
      </c>
      <c r="M163" s="5">
        <f t="shared" si="43"/>
        <v>24262.126588658433</v>
      </c>
      <c r="N163" s="5">
        <f t="shared" si="43"/>
        <v>27258.499222357757</v>
      </c>
      <c r="O163" s="5">
        <f t="shared" si="43"/>
        <v>30624.923876318928</v>
      </c>
      <c r="P163" s="5">
        <f t="shared" si="43"/>
        <v>34079.415289567725</v>
      </c>
      <c r="Q163" s="5">
        <f t="shared" si="43"/>
        <v>37923.57333423096</v>
      </c>
      <c r="R163" s="5">
        <f t="shared" si="43"/>
        <v>42201.352406332204</v>
      </c>
      <c r="S163" s="5">
        <f t="shared" si="43"/>
        <v>46961.664957766494</v>
      </c>
      <c r="T163" s="5">
        <f t="shared" si="43"/>
        <v>52258.94076500256</v>
      </c>
      <c r="U163" s="5">
        <f t="shared" si="43"/>
        <v>57594.578617109335</v>
      </c>
      <c r="V163" s="5">
        <f t="shared" si="43"/>
        <v>63474.9850939162</v>
      </c>
      <c r="W163" s="5">
        <f t="shared" si="43"/>
        <v>69955.78107200506</v>
      </c>
      <c r="X163" s="5">
        <f t="shared" si="43"/>
        <v>77098.26631945677</v>
      </c>
      <c r="Y163" s="5">
        <f t="shared" si="43"/>
        <v>84969.99931067332</v>
      </c>
      <c r="Z163" s="5">
        <f t="shared" si="43"/>
        <v>93645.43624029309</v>
      </c>
      <c r="AA163" s="5">
        <f t="shared" si="43"/>
        <v>103206.63528042704</v>
      </c>
      <c r="AB163" s="5">
        <f t="shared" si="43"/>
        <v>113744.03274255864</v>
      </c>
      <c r="AC163" s="5">
        <f t="shared" si="43"/>
        <v>125357.29848557386</v>
      </c>
      <c r="AD163" s="5">
        <f t="shared" si="43"/>
        <v>138156.278660951</v>
      </c>
    </row>
    <row r="164" spans="1:30" ht="12.75">
      <c r="A164" s="1" t="s">
        <v>115</v>
      </c>
      <c r="F164" s="5">
        <f>$C$8*$C$7/10^6*F70</f>
        <v>4900.1720000000005</v>
      </c>
      <c r="G164" s="5">
        <f aca="true" t="shared" si="44" ref="G164:AD164">$C$8*$C$7/10^6*G70</f>
        <v>5243.184040000001</v>
      </c>
      <c r="H164" s="5">
        <f t="shared" si="44"/>
        <v>5610.206922800002</v>
      </c>
      <c r="I164" s="5">
        <f t="shared" si="44"/>
        <v>6002.921407396002</v>
      </c>
      <c r="J164" s="5">
        <f t="shared" si="44"/>
        <v>6423.125905913723</v>
      </c>
      <c r="K164" s="5">
        <f t="shared" si="44"/>
        <v>6872.744719327684</v>
      </c>
      <c r="L164" s="5">
        <f t="shared" si="44"/>
        <v>7353.836849680622</v>
      </c>
      <c r="M164" s="5">
        <f t="shared" si="44"/>
        <v>7868.605429158266</v>
      </c>
      <c r="N164" s="5">
        <f t="shared" si="44"/>
        <v>8419.407809199345</v>
      </c>
      <c r="O164" s="5">
        <f t="shared" si="44"/>
        <v>9008.7663558433</v>
      </c>
      <c r="P164" s="5">
        <f t="shared" si="44"/>
        <v>9639.380000752331</v>
      </c>
      <c r="Q164" s="5">
        <f t="shared" si="44"/>
        <v>10314.136600804995</v>
      </c>
      <c r="R164" s="5">
        <f t="shared" si="44"/>
        <v>11036.126162861345</v>
      </c>
      <c r="S164" s="5">
        <f t="shared" si="44"/>
        <v>11808.65499426164</v>
      </c>
      <c r="T164" s="5">
        <f t="shared" si="44"/>
        <v>12635.260843859956</v>
      </c>
      <c r="U164" s="5">
        <f t="shared" si="44"/>
        <v>13519.729102930154</v>
      </c>
      <c r="V164" s="5">
        <f t="shared" si="44"/>
        <v>14466.110140135268</v>
      </c>
      <c r="W164" s="5">
        <f t="shared" si="44"/>
        <v>15478.737849944737</v>
      </c>
      <c r="X164" s="5">
        <f t="shared" si="44"/>
        <v>16562.24949944087</v>
      </c>
      <c r="Y164" s="5">
        <f t="shared" si="44"/>
        <v>17721.606964401733</v>
      </c>
      <c r="Z164" s="5">
        <f t="shared" si="44"/>
        <v>18962.119451909857</v>
      </c>
      <c r="AA164" s="5">
        <f t="shared" si="44"/>
        <v>20289.46781354355</v>
      </c>
      <c r="AB164" s="5">
        <f t="shared" si="44"/>
        <v>21709.7305604916</v>
      </c>
      <c r="AC164" s="5">
        <f t="shared" si="44"/>
        <v>23229.411699726013</v>
      </c>
      <c r="AD164" s="5">
        <f t="shared" si="44"/>
        <v>24855.47051870684</v>
      </c>
    </row>
    <row r="165" ht="12.75">
      <c r="F165" s="5"/>
    </row>
    <row r="166" spans="1:30" ht="12.75">
      <c r="A166" s="1" t="s">
        <v>3</v>
      </c>
      <c r="F166" s="5">
        <f aca="true" t="shared" si="45" ref="F166:AD166">F160-F162-F163-F164</f>
        <v>35171.48566040595</v>
      </c>
      <c r="G166" s="5">
        <f t="shared" si="45"/>
        <v>52908.04385081109</v>
      </c>
      <c r="H166" s="5">
        <f t="shared" si="45"/>
        <v>74571.290571489</v>
      </c>
      <c r="I166" s="5">
        <f t="shared" si="45"/>
        <v>110899.01193162818</v>
      </c>
      <c r="J166" s="5">
        <f t="shared" si="45"/>
        <v>126167.04688720753</v>
      </c>
      <c r="K166" s="5">
        <f t="shared" si="45"/>
        <v>142092.314413744</v>
      </c>
      <c r="L166" s="5">
        <f t="shared" si="45"/>
        <v>160008.4070863254</v>
      </c>
      <c r="M166" s="5">
        <f t="shared" si="45"/>
        <v>180162.87563294463</v>
      </c>
      <c r="N166" s="5">
        <f t="shared" si="45"/>
        <v>202833.96116407326</v>
      </c>
      <c r="O166" s="5">
        <f t="shared" si="45"/>
        <v>228334.39368562837</v>
      </c>
      <c r="P166" s="5">
        <f t="shared" si="45"/>
        <v>254476.08849339758</v>
      </c>
      <c r="Q166" s="5">
        <f t="shared" si="45"/>
        <v>283593.55673948495</v>
      </c>
      <c r="R166" s="5">
        <f t="shared" si="45"/>
        <v>316024.3549862132</v>
      </c>
      <c r="S166" s="5">
        <f t="shared" si="45"/>
        <v>352144.2484284288</v>
      </c>
      <c r="T166" s="5">
        <f t="shared" si="45"/>
        <v>392371.5300849099</v>
      </c>
      <c r="U166" s="5">
        <f t="shared" si="45"/>
        <v>432838.25517966715</v>
      </c>
      <c r="V166" s="5">
        <f t="shared" si="45"/>
        <v>477465.02433771535</v>
      </c>
      <c r="W166" s="5">
        <f t="shared" si="45"/>
        <v>526678.5654580946</v>
      </c>
      <c r="X166" s="5">
        <f t="shared" si="45"/>
        <v>580949.3144763492</v>
      </c>
      <c r="Y166" s="5">
        <f t="shared" si="45"/>
        <v>640795.8876933163</v>
      </c>
      <c r="Z166" s="5">
        <f t="shared" si="45"/>
        <v>706790.0114103615</v>
      </c>
      <c r="AA166" s="5">
        <f t="shared" si="45"/>
        <v>779561.9556097661</v>
      </c>
      <c r="AB166" s="5">
        <f t="shared" si="45"/>
        <v>859806.523194338</v>
      </c>
      <c r="AC166" s="5">
        <f t="shared" si="45"/>
        <v>948289.6515634714</v>
      </c>
      <c r="AD166" s="5">
        <f t="shared" si="45"/>
        <v>1045855.6891036637</v>
      </c>
    </row>
    <row r="167" spans="1:30" ht="12.75">
      <c r="A167" s="1" t="s">
        <v>116</v>
      </c>
      <c r="F167" s="5">
        <f>-F144</f>
        <v>-28894.0478809504</v>
      </c>
      <c r="G167" s="5">
        <f aca="true" t="shared" si="46" ref="G167:Z167">-G144</f>
        <v>-28894.0478809504</v>
      </c>
      <c r="H167" s="5">
        <f t="shared" si="46"/>
        <v>-28894.0478809504</v>
      </c>
      <c r="I167" s="5">
        <f t="shared" si="46"/>
        <v>-28894.0478809504</v>
      </c>
      <c r="J167" s="5">
        <f t="shared" si="46"/>
        <v>-28894.0478809504</v>
      </c>
      <c r="K167" s="5">
        <f t="shared" si="46"/>
        <v>-17711.4868107424</v>
      </c>
      <c r="L167" s="5">
        <f t="shared" si="46"/>
        <v>-17711.4868107424</v>
      </c>
      <c r="M167" s="5">
        <f t="shared" si="46"/>
        <v>-17711.4868107424</v>
      </c>
      <c r="N167" s="5">
        <f t="shared" si="46"/>
        <v>-17711.4868107424</v>
      </c>
      <c r="O167" s="5">
        <f t="shared" si="46"/>
        <v>-17711.4868107424</v>
      </c>
      <c r="P167" s="5">
        <f t="shared" si="46"/>
        <v>-17711.4868107424</v>
      </c>
      <c r="Q167" s="5">
        <f t="shared" si="46"/>
        <v>-17711.4868107424</v>
      </c>
      <c r="R167" s="5">
        <f t="shared" si="46"/>
        <v>-17711.4868107424</v>
      </c>
      <c r="S167" s="5">
        <f t="shared" si="46"/>
        <v>-17711.4868107424</v>
      </c>
      <c r="T167" s="5">
        <f t="shared" si="46"/>
        <v>-17711.4868107424</v>
      </c>
      <c r="U167" s="5">
        <f t="shared" si="46"/>
        <v>-17711.4868107424</v>
      </c>
      <c r="V167" s="5">
        <f t="shared" si="46"/>
        <v>-17711.4868107424</v>
      </c>
      <c r="W167" s="5">
        <f t="shared" si="46"/>
        <v>-17711.4868107424</v>
      </c>
      <c r="X167" s="5">
        <f t="shared" si="46"/>
        <v>-17711.4868107424</v>
      </c>
      <c r="Y167" s="5">
        <f t="shared" si="46"/>
        <v>-17711.4868107424</v>
      </c>
      <c r="Z167" s="5">
        <f t="shared" si="46"/>
        <v>-17711.4868107424</v>
      </c>
      <c r="AA167" s="5">
        <f>-AA144</f>
        <v>-17711.4868107424</v>
      </c>
      <c r="AB167" s="5">
        <f>-AB144</f>
        <v>-17711.4868107424</v>
      </c>
      <c r="AC167" s="5">
        <f>-AC144</f>
        <v>-17711.4868107424</v>
      </c>
      <c r="AD167" s="5">
        <f>-AD144</f>
        <v>-17711.4868107424</v>
      </c>
    </row>
    <row r="168" spans="1:30" ht="12.75">
      <c r="A168" s="1" t="s">
        <v>117</v>
      </c>
      <c r="F168" s="5">
        <f>F166+F167</f>
        <v>6277.437779455555</v>
      </c>
      <c r="G168" s="5">
        <f aca="true" t="shared" si="47" ref="G168:Z168">G166+G167</f>
        <v>24013.99596986069</v>
      </c>
      <c r="H168" s="5">
        <f t="shared" si="47"/>
        <v>45677.242690538595</v>
      </c>
      <c r="I168" s="5">
        <f t="shared" si="47"/>
        <v>82004.96405067778</v>
      </c>
      <c r="J168" s="5">
        <f t="shared" si="47"/>
        <v>97272.99900625713</v>
      </c>
      <c r="K168" s="5">
        <f t="shared" si="47"/>
        <v>124380.8276030016</v>
      </c>
      <c r="L168" s="5">
        <f t="shared" si="47"/>
        <v>142296.920275583</v>
      </c>
      <c r="M168" s="5">
        <f t="shared" si="47"/>
        <v>162451.38882220222</v>
      </c>
      <c r="N168" s="5">
        <f t="shared" si="47"/>
        <v>185122.47435333085</v>
      </c>
      <c r="O168" s="5">
        <f t="shared" si="47"/>
        <v>210622.90687488596</v>
      </c>
      <c r="P168" s="5">
        <f t="shared" si="47"/>
        <v>236764.60168265516</v>
      </c>
      <c r="Q168" s="5">
        <f t="shared" si="47"/>
        <v>265882.06992874254</v>
      </c>
      <c r="R168" s="5">
        <f t="shared" si="47"/>
        <v>298312.8681754708</v>
      </c>
      <c r="S168" s="5">
        <f t="shared" si="47"/>
        <v>334432.76161768637</v>
      </c>
      <c r="T168" s="5">
        <f t="shared" si="47"/>
        <v>374660.04327416746</v>
      </c>
      <c r="U168" s="5">
        <f t="shared" si="47"/>
        <v>415126.76836892474</v>
      </c>
      <c r="V168" s="5">
        <f t="shared" si="47"/>
        <v>459753.53752697294</v>
      </c>
      <c r="W168" s="5">
        <f t="shared" si="47"/>
        <v>508967.0786473522</v>
      </c>
      <c r="X168" s="5">
        <f t="shared" si="47"/>
        <v>563237.8276656067</v>
      </c>
      <c r="Y168" s="5">
        <f t="shared" si="47"/>
        <v>623084.4008825739</v>
      </c>
      <c r="Z168" s="5">
        <f t="shared" si="47"/>
        <v>689078.5245996191</v>
      </c>
      <c r="AA168" s="5">
        <f>AA166+AA167</f>
        <v>761850.4687990237</v>
      </c>
      <c r="AB168" s="5">
        <f>AB166+AB167</f>
        <v>842095.0363835956</v>
      </c>
      <c r="AC168" s="5">
        <f>AC166+AC167</f>
        <v>930578.164752729</v>
      </c>
      <c r="AD168" s="5">
        <f>AD166+AD167</f>
        <v>1028144.2022929213</v>
      </c>
    </row>
    <row r="169" spans="1:30" ht="12.75">
      <c r="A169" s="1" t="s">
        <v>118</v>
      </c>
      <c r="F169" s="5">
        <f>-F130</f>
        <v>-40590.526267654124</v>
      </c>
      <c r="G169" s="5">
        <f aca="true" t="shared" si="48" ref="G169:Z169">-G130</f>
        <v>-40590.526267654124</v>
      </c>
      <c r="H169" s="5">
        <f t="shared" si="48"/>
        <v>-40590.526267654124</v>
      </c>
      <c r="I169" s="5">
        <f t="shared" si="48"/>
        <v>-40590.526267654124</v>
      </c>
      <c r="J169" s="5">
        <f t="shared" si="48"/>
        <v>-40590.526267654124</v>
      </c>
      <c r="K169" s="5">
        <f t="shared" si="48"/>
        <v>-36531.47364088872</v>
      </c>
      <c r="L169" s="5">
        <f t="shared" si="48"/>
        <v>-32472.421014123305</v>
      </c>
      <c r="M169" s="5">
        <f t="shared" si="48"/>
        <v>-28413.368387357892</v>
      </c>
      <c r="N169" s="5">
        <f t="shared" si="48"/>
        <v>-24354.31576059248</v>
      </c>
      <c r="O169" s="5">
        <f t="shared" si="48"/>
        <v>-20295.263133827066</v>
      </c>
      <c r="P169" s="5">
        <f t="shared" si="48"/>
        <v>-16236.210507061653</v>
      </c>
      <c r="Q169" s="5">
        <f t="shared" si="48"/>
        <v>-12177.15788029624</v>
      </c>
      <c r="R169" s="5">
        <f t="shared" si="48"/>
        <v>-8118.105253530826</v>
      </c>
      <c r="S169" s="5">
        <f t="shared" si="48"/>
        <v>-4059.052626765414</v>
      </c>
      <c r="T169" s="5">
        <f t="shared" si="48"/>
        <v>-1.6734702512621878E-12</v>
      </c>
      <c r="U169" s="5">
        <f t="shared" si="48"/>
        <v>-1.6734702512621878E-12</v>
      </c>
      <c r="V169" s="5">
        <f t="shared" si="48"/>
        <v>-1.6734702512621878E-12</v>
      </c>
      <c r="W169" s="5">
        <f t="shared" si="48"/>
        <v>-1.6734702512621878E-12</v>
      </c>
      <c r="X169" s="5">
        <f t="shared" si="48"/>
        <v>-1.6734702512621878E-12</v>
      </c>
      <c r="Y169" s="5">
        <f t="shared" si="48"/>
        <v>-1.6734702512621878E-12</v>
      </c>
      <c r="Z169" s="5">
        <f t="shared" si="48"/>
        <v>-1.6734702512621878E-12</v>
      </c>
      <c r="AA169" s="5">
        <f>-AA130</f>
        <v>-1.6734702512621878E-12</v>
      </c>
      <c r="AB169" s="5">
        <f>-AB130</f>
        <v>-1.6734702512621878E-12</v>
      </c>
      <c r="AC169" s="5">
        <f>-AC130</f>
        <v>-1.6734702512621878E-12</v>
      </c>
      <c r="AD169" s="5">
        <f>-AD130</f>
        <v>-1.6734702512621878E-12</v>
      </c>
    </row>
    <row r="170" spans="1:30" ht="12.75">
      <c r="A170" s="1" t="s">
        <v>119</v>
      </c>
      <c r="F170" s="5">
        <f>F168+F169</f>
        <v>-34313.08848819857</v>
      </c>
      <c r="G170" s="5">
        <f aca="true" t="shared" si="49" ref="G170:Z170">G168+G169</f>
        <v>-16576.530297793433</v>
      </c>
      <c r="H170" s="5">
        <f t="shared" si="49"/>
        <v>5086.71642288447</v>
      </c>
      <c r="I170" s="5">
        <f t="shared" si="49"/>
        <v>41414.437783023655</v>
      </c>
      <c r="J170" s="5">
        <f t="shared" si="49"/>
        <v>56682.472738603006</v>
      </c>
      <c r="K170" s="5">
        <f t="shared" si="49"/>
        <v>87849.35396211289</v>
      </c>
      <c r="L170" s="5">
        <f t="shared" si="49"/>
        <v>109824.49926145968</v>
      </c>
      <c r="M170" s="5">
        <f t="shared" si="49"/>
        <v>134038.02043484434</v>
      </c>
      <c r="N170" s="5">
        <f t="shared" si="49"/>
        <v>160768.1585927384</v>
      </c>
      <c r="O170" s="5">
        <f t="shared" si="49"/>
        <v>190327.64374105888</v>
      </c>
      <c r="P170" s="5">
        <f t="shared" si="49"/>
        <v>220528.3911755935</v>
      </c>
      <c r="Q170" s="5">
        <f t="shared" si="49"/>
        <v>253704.9120484463</v>
      </c>
      <c r="R170" s="5">
        <f t="shared" si="49"/>
        <v>290194.76292193995</v>
      </c>
      <c r="S170" s="5">
        <f t="shared" si="49"/>
        <v>330373.708990921</v>
      </c>
      <c r="T170" s="5">
        <f t="shared" si="49"/>
        <v>374660.04327416746</v>
      </c>
      <c r="U170" s="5">
        <f t="shared" si="49"/>
        <v>415126.76836892474</v>
      </c>
      <c r="V170" s="5">
        <f t="shared" si="49"/>
        <v>459753.53752697294</v>
      </c>
      <c r="W170" s="5">
        <f t="shared" si="49"/>
        <v>508967.0786473522</v>
      </c>
      <c r="X170" s="5">
        <f t="shared" si="49"/>
        <v>563237.8276656067</v>
      </c>
      <c r="Y170" s="5">
        <f t="shared" si="49"/>
        <v>623084.4008825739</v>
      </c>
      <c r="Z170" s="5">
        <f t="shared" si="49"/>
        <v>689078.5245996191</v>
      </c>
      <c r="AA170" s="5">
        <f>AA168+AA169</f>
        <v>761850.4687990237</v>
      </c>
      <c r="AB170" s="5">
        <f>AB168+AB169</f>
        <v>842095.0363835956</v>
      </c>
      <c r="AC170" s="5">
        <f>AC168+AC169</f>
        <v>930578.164752729</v>
      </c>
      <c r="AD170" s="5">
        <f>AD168+AD169</f>
        <v>1028144.2022929213</v>
      </c>
    </row>
    <row r="171" spans="1:30" ht="12.75">
      <c r="A171" s="1" t="s">
        <v>132</v>
      </c>
      <c r="F171" s="5">
        <f>[1]!tnct($F$170:$AD$170,F2-2,$C$66)</f>
        <v>0</v>
      </c>
      <c r="G171" s="5">
        <f>[1]!tnct($F$170:$AD$170,G2-2,$C$66)</f>
        <v>0</v>
      </c>
      <c r="H171" s="5">
        <f>[1]!tnct($F$170:$AD$170,H2-2,$C$66)</f>
        <v>0</v>
      </c>
      <c r="I171" s="5">
        <f>[1]!tnct($F$170:$AD$170,I2-2,$C$66)</f>
        <v>0</v>
      </c>
      <c r="J171" s="5">
        <f>[1]!tnct($F$170:$AD$170,J2-2,$C$66)</f>
        <v>52294.00815851913</v>
      </c>
      <c r="K171" s="5">
        <f>[1]!tnct($F$170:$AD$170,K2-2,$C$66)</f>
        <v>87849.35396211289</v>
      </c>
      <c r="L171" s="5">
        <f>[1]!tnct($F$170:$AD$170,L2-2,$C$66)</f>
        <v>109824.49926145968</v>
      </c>
      <c r="M171" s="5">
        <f>[1]!tnct($F$170:$AD$170,M2-2,$C$66)</f>
        <v>134038.02043484434</v>
      </c>
      <c r="N171" s="5">
        <f>[1]!tnct($F$170:$AD$170,N2-2,$C$66)</f>
        <v>160768.1585927384</v>
      </c>
      <c r="O171" s="5">
        <f>[1]!tnct($F$170:$AD$170,O2-2,$C$66)</f>
        <v>190327.64374105888</v>
      </c>
      <c r="P171" s="5">
        <f>[1]!tnct($F$170:$AD$170,P2-2,$C$66)</f>
        <v>220528.3911755935</v>
      </c>
      <c r="Q171" s="5">
        <f>[1]!tnct($F$170:$AD$170,Q2-2,$C$66)</f>
        <v>253704.9120484463</v>
      </c>
      <c r="R171" s="5">
        <f>[1]!tnct($F$170:$AD$170,R2-2,$C$66)</f>
        <v>290194.76292193995</v>
      </c>
      <c r="S171" s="5">
        <f>[1]!tnct($F$170:$AD$170,S2-2,$C$66)</f>
        <v>330373.708990921</v>
      </c>
      <c r="T171" s="5">
        <f>[1]!tnct($F$170:$AD$170,T2-2,$C$66)</f>
        <v>374660.04327416746</v>
      </c>
      <c r="U171" s="5">
        <f>[1]!tnct($F$170:$AD$170,U2-2,$C$66)</f>
        <v>415126.76836892474</v>
      </c>
      <c r="V171" s="5">
        <f>[1]!tnct($F$170:$AD$170,V2-2,$C$66)</f>
        <v>459753.53752697294</v>
      </c>
      <c r="W171" s="5">
        <f>[1]!tnct($F$170:$AD$170,W2-2,$C$66)</f>
        <v>508967.0786473522</v>
      </c>
      <c r="X171" s="5">
        <f>[1]!tnct($F$170:$AD$170,X2-2,$C$66)</f>
        <v>563237.8276656067</v>
      </c>
      <c r="Y171" s="5">
        <f>[1]!tnct($F$170:$AD$170,Y2-2,$C$66)</f>
        <v>623084.4008825739</v>
      </c>
      <c r="Z171" s="5">
        <f>[1]!tnct($F$170:$AD$170,Z2-2,$C$66)</f>
        <v>689078.5245996191</v>
      </c>
      <c r="AA171" s="5">
        <f>[1]!tnct($F$170:$AD$170,AA2-2,$C$66)</f>
        <v>761850.4687990237</v>
      </c>
      <c r="AB171" s="5">
        <f>[1]!tnct($F$170:$AD$170,AB2-2,$C$66)</f>
        <v>842095.0363835956</v>
      </c>
      <c r="AC171" s="5">
        <f>[1]!tnct($F$170:$AD$170,AC2-2,$C$66)</f>
        <v>930578.164752729</v>
      </c>
      <c r="AD171" s="5">
        <f>[1]!tnct($F$170:$AD$170,AD2-2,$C$66)</f>
        <v>1028144.2022929213</v>
      </c>
    </row>
    <row r="172" spans="1:30" ht="12.75">
      <c r="A172" s="1" t="s">
        <v>120</v>
      </c>
      <c r="F172" s="5">
        <f>-F171*$C$65</f>
        <v>0</v>
      </c>
      <c r="G172" s="5">
        <f aca="true" t="shared" si="50" ref="G172:AD172">-G171*$C$65</f>
        <v>0</v>
      </c>
      <c r="H172" s="5">
        <f t="shared" si="50"/>
        <v>0</v>
      </c>
      <c r="I172" s="5">
        <f t="shared" si="50"/>
        <v>0</v>
      </c>
      <c r="J172" s="5">
        <f t="shared" si="50"/>
        <v>-13073.502039629782</v>
      </c>
      <c r="K172" s="5">
        <f t="shared" si="50"/>
        <v>-21962.338490528222</v>
      </c>
      <c r="L172" s="5">
        <f t="shared" si="50"/>
        <v>-27456.12481536492</v>
      </c>
      <c r="M172" s="5">
        <f t="shared" si="50"/>
        <v>-33509.505108711084</v>
      </c>
      <c r="N172" s="5">
        <f t="shared" si="50"/>
        <v>-40192.0396481846</v>
      </c>
      <c r="O172" s="5">
        <f t="shared" si="50"/>
        <v>-47581.91093526472</v>
      </c>
      <c r="P172" s="5">
        <f t="shared" si="50"/>
        <v>-55132.09779389838</v>
      </c>
      <c r="Q172" s="5">
        <f t="shared" si="50"/>
        <v>-63426.22801211158</v>
      </c>
      <c r="R172" s="5">
        <f t="shared" si="50"/>
        <v>-72548.69073048499</v>
      </c>
      <c r="S172" s="5">
        <f t="shared" si="50"/>
        <v>-82593.42724773024</v>
      </c>
      <c r="T172" s="5">
        <f t="shared" si="50"/>
        <v>-93665.01081854186</v>
      </c>
      <c r="U172" s="5">
        <f t="shared" si="50"/>
        <v>-103781.69209223118</v>
      </c>
      <c r="V172" s="5">
        <f t="shared" si="50"/>
        <v>-114938.38438174324</v>
      </c>
      <c r="W172" s="5">
        <f t="shared" si="50"/>
        <v>-127241.76966183804</v>
      </c>
      <c r="X172" s="5">
        <f t="shared" si="50"/>
        <v>-140809.4569164017</v>
      </c>
      <c r="Y172" s="5">
        <f t="shared" si="50"/>
        <v>-155771.10022064348</v>
      </c>
      <c r="Z172" s="5">
        <f t="shared" si="50"/>
        <v>-172269.63114990477</v>
      </c>
      <c r="AA172" s="5">
        <f t="shared" si="50"/>
        <v>-190462.6171997559</v>
      </c>
      <c r="AB172" s="5">
        <f t="shared" si="50"/>
        <v>-210523.7590958989</v>
      </c>
      <c r="AC172" s="5">
        <f t="shared" si="50"/>
        <v>-232644.54118818225</v>
      </c>
      <c r="AD172" s="5">
        <f t="shared" si="50"/>
        <v>-257036.0505732303</v>
      </c>
    </row>
    <row r="173" ht="12.75">
      <c r="F173" s="5"/>
    </row>
    <row r="174" ht="12.75">
      <c r="F174" s="5"/>
    </row>
    <row r="175" spans="1:6" ht="12.75">
      <c r="A175" s="3" t="s">
        <v>121</v>
      </c>
      <c r="F175" s="5"/>
    </row>
    <row r="176" spans="1:6" ht="12.75">
      <c r="A176" s="1" t="s">
        <v>122</v>
      </c>
      <c r="F176" s="5"/>
    </row>
    <row r="177" spans="1:30" ht="12.75">
      <c r="A177" s="22" t="s">
        <v>136</v>
      </c>
      <c r="F177" s="5">
        <f>F153</f>
        <v>109146.38920676128</v>
      </c>
      <c r="G177" s="5">
        <f aca="true" t="shared" si="51" ref="G177:Z177">G153</f>
        <v>148552.60156597037</v>
      </c>
      <c r="H177" s="5">
        <f t="shared" si="51"/>
        <v>196569.75414547758</v>
      </c>
      <c r="I177" s="5">
        <f t="shared" si="51"/>
        <v>254799.3316020579</v>
      </c>
      <c r="J177" s="5">
        <f t="shared" si="51"/>
        <v>288993.40190305415</v>
      </c>
      <c r="K177" s="5">
        <f t="shared" si="51"/>
        <v>324684.0870380813</v>
      </c>
      <c r="L177" s="5">
        <f t="shared" si="51"/>
        <v>364782.57178728434</v>
      </c>
      <c r="M177" s="5">
        <f t="shared" si="51"/>
        <v>409833.21940301405</v>
      </c>
      <c r="N177" s="5">
        <f t="shared" si="51"/>
        <v>460447.6219992864</v>
      </c>
      <c r="O177" s="5">
        <f t="shared" si="51"/>
        <v>517312.9033161981</v>
      </c>
      <c r="P177" s="5">
        <f t="shared" si="51"/>
        <v>575665.7988102656</v>
      </c>
      <c r="Q177" s="5">
        <f t="shared" si="51"/>
        <v>640600.9009160636</v>
      </c>
      <c r="R177" s="5">
        <f t="shared" si="51"/>
        <v>712860.6825393954</v>
      </c>
      <c r="S177" s="5">
        <f t="shared" si="51"/>
        <v>793271.3675298395</v>
      </c>
      <c r="T177" s="5">
        <f t="shared" si="51"/>
        <v>882752.3777872054</v>
      </c>
      <c r="U177" s="5">
        <f t="shared" si="51"/>
        <v>972881.3955592792</v>
      </c>
      <c r="V177" s="5">
        <f t="shared" si="51"/>
        <v>1072212.5860458817</v>
      </c>
      <c r="W177" s="5">
        <f t="shared" si="51"/>
        <v>1181685.4910811665</v>
      </c>
      <c r="X177" s="5">
        <f t="shared" si="51"/>
        <v>1302335.5797205535</v>
      </c>
      <c r="Y177" s="5">
        <f t="shared" si="51"/>
        <v>1435304.0424100223</v>
      </c>
      <c r="Z177" s="5">
        <f t="shared" si="51"/>
        <v>1581848.5851400858</v>
      </c>
      <c r="AA177" s="5">
        <f>AA153</f>
        <v>1743355.325682889</v>
      </c>
      <c r="AB177" s="5">
        <f>AB153</f>
        <v>1921351.9044351124</v>
      </c>
      <c r="AC177" s="5">
        <f>AC153</f>
        <v>2117521.933877937</v>
      </c>
      <c r="AD177" s="5">
        <f>AD153</f>
        <v>2333720.923326875</v>
      </c>
    </row>
    <row r="178" spans="1:30" ht="12.75">
      <c r="A178" s="1" t="s">
        <v>123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1:30" ht="12.75">
      <c r="A179" s="22" t="s">
        <v>124</v>
      </c>
      <c r="F179" s="5">
        <f>F156+F157</f>
        <v>28378.061193757934</v>
      </c>
      <c r="G179" s="5">
        <f aca="true" t="shared" si="52" ref="G179:Z179">G156+G157</f>
        <v>38623.6764071523</v>
      </c>
      <c r="H179" s="5">
        <f t="shared" si="52"/>
        <v>51108.13607782417</v>
      </c>
      <c r="I179" s="5">
        <f t="shared" si="52"/>
        <v>66247.82621653506</v>
      </c>
      <c r="J179" s="5">
        <f t="shared" si="52"/>
        <v>75138.28449479409</v>
      </c>
      <c r="K179" s="5">
        <f t="shared" si="52"/>
        <v>84417.86262990115</v>
      </c>
      <c r="L179" s="5">
        <f t="shared" si="52"/>
        <v>94843.46866469392</v>
      </c>
      <c r="M179" s="5">
        <f t="shared" si="52"/>
        <v>106556.63704478365</v>
      </c>
      <c r="N179" s="5">
        <f t="shared" si="52"/>
        <v>119716.38171981447</v>
      </c>
      <c r="O179" s="5">
        <f t="shared" si="52"/>
        <v>134501.3548622115</v>
      </c>
      <c r="P179" s="5">
        <f t="shared" si="52"/>
        <v>149673.10769066907</v>
      </c>
      <c r="Q179" s="5">
        <f t="shared" si="52"/>
        <v>166556.23423817655</v>
      </c>
      <c r="R179" s="5">
        <f t="shared" si="52"/>
        <v>185343.77746024283</v>
      </c>
      <c r="S179" s="5">
        <f t="shared" si="52"/>
        <v>206250.55555775829</v>
      </c>
      <c r="T179" s="5">
        <f t="shared" si="52"/>
        <v>229515.6182246734</v>
      </c>
      <c r="U179" s="5">
        <f t="shared" si="52"/>
        <v>252949.16284541262</v>
      </c>
      <c r="V179" s="5">
        <f t="shared" si="52"/>
        <v>278775.27237192926</v>
      </c>
      <c r="W179" s="5">
        <f t="shared" si="52"/>
        <v>307238.2276811033</v>
      </c>
      <c r="X179" s="5">
        <f t="shared" si="52"/>
        <v>338607.2507273439</v>
      </c>
      <c r="Y179" s="5">
        <f t="shared" si="52"/>
        <v>373179.0510266058</v>
      </c>
      <c r="Z179" s="5">
        <f t="shared" si="52"/>
        <v>411280.6321364223</v>
      </c>
      <c r="AA179" s="5">
        <f>AA156+AA157</f>
        <v>453272.38467755116</v>
      </c>
      <c r="AB179" s="5">
        <f>AB156+AB157</f>
        <v>499551.4951531292</v>
      </c>
      <c r="AC179" s="5">
        <f>AC156+AC157</f>
        <v>550555.7028082637</v>
      </c>
      <c r="AD179" s="5">
        <f>AD156+AD157</f>
        <v>606767.4400649875</v>
      </c>
    </row>
    <row r="180" spans="1:30" ht="12.75">
      <c r="A180" s="22" t="s">
        <v>113</v>
      </c>
      <c r="F180" s="5">
        <f>F162</f>
        <v>19389.51177116417</v>
      </c>
      <c r="G180" s="5">
        <f aca="true" t="shared" si="53" ref="G180:Z180">G162</f>
        <v>28137.690914908588</v>
      </c>
      <c r="H180" s="5">
        <f t="shared" si="53"/>
        <v>38797.49878755918</v>
      </c>
      <c r="I180" s="5">
        <f t="shared" si="53"/>
        <v>56565.45161565685</v>
      </c>
      <c r="J180" s="5">
        <f t="shared" si="53"/>
        <v>64156.535222478014</v>
      </c>
      <c r="K180" s="5">
        <f t="shared" si="53"/>
        <v>72079.86732245404</v>
      </c>
      <c r="L180" s="5">
        <f t="shared" si="53"/>
        <v>80981.73093677712</v>
      </c>
      <c r="M180" s="5">
        <f t="shared" si="53"/>
        <v>90982.97470746913</v>
      </c>
      <c r="N180" s="5">
        <f t="shared" si="53"/>
        <v>102219.37208384159</v>
      </c>
      <c r="O180" s="5">
        <f t="shared" si="53"/>
        <v>114843.46453619597</v>
      </c>
      <c r="P180" s="5">
        <f t="shared" si="53"/>
        <v>127797.80733587897</v>
      </c>
      <c r="Q180" s="5">
        <f t="shared" si="53"/>
        <v>142213.4000033661</v>
      </c>
      <c r="R180" s="5">
        <f t="shared" si="53"/>
        <v>158255.07152374575</v>
      </c>
      <c r="S180" s="5">
        <f t="shared" si="53"/>
        <v>176106.24359162434</v>
      </c>
      <c r="T180" s="5">
        <f t="shared" si="53"/>
        <v>195971.0278687596</v>
      </c>
      <c r="U180" s="5">
        <f t="shared" si="53"/>
        <v>215979.66981415998</v>
      </c>
      <c r="V180" s="5">
        <f t="shared" si="53"/>
        <v>238031.19410218572</v>
      </c>
      <c r="W180" s="5">
        <f t="shared" si="53"/>
        <v>262334.17902001896</v>
      </c>
      <c r="X180" s="5">
        <f t="shared" si="53"/>
        <v>289118.4986979629</v>
      </c>
      <c r="Y180" s="5">
        <f t="shared" si="53"/>
        <v>318637.4974150249</v>
      </c>
      <c r="Z180" s="5">
        <f t="shared" si="53"/>
        <v>351170.3859010991</v>
      </c>
      <c r="AA180" s="5">
        <f aca="true" t="shared" si="54" ref="AA180:AD181">AA162</f>
        <v>387024.8823016014</v>
      </c>
      <c r="AB180" s="5">
        <f t="shared" si="54"/>
        <v>426540.1227845949</v>
      </c>
      <c r="AC180" s="5">
        <f t="shared" si="54"/>
        <v>470089.869320902</v>
      </c>
      <c r="AD180" s="5">
        <f t="shared" si="54"/>
        <v>518086.0449785663</v>
      </c>
    </row>
    <row r="181" spans="1:30" ht="12.75">
      <c r="A181" s="22" t="s">
        <v>114</v>
      </c>
      <c r="F181" s="5">
        <f>F163</f>
        <v>5170.536472310446</v>
      </c>
      <c r="G181" s="5">
        <f aca="true" t="shared" si="55" ref="G181:Z181">G163</f>
        <v>7503.3842439756245</v>
      </c>
      <c r="H181" s="5">
        <f t="shared" si="55"/>
        <v>10345.99967668245</v>
      </c>
      <c r="I181" s="5">
        <f t="shared" si="55"/>
        <v>15084.120430841827</v>
      </c>
      <c r="J181" s="5">
        <f t="shared" si="55"/>
        <v>17108.409392660804</v>
      </c>
      <c r="K181" s="5">
        <f t="shared" si="55"/>
        <v>19221.297952654415</v>
      </c>
      <c r="L181" s="5">
        <f t="shared" si="55"/>
        <v>21595.128249807232</v>
      </c>
      <c r="M181" s="5">
        <f t="shared" si="55"/>
        <v>24262.126588658433</v>
      </c>
      <c r="N181" s="5">
        <f t="shared" si="55"/>
        <v>27258.499222357757</v>
      </c>
      <c r="O181" s="5">
        <f t="shared" si="55"/>
        <v>30624.923876318928</v>
      </c>
      <c r="P181" s="5">
        <f t="shared" si="55"/>
        <v>34079.415289567725</v>
      </c>
      <c r="Q181" s="5">
        <f t="shared" si="55"/>
        <v>37923.57333423096</v>
      </c>
      <c r="R181" s="5">
        <f t="shared" si="55"/>
        <v>42201.352406332204</v>
      </c>
      <c r="S181" s="5">
        <f t="shared" si="55"/>
        <v>46961.664957766494</v>
      </c>
      <c r="T181" s="5">
        <f t="shared" si="55"/>
        <v>52258.94076500256</v>
      </c>
      <c r="U181" s="5">
        <f t="shared" si="55"/>
        <v>57594.578617109335</v>
      </c>
      <c r="V181" s="5">
        <f t="shared" si="55"/>
        <v>63474.9850939162</v>
      </c>
      <c r="W181" s="5">
        <f t="shared" si="55"/>
        <v>69955.78107200506</v>
      </c>
      <c r="X181" s="5">
        <f t="shared" si="55"/>
        <v>77098.26631945677</v>
      </c>
      <c r="Y181" s="5">
        <f t="shared" si="55"/>
        <v>84969.99931067332</v>
      </c>
      <c r="Z181" s="5">
        <f t="shared" si="55"/>
        <v>93645.43624029309</v>
      </c>
      <c r="AA181" s="5">
        <f t="shared" si="54"/>
        <v>103206.63528042704</v>
      </c>
      <c r="AB181" s="5">
        <f t="shared" si="54"/>
        <v>113744.03274255864</v>
      </c>
      <c r="AC181" s="5">
        <f t="shared" si="54"/>
        <v>125357.29848557386</v>
      </c>
      <c r="AD181" s="5">
        <f t="shared" si="54"/>
        <v>138156.278660951</v>
      </c>
    </row>
    <row r="182" spans="1:30" ht="12.75">
      <c r="A182" s="22" t="s">
        <v>115</v>
      </c>
      <c r="F182" s="5">
        <f>F164</f>
        <v>4900.1720000000005</v>
      </c>
      <c r="G182" s="5">
        <f aca="true" t="shared" si="56" ref="G182:AD182">G164</f>
        <v>5243.184040000001</v>
      </c>
      <c r="H182" s="5">
        <f t="shared" si="56"/>
        <v>5610.206922800002</v>
      </c>
      <c r="I182" s="5">
        <f t="shared" si="56"/>
        <v>6002.921407396002</v>
      </c>
      <c r="J182" s="5">
        <f t="shared" si="56"/>
        <v>6423.125905913723</v>
      </c>
      <c r="K182" s="5">
        <f t="shared" si="56"/>
        <v>6872.744719327684</v>
      </c>
      <c r="L182" s="5">
        <f t="shared" si="56"/>
        <v>7353.836849680622</v>
      </c>
      <c r="M182" s="5">
        <f t="shared" si="56"/>
        <v>7868.605429158266</v>
      </c>
      <c r="N182" s="5">
        <f t="shared" si="56"/>
        <v>8419.407809199345</v>
      </c>
      <c r="O182" s="5">
        <f t="shared" si="56"/>
        <v>9008.7663558433</v>
      </c>
      <c r="P182" s="5">
        <f t="shared" si="56"/>
        <v>9639.380000752331</v>
      </c>
      <c r="Q182" s="5">
        <f t="shared" si="56"/>
        <v>10314.136600804995</v>
      </c>
      <c r="R182" s="5">
        <f t="shared" si="56"/>
        <v>11036.126162861345</v>
      </c>
      <c r="S182" s="5">
        <f t="shared" si="56"/>
        <v>11808.65499426164</v>
      </c>
      <c r="T182" s="5">
        <f t="shared" si="56"/>
        <v>12635.260843859956</v>
      </c>
      <c r="U182" s="5">
        <f t="shared" si="56"/>
        <v>13519.729102930154</v>
      </c>
      <c r="V182" s="5">
        <f t="shared" si="56"/>
        <v>14466.110140135268</v>
      </c>
      <c r="W182" s="5">
        <f t="shared" si="56"/>
        <v>15478.737849944737</v>
      </c>
      <c r="X182" s="5">
        <f t="shared" si="56"/>
        <v>16562.24949944087</v>
      </c>
      <c r="Y182" s="5">
        <f t="shared" si="56"/>
        <v>17721.606964401733</v>
      </c>
      <c r="Z182" s="5">
        <f t="shared" si="56"/>
        <v>18962.119451909857</v>
      </c>
      <c r="AA182" s="5">
        <f t="shared" si="56"/>
        <v>20289.46781354355</v>
      </c>
      <c r="AB182" s="5">
        <f t="shared" si="56"/>
        <v>21709.7305604916</v>
      </c>
      <c r="AC182" s="5">
        <f t="shared" si="56"/>
        <v>23229.411699726013</v>
      </c>
      <c r="AD182" s="5">
        <f t="shared" si="56"/>
        <v>24855.47051870684</v>
      </c>
    </row>
    <row r="183" spans="1:30" ht="12.75">
      <c r="A183" s="22" t="s">
        <v>127</v>
      </c>
      <c r="F183" s="5">
        <f>-F172</f>
        <v>0</v>
      </c>
      <c r="G183" s="5">
        <f aca="true" t="shared" si="57" ref="G183:AD183">-G172</f>
        <v>0</v>
      </c>
      <c r="H183" s="5">
        <f t="shared" si="57"/>
        <v>0</v>
      </c>
      <c r="I183" s="5">
        <f t="shared" si="57"/>
        <v>0</v>
      </c>
      <c r="J183" s="5">
        <f t="shared" si="57"/>
        <v>13073.502039629782</v>
      </c>
      <c r="K183" s="5">
        <f t="shared" si="57"/>
        <v>21962.338490528222</v>
      </c>
      <c r="L183" s="5">
        <f t="shared" si="57"/>
        <v>27456.12481536492</v>
      </c>
      <c r="M183" s="5">
        <f t="shared" si="57"/>
        <v>33509.505108711084</v>
      </c>
      <c r="N183" s="5">
        <f t="shared" si="57"/>
        <v>40192.0396481846</v>
      </c>
      <c r="O183" s="5">
        <f t="shared" si="57"/>
        <v>47581.91093526472</v>
      </c>
      <c r="P183" s="5">
        <f t="shared" si="57"/>
        <v>55132.09779389838</v>
      </c>
      <c r="Q183" s="5">
        <f t="shared" si="57"/>
        <v>63426.22801211158</v>
      </c>
      <c r="R183" s="5">
        <f t="shared" si="57"/>
        <v>72548.69073048499</v>
      </c>
      <c r="S183" s="5">
        <f t="shared" si="57"/>
        <v>82593.42724773024</v>
      </c>
      <c r="T183" s="5">
        <f t="shared" si="57"/>
        <v>93665.01081854186</v>
      </c>
      <c r="U183" s="5">
        <f t="shared" si="57"/>
        <v>103781.69209223118</v>
      </c>
      <c r="V183" s="5">
        <f t="shared" si="57"/>
        <v>114938.38438174324</v>
      </c>
      <c r="W183" s="5">
        <f t="shared" si="57"/>
        <v>127241.76966183804</v>
      </c>
      <c r="X183" s="5">
        <f t="shared" si="57"/>
        <v>140809.4569164017</v>
      </c>
      <c r="Y183" s="5">
        <f t="shared" si="57"/>
        <v>155771.10022064348</v>
      </c>
      <c r="Z183" s="5">
        <f t="shared" si="57"/>
        <v>172269.63114990477</v>
      </c>
      <c r="AA183" s="5">
        <f t="shared" si="57"/>
        <v>190462.6171997559</v>
      </c>
      <c r="AB183" s="5">
        <f t="shared" si="57"/>
        <v>210523.7590958989</v>
      </c>
      <c r="AC183" s="5">
        <f t="shared" si="57"/>
        <v>232644.54118818225</v>
      </c>
      <c r="AD183" s="5">
        <f t="shared" si="57"/>
        <v>257036.0505732303</v>
      </c>
    </row>
    <row r="184" spans="1:30" ht="12.75">
      <c r="A184" s="1" t="s">
        <v>125</v>
      </c>
      <c r="F184" s="5">
        <f aca="true" t="shared" si="58" ref="F184:AD184">F177-SUM(F179:F183)</f>
        <v>51308.10776952873</v>
      </c>
      <c r="G184" s="5">
        <f t="shared" si="58"/>
        <v>69044.66595993385</v>
      </c>
      <c r="H184" s="5">
        <f t="shared" si="58"/>
        <v>90707.91268061177</v>
      </c>
      <c r="I184" s="5">
        <f t="shared" si="58"/>
        <v>110899.01193162816</v>
      </c>
      <c r="J184" s="5">
        <f t="shared" si="58"/>
        <v>113093.54484757775</v>
      </c>
      <c r="K184" s="5">
        <f t="shared" si="58"/>
        <v>120129.97592321577</v>
      </c>
      <c r="L184" s="5">
        <f t="shared" si="58"/>
        <v>132552.2822709605</v>
      </c>
      <c r="M184" s="5">
        <f t="shared" si="58"/>
        <v>146653.3705242335</v>
      </c>
      <c r="N184" s="5">
        <f t="shared" si="58"/>
        <v>162641.92151588865</v>
      </c>
      <c r="O184" s="5">
        <f t="shared" si="58"/>
        <v>180752.4827503637</v>
      </c>
      <c r="P184" s="5">
        <f t="shared" si="58"/>
        <v>199343.99069949915</v>
      </c>
      <c r="Q184" s="5">
        <f t="shared" si="58"/>
        <v>220167.3287273734</v>
      </c>
      <c r="R184" s="5">
        <f t="shared" si="58"/>
        <v>243475.66425572825</v>
      </c>
      <c r="S184" s="5">
        <f t="shared" si="58"/>
        <v>269550.8211806985</v>
      </c>
      <c r="T184" s="5">
        <f t="shared" si="58"/>
        <v>298706.519266368</v>
      </c>
      <c r="U184" s="5">
        <f t="shared" si="58"/>
        <v>329056.5630874359</v>
      </c>
      <c r="V184" s="5">
        <f t="shared" si="58"/>
        <v>362526.639955972</v>
      </c>
      <c r="W184" s="5">
        <f t="shared" si="58"/>
        <v>399436.7957962565</v>
      </c>
      <c r="X184" s="5">
        <f t="shared" si="58"/>
        <v>440139.8575599473</v>
      </c>
      <c r="Y184" s="5">
        <f t="shared" si="58"/>
        <v>485024.787472673</v>
      </c>
      <c r="Z184" s="5">
        <f t="shared" si="58"/>
        <v>534520.3802604566</v>
      </c>
      <c r="AA184" s="5">
        <f t="shared" si="58"/>
        <v>589099.3384100099</v>
      </c>
      <c r="AB184" s="5">
        <f t="shared" si="58"/>
        <v>649282.7640984391</v>
      </c>
      <c r="AC184" s="5">
        <f t="shared" si="58"/>
        <v>715645.1103752891</v>
      </c>
      <c r="AD184" s="5">
        <f t="shared" si="58"/>
        <v>788819.6385304332</v>
      </c>
    </row>
    <row r="185" spans="1:6" ht="12.75">
      <c r="A185" s="1" t="s">
        <v>126</v>
      </c>
      <c r="C185" s="5">
        <f>C119</f>
        <v>157897.58095583998</v>
      </c>
      <c r="D185" s="5">
        <f>D119</f>
        <v>226102.26400898406</v>
      </c>
      <c r="E185" s="5">
        <f>E119</f>
        <v>137227.83690382427</v>
      </c>
      <c r="F185" s="5"/>
    </row>
    <row r="186" spans="1:30" s="3" customFormat="1" ht="12.75">
      <c r="A186" s="3" t="s">
        <v>128</v>
      </c>
      <c r="C186" s="19">
        <f>C184-C185</f>
        <v>-157897.58095583998</v>
      </c>
      <c r="D186" s="19">
        <f aca="true" t="shared" si="59" ref="D186:Z186">D184-D185</f>
        <v>-226102.26400898406</v>
      </c>
      <c r="E186" s="19">
        <f t="shared" si="59"/>
        <v>-137227.83690382427</v>
      </c>
      <c r="F186" s="19">
        <f t="shared" si="59"/>
        <v>51308.10776952873</v>
      </c>
      <c r="G186" s="19">
        <f t="shared" si="59"/>
        <v>69044.66595993385</v>
      </c>
      <c r="H186" s="19">
        <f t="shared" si="59"/>
        <v>90707.91268061177</v>
      </c>
      <c r="I186" s="19">
        <f t="shared" si="59"/>
        <v>110899.01193162816</v>
      </c>
      <c r="J186" s="19">
        <f t="shared" si="59"/>
        <v>113093.54484757775</v>
      </c>
      <c r="K186" s="19">
        <f t="shared" si="59"/>
        <v>120129.97592321577</v>
      </c>
      <c r="L186" s="19">
        <f t="shared" si="59"/>
        <v>132552.2822709605</v>
      </c>
      <c r="M186" s="19">
        <f t="shared" si="59"/>
        <v>146653.3705242335</v>
      </c>
      <c r="N186" s="19">
        <f t="shared" si="59"/>
        <v>162641.92151588865</v>
      </c>
      <c r="O186" s="19">
        <f t="shared" si="59"/>
        <v>180752.4827503637</v>
      </c>
      <c r="P186" s="19">
        <f t="shared" si="59"/>
        <v>199343.99069949915</v>
      </c>
      <c r="Q186" s="19">
        <f t="shared" si="59"/>
        <v>220167.3287273734</v>
      </c>
      <c r="R186" s="19">
        <f t="shared" si="59"/>
        <v>243475.66425572825</v>
      </c>
      <c r="S186" s="19">
        <f t="shared" si="59"/>
        <v>269550.8211806985</v>
      </c>
      <c r="T186" s="19">
        <f t="shared" si="59"/>
        <v>298706.519266368</v>
      </c>
      <c r="U186" s="19">
        <f t="shared" si="59"/>
        <v>329056.5630874359</v>
      </c>
      <c r="V186" s="19">
        <f t="shared" si="59"/>
        <v>362526.639955972</v>
      </c>
      <c r="W186" s="19">
        <f t="shared" si="59"/>
        <v>399436.7957962565</v>
      </c>
      <c r="X186" s="19">
        <f t="shared" si="59"/>
        <v>440139.8575599473</v>
      </c>
      <c r="Y186" s="19">
        <f t="shared" si="59"/>
        <v>485024.787472673</v>
      </c>
      <c r="Z186" s="19">
        <f t="shared" si="59"/>
        <v>534520.3802604566</v>
      </c>
      <c r="AA186" s="19">
        <f>AA184-AA185</f>
        <v>589099.3384100099</v>
      </c>
      <c r="AB186" s="19">
        <f>AB184-AB185</f>
        <v>649282.7640984391</v>
      </c>
      <c r="AC186" s="19">
        <f>AC184-AC185</f>
        <v>715645.1103752891</v>
      </c>
      <c r="AD186" s="19">
        <f>AD184-AD185</f>
        <v>788819.6385304332</v>
      </c>
    </row>
    <row r="187" spans="6:25" ht="12.75">
      <c r="F187" s="5"/>
      <c r="Y187" s="5"/>
    </row>
    <row r="188" spans="1:30" ht="12.75">
      <c r="A188" s="3" t="s">
        <v>129</v>
      </c>
      <c r="C188" s="19">
        <f aca="true" t="shared" si="60" ref="C188:AD188">C186+C135</f>
        <v>-126318.06476467199</v>
      </c>
      <c r="D188" s="19">
        <f t="shared" si="60"/>
        <v>-67830.67920269523</v>
      </c>
      <c r="E188" s="19">
        <f t="shared" si="60"/>
        <v>0</v>
      </c>
      <c r="F188" s="19">
        <f t="shared" si="60"/>
        <v>10717.581501874607</v>
      </c>
      <c r="G188" s="19">
        <f t="shared" si="60"/>
        <v>28454.13969227972</v>
      </c>
      <c r="H188" s="19">
        <f t="shared" si="60"/>
        <v>50117.38641295765</v>
      </c>
      <c r="I188" s="19">
        <f t="shared" si="60"/>
        <v>70308.48566397405</v>
      </c>
      <c r="J188" s="19">
        <f t="shared" si="60"/>
        <v>37206.90878196352</v>
      </c>
      <c r="K188" s="19">
        <f t="shared" si="60"/>
        <v>48302.39248436694</v>
      </c>
      <c r="L188" s="19">
        <f t="shared" si="60"/>
        <v>64783.75145887709</v>
      </c>
      <c r="M188" s="19">
        <f t="shared" si="60"/>
        <v>82943.8923389155</v>
      </c>
      <c r="N188" s="19">
        <f t="shared" si="60"/>
        <v>102991.49595733607</v>
      </c>
      <c r="O188" s="19">
        <f t="shared" si="60"/>
        <v>125161.10981857653</v>
      </c>
      <c r="P188" s="19">
        <f t="shared" si="60"/>
        <v>147811.67039447738</v>
      </c>
      <c r="Q188" s="19">
        <f t="shared" si="60"/>
        <v>172694.06104911704</v>
      </c>
      <c r="R188" s="19">
        <f t="shared" si="60"/>
        <v>200061.44920423732</v>
      </c>
      <c r="S188" s="19">
        <f t="shared" si="60"/>
        <v>230195.65875597298</v>
      </c>
      <c r="T188" s="19">
        <f t="shared" si="60"/>
        <v>298706.519266368</v>
      </c>
      <c r="U188" s="19">
        <f t="shared" si="60"/>
        <v>329056.5630874359</v>
      </c>
      <c r="V188" s="19">
        <f t="shared" si="60"/>
        <v>362526.639955972</v>
      </c>
      <c r="W188" s="19">
        <f t="shared" si="60"/>
        <v>399436.7957962565</v>
      </c>
      <c r="X188" s="19">
        <f t="shared" si="60"/>
        <v>440139.8575599473</v>
      </c>
      <c r="Y188" s="19">
        <f t="shared" si="60"/>
        <v>485024.787472673</v>
      </c>
      <c r="Z188" s="19">
        <f t="shared" si="60"/>
        <v>534520.3802604566</v>
      </c>
      <c r="AA188" s="19">
        <f t="shared" si="60"/>
        <v>589099.3384100099</v>
      </c>
      <c r="AB188" s="19">
        <f t="shared" si="60"/>
        <v>649282.7640984391</v>
      </c>
      <c r="AC188" s="19">
        <f t="shared" si="60"/>
        <v>715645.1103752891</v>
      </c>
      <c r="AD188" s="19">
        <f t="shared" si="60"/>
        <v>788819.6385304332</v>
      </c>
    </row>
    <row r="190" spans="1:30" ht="12.75">
      <c r="A190" s="3" t="s">
        <v>130</v>
      </c>
      <c r="F190" s="23">
        <f>-F186/F135</f>
        <v>1.2640414522148056</v>
      </c>
      <c r="G190" s="23">
        <f aca="true" t="shared" si="61" ref="G190:AD190">-G186/G135</f>
        <v>1.7010044537154554</v>
      </c>
      <c r="H190" s="23">
        <f t="shared" si="61"/>
        <v>2.23470649487231</v>
      </c>
      <c r="I190" s="23">
        <f t="shared" si="61"/>
        <v>2.732140283187253</v>
      </c>
      <c r="J190" s="23">
        <f t="shared" si="61"/>
        <v>1.4902959297048446</v>
      </c>
      <c r="K190" s="23">
        <f t="shared" si="61"/>
        <v>1.6724769256018432</v>
      </c>
      <c r="L190" s="23">
        <f t="shared" si="61"/>
        <v>1.9559562629226406</v>
      </c>
      <c r="M190" s="23">
        <f t="shared" si="61"/>
        <v>2.301908204265125</v>
      </c>
      <c r="N190" s="23">
        <f t="shared" si="61"/>
        <v>2.7265844290790526</v>
      </c>
      <c r="O190" s="23">
        <f t="shared" si="61"/>
        <v>3.2514484391697644</v>
      </c>
      <c r="P190" s="23">
        <f t="shared" si="61"/>
        <v>3.8683294196646782</v>
      </c>
      <c r="Q190" s="23">
        <f t="shared" si="61"/>
        <v>4.637711695338262</v>
      </c>
      <c r="R190" s="23">
        <f t="shared" si="61"/>
        <v>5.608201460442316</v>
      </c>
      <c r="S190" s="23">
        <f t="shared" si="61"/>
        <v>6.849185839247072</v>
      </c>
      <c r="T190" s="23">
        <f t="shared" si="61"/>
        <v>1.7849526697058013E+17</v>
      </c>
      <c r="U190" s="23">
        <f t="shared" si="61"/>
        <v>1.9663125940795798E+17</v>
      </c>
      <c r="V190" s="23">
        <f t="shared" si="61"/>
        <v>2.1663166087508406E+17</v>
      </c>
      <c r="W190" s="23">
        <f t="shared" si="61"/>
        <v>2.3868771822802813E+17</v>
      </c>
      <c r="X190" s="23">
        <f t="shared" si="61"/>
        <v>2.630102669754535E+17</v>
      </c>
      <c r="Y190" s="23">
        <f t="shared" si="61"/>
        <v>2.8983173564444954E+17</v>
      </c>
      <c r="Z190" s="23">
        <f t="shared" si="61"/>
        <v>3.194083550976202E+17</v>
      </c>
      <c r="AA190" s="23">
        <f t="shared" si="61"/>
        <v>3.5202259374834496E+17</v>
      </c>
      <c r="AB190" s="23">
        <f t="shared" si="61"/>
        <v>3.87985841761291E+17</v>
      </c>
      <c r="AC190" s="23">
        <f t="shared" si="61"/>
        <v>4.2764136968405946E+17</v>
      </c>
      <c r="AD190" s="23">
        <f t="shared" si="61"/>
        <v>4.713675895555829E+17</v>
      </c>
    </row>
    <row r="192" ht="12.75">
      <c r="A192" s="3" t="s">
        <v>0</v>
      </c>
    </row>
    <row r="193" spans="1:2" ht="12.75">
      <c r="A193" s="24" t="s">
        <v>140</v>
      </c>
      <c r="B193" s="25">
        <f>IRR(C186:AD186)</f>
        <v>0.2032236005974254</v>
      </c>
    </row>
    <row r="194" spans="1:2" ht="12.75">
      <c r="A194" s="24" t="s">
        <v>131</v>
      </c>
      <c r="B194" s="26">
        <f>IRR(C188:AD188)</f>
        <v>0.24644493415091845</v>
      </c>
    </row>
    <row r="195" spans="3:30" ht="12.75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1:2" ht="12.75">
      <c r="A196" s="29" t="s">
        <v>142</v>
      </c>
      <c r="B196" s="54">
        <f>NPV(C67,D188:AD188)+C188</f>
        <v>109158.78997828232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" sqref="B3"/>
    </sheetView>
  </sheetViews>
  <sheetFormatPr defaultColWidth="9.140625" defaultRowHeight="12.75"/>
  <cols>
    <col min="1" max="1" width="43.28125" style="27" bestFit="1" customWidth="1"/>
    <col min="2" max="2" width="9.7109375" style="27" customWidth="1"/>
    <col min="3" max="30" width="8.8515625" style="27" customWidth="1"/>
    <col min="31" max="16384" width="9.140625" style="27" customWidth="1"/>
  </cols>
  <sheetData>
    <row r="1" spans="2:30" ht="12.75">
      <c r="B1" s="27" t="s">
        <v>8</v>
      </c>
      <c r="C1" s="28">
        <v>2009</v>
      </c>
      <c r="D1" s="29">
        <v>2010</v>
      </c>
      <c r="E1" s="28">
        <v>2011</v>
      </c>
      <c r="F1" s="29">
        <v>2012</v>
      </c>
      <c r="G1" s="28">
        <v>2013</v>
      </c>
      <c r="H1" s="29">
        <v>2014</v>
      </c>
      <c r="I1" s="28">
        <v>2015</v>
      </c>
      <c r="J1" s="29">
        <v>2016</v>
      </c>
      <c r="K1" s="28">
        <v>2017</v>
      </c>
      <c r="L1" s="29">
        <v>2018</v>
      </c>
      <c r="M1" s="28">
        <v>2019</v>
      </c>
      <c r="N1" s="29">
        <v>2020</v>
      </c>
      <c r="O1" s="28">
        <v>2021</v>
      </c>
      <c r="P1" s="29">
        <v>2022</v>
      </c>
      <c r="Q1" s="28">
        <v>2023</v>
      </c>
      <c r="R1" s="29">
        <v>2024</v>
      </c>
      <c r="S1" s="28">
        <v>2025</v>
      </c>
      <c r="T1" s="29">
        <v>2026</v>
      </c>
      <c r="U1" s="28">
        <v>2027</v>
      </c>
      <c r="V1" s="29">
        <v>2028</v>
      </c>
      <c r="W1" s="28">
        <v>2029</v>
      </c>
      <c r="X1" s="29">
        <v>2030</v>
      </c>
      <c r="Y1" s="28">
        <v>2031</v>
      </c>
      <c r="Z1" s="29">
        <v>2032</v>
      </c>
      <c r="AA1" s="28">
        <v>2033</v>
      </c>
      <c r="AB1" s="29">
        <v>2034</v>
      </c>
      <c r="AC1" s="28">
        <v>2035</v>
      </c>
      <c r="AD1" s="29">
        <v>2036</v>
      </c>
    </row>
    <row r="2" spans="1:30" ht="12.75">
      <c r="A2" s="29" t="s">
        <v>4</v>
      </c>
      <c r="B2" s="27" t="s">
        <v>9</v>
      </c>
      <c r="C2" s="28">
        <v>0</v>
      </c>
      <c r="D2" s="29">
        <v>1</v>
      </c>
      <c r="E2" s="28">
        <v>2</v>
      </c>
      <c r="F2" s="29">
        <v>3</v>
      </c>
      <c r="G2" s="28">
        <v>4</v>
      </c>
      <c r="H2" s="29">
        <v>5</v>
      </c>
      <c r="I2" s="28">
        <v>6</v>
      </c>
      <c r="J2" s="29">
        <v>7</v>
      </c>
      <c r="K2" s="28">
        <v>8</v>
      </c>
      <c r="L2" s="29">
        <v>9</v>
      </c>
      <c r="M2" s="28">
        <v>10</v>
      </c>
      <c r="N2" s="29">
        <v>11</v>
      </c>
      <c r="O2" s="28">
        <v>12</v>
      </c>
      <c r="P2" s="29">
        <v>13</v>
      </c>
      <c r="Q2" s="28">
        <v>14</v>
      </c>
      <c r="R2" s="29">
        <v>15</v>
      </c>
      <c r="S2" s="28">
        <v>16</v>
      </c>
      <c r="T2" s="29">
        <v>17</v>
      </c>
      <c r="U2" s="28">
        <v>18</v>
      </c>
      <c r="V2" s="29">
        <v>19</v>
      </c>
      <c r="W2" s="28">
        <v>20</v>
      </c>
      <c r="X2" s="29">
        <v>21</v>
      </c>
      <c r="Y2" s="28">
        <v>22</v>
      </c>
      <c r="Z2" s="29">
        <v>23</v>
      </c>
      <c r="AA2" s="28">
        <v>24</v>
      </c>
      <c r="AB2" s="29">
        <v>25</v>
      </c>
      <c r="AC2" s="28">
        <v>26</v>
      </c>
      <c r="AD2" s="29">
        <v>27</v>
      </c>
    </row>
    <row r="3" spans="1:30" ht="12.75">
      <c r="A3" s="30" t="s">
        <v>5</v>
      </c>
      <c r="B3" s="30" t="s">
        <v>10</v>
      </c>
      <c r="C3" s="31">
        <v>0.07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1:16" ht="12.75">
      <c r="A4" s="27" t="s">
        <v>6</v>
      </c>
      <c r="B4" s="27" t="s">
        <v>10</v>
      </c>
      <c r="C4" s="33">
        <v>18000</v>
      </c>
      <c r="O4" s="28"/>
      <c r="P4" s="29"/>
    </row>
    <row r="5" spans="1:30" ht="12.75">
      <c r="A5" s="27" t="s">
        <v>7</v>
      </c>
      <c r="B5" s="27" t="s">
        <v>10</v>
      </c>
      <c r="C5" s="32">
        <v>0.02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</row>
    <row r="6" spans="3:16" ht="12.75">
      <c r="C6" s="33"/>
      <c r="O6" s="28"/>
      <c r="P6" s="29"/>
    </row>
    <row r="7" spans="1:16" ht="14.25">
      <c r="A7" s="27" t="s">
        <v>11</v>
      </c>
      <c r="B7" s="27" t="s">
        <v>161</v>
      </c>
      <c r="C7" s="33">
        <v>32000</v>
      </c>
      <c r="O7" s="28"/>
      <c r="P7" s="29"/>
    </row>
    <row r="8" spans="1:16" ht="14.25">
      <c r="A8" s="27" t="s">
        <v>12</v>
      </c>
      <c r="B8" s="27" t="s">
        <v>162</v>
      </c>
      <c r="C8" s="33">
        <v>125000</v>
      </c>
      <c r="O8" s="28"/>
      <c r="P8" s="29"/>
    </row>
    <row r="9" spans="1:16" ht="14.25">
      <c r="A9" s="27" t="s">
        <v>13</v>
      </c>
      <c r="B9" s="27" t="s">
        <v>161</v>
      </c>
      <c r="C9" s="35">
        <v>64</v>
      </c>
      <c r="O9" s="28"/>
      <c r="P9" s="29"/>
    </row>
    <row r="10" spans="1:16" ht="14.25">
      <c r="A10" s="27" t="s">
        <v>14</v>
      </c>
      <c r="B10" s="27" t="s">
        <v>161</v>
      </c>
      <c r="C10" s="35">
        <v>120</v>
      </c>
      <c r="O10" s="28"/>
      <c r="P10" s="29"/>
    </row>
    <row r="11" spans="1:16" ht="14.25">
      <c r="A11" s="27" t="s">
        <v>15</v>
      </c>
      <c r="B11" s="27" t="s">
        <v>161</v>
      </c>
      <c r="C11" s="35">
        <v>184</v>
      </c>
      <c r="O11" s="28"/>
      <c r="P11" s="29"/>
    </row>
    <row r="12" spans="1:16" ht="12.75">
      <c r="A12" s="27" t="s">
        <v>16</v>
      </c>
      <c r="B12" s="27" t="s">
        <v>34</v>
      </c>
      <c r="C12" s="33">
        <v>60</v>
      </c>
      <c r="O12" s="28"/>
      <c r="P12" s="29"/>
    </row>
    <row r="13" spans="1:16" ht="12.75">
      <c r="A13" s="27" t="s">
        <v>17</v>
      </c>
      <c r="B13" s="27" t="s">
        <v>34</v>
      </c>
      <c r="C13" s="33">
        <v>93</v>
      </c>
      <c r="O13" s="28"/>
      <c r="P13" s="29"/>
    </row>
    <row r="14" spans="1:16" ht="12.75">
      <c r="A14" s="27" t="s">
        <v>18</v>
      </c>
      <c r="B14" s="27" t="s">
        <v>34</v>
      </c>
      <c r="C14" s="33">
        <v>22</v>
      </c>
      <c r="O14" s="28"/>
      <c r="P14" s="29"/>
    </row>
    <row r="15" spans="1:16" ht="12.75">
      <c r="A15" s="27" t="s">
        <v>19</v>
      </c>
      <c r="B15" s="27" t="s">
        <v>10</v>
      </c>
      <c r="C15" s="35">
        <v>1.2</v>
      </c>
      <c r="O15" s="28"/>
      <c r="P15" s="29"/>
    </row>
    <row r="16" spans="1:16" ht="14.25">
      <c r="A16" s="27" t="s">
        <v>20</v>
      </c>
      <c r="B16" s="27" t="s">
        <v>161</v>
      </c>
      <c r="C16" s="35">
        <f>15*22</f>
        <v>330</v>
      </c>
      <c r="D16" s="33"/>
      <c r="O16" s="28"/>
      <c r="P16" s="29"/>
    </row>
    <row r="17" spans="1:16" ht="14.25">
      <c r="A17" s="30" t="s">
        <v>21</v>
      </c>
      <c r="B17" s="30" t="s">
        <v>165</v>
      </c>
      <c r="C17" s="36">
        <v>14.4</v>
      </c>
      <c r="O17" s="28"/>
      <c r="P17" s="29"/>
    </row>
    <row r="18" spans="1:16" ht="12.75">
      <c r="A18" s="27" t="s">
        <v>22</v>
      </c>
      <c r="B18" s="27" t="s">
        <v>35</v>
      </c>
      <c r="C18" s="35">
        <v>180</v>
      </c>
      <c r="O18" s="28"/>
      <c r="P18" s="29"/>
    </row>
    <row r="19" spans="1:16" ht="12.75">
      <c r="A19" s="27" t="s">
        <v>23</v>
      </c>
      <c r="B19" s="27" t="s">
        <v>35</v>
      </c>
      <c r="C19" s="35">
        <v>216</v>
      </c>
      <c r="O19" s="28"/>
      <c r="P19" s="29"/>
    </row>
    <row r="20" spans="1:16" ht="12.75">
      <c r="A20" s="27" t="s">
        <v>24</v>
      </c>
      <c r="B20" s="27" t="s">
        <v>35</v>
      </c>
      <c r="C20" s="35">
        <v>240</v>
      </c>
      <c r="O20" s="28"/>
      <c r="P20" s="29"/>
    </row>
    <row r="21" spans="1:16" ht="14.25">
      <c r="A21" s="27" t="s">
        <v>25</v>
      </c>
      <c r="B21" s="27" t="s">
        <v>163</v>
      </c>
      <c r="C21" s="37">
        <v>0.36</v>
      </c>
      <c r="O21" s="28"/>
      <c r="P21" s="29"/>
    </row>
    <row r="22" spans="1:16" ht="12.75">
      <c r="A22" s="27" t="s">
        <v>26</v>
      </c>
      <c r="B22" s="27" t="s">
        <v>10</v>
      </c>
      <c r="C22" s="33"/>
      <c r="O22" s="28"/>
      <c r="P22" s="29"/>
    </row>
    <row r="23" spans="1:16" ht="12.75">
      <c r="A23" s="38" t="s">
        <v>27</v>
      </c>
      <c r="B23" s="38"/>
      <c r="C23" s="39">
        <v>0.03</v>
      </c>
      <c r="O23" s="28"/>
      <c r="P23" s="29"/>
    </row>
    <row r="24" spans="1:16" ht="12.75">
      <c r="A24" s="38" t="s">
        <v>28</v>
      </c>
      <c r="B24" s="38"/>
      <c r="C24" s="39">
        <v>0.03</v>
      </c>
      <c r="O24" s="28"/>
      <c r="P24" s="29"/>
    </row>
    <row r="25" spans="1:16" ht="12.75">
      <c r="A25" s="38" t="s">
        <v>29</v>
      </c>
      <c r="B25" s="38"/>
      <c r="C25" s="39">
        <v>0.015</v>
      </c>
      <c r="O25" s="28"/>
      <c r="P25" s="29"/>
    </row>
    <row r="26" spans="1:16" ht="12.75">
      <c r="A26" s="38" t="s">
        <v>30</v>
      </c>
      <c r="B26" s="38"/>
      <c r="C26" s="39">
        <v>0.02</v>
      </c>
      <c r="O26" s="28"/>
      <c r="P26" s="29"/>
    </row>
    <row r="27" spans="1:16" ht="12.75">
      <c r="A27" s="38" t="s">
        <v>31</v>
      </c>
      <c r="B27" s="38"/>
      <c r="C27" s="39">
        <v>0.036</v>
      </c>
      <c r="O27" s="28"/>
      <c r="P27" s="29"/>
    </row>
    <row r="28" spans="1:16" ht="12.75">
      <c r="A28" s="38" t="s">
        <v>32</v>
      </c>
      <c r="B28" s="38"/>
      <c r="C28" s="39">
        <v>0.004</v>
      </c>
      <c r="O28" s="28"/>
      <c r="P28" s="29"/>
    </row>
    <row r="29" spans="1:16" ht="12.75">
      <c r="A29" s="38" t="s">
        <v>33</v>
      </c>
      <c r="B29" s="38"/>
      <c r="C29" s="39">
        <v>0.05</v>
      </c>
      <c r="O29" s="28"/>
      <c r="P29" s="29"/>
    </row>
    <row r="30" spans="1:16" ht="12.75">
      <c r="A30" s="40" t="s">
        <v>36</v>
      </c>
      <c r="B30" s="27" t="s">
        <v>10</v>
      </c>
      <c r="C30" s="39">
        <v>0.1</v>
      </c>
      <c r="O30" s="28"/>
      <c r="P30" s="29"/>
    </row>
    <row r="31" spans="1:16" ht="14.25">
      <c r="A31" s="27" t="s">
        <v>37</v>
      </c>
      <c r="B31" s="27" t="s">
        <v>163</v>
      </c>
      <c r="C31" s="35">
        <v>5</v>
      </c>
      <c r="O31" s="28"/>
      <c r="P31" s="29"/>
    </row>
    <row r="32" spans="1:16" ht="12.75">
      <c r="A32" s="27" t="s">
        <v>38</v>
      </c>
      <c r="C32" s="33"/>
      <c r="O32" s="28"/>
      <c r="P32" s="29"/>
    </row>
    <row r="33" spans="1:16" ht="12.75">
      <c r="A33" s="27" t="s">
        <v>39</v>
      </c>
      <c r="C33" s="32">
        <v>0.3</v>
      </c>
      <c r="D33" s="32">
        <v>0.55</v>
      </c>
      <c r="E33" s="32">
        <f>1-C33-D33</f>
        <v>0.1499999999999999</v>
      </c>
      <c r="O33" s="28"/>
      <c r="P33" s="29"/>
    </row>
    <row r="34" spans="1:16" ht="12.75">
      <c r="A34" s="27" t="s">
        <v>40</v>
      </c>
      <c r="C34" s="32">
        <v>0</v>
      </c>
      <c r="D34" s="32">
        <v>0</v>
      </c>
      <c r="E34" s="32">
        <f>1-C34-D34</f>
        <v>1</v>
      </c>
      <c r="O34" s="28"/>
      <c r="P34" s="29"/>
    </row>
    <row r="35" spans="1:16" ht="12.75">
      <c r="A35" s="27" t="s">
        <v>41</v>
      </c>
      <c r="C35" s="32">
        <v>0</v>
      </c>
      <c r="D35" s="32">
        <v>0</v>
      </c>
      <c r="E35" s="32">
        <f>1-C35-D35</f>
        <v>1</v>
      </c>
      <c r="O35" s="28"/>
      <c r="P35" s="29"/>
    </row>
    <row r="36" spans="1:16" ht="12.75">
      <c r="A36" s="27" t="s">
        <v>42</v>
      </c>
      <c r="C36" s="32"/>
      <c r="D36" s="32"/>
      <c r="E36" s="32"/>
      <c r="O36" s="28"/>
      <c r="P36" s="29"/>
    </row>
    <row r="37" spans="1:16" ht="12.75">
      <c r="A37" s="38" t="s">
        <v>27</v>
      </c>
      <c r="C37" s="32">
        <v>1</v>
      </c>
      <c r="D37" s="32">
        <v>0</v>
      </c>
      <c r="E37" s="32">
        <f aca="true" t="shared" si="0" ref="E37:E43">1-C37-D37</f>
        <v>0</v>
      </c>
      <c r="O37" s="28"/>
      <c r="P37" s="29"/>
    </row>
    <row r="38" spans="1:16" ht="12.75">
      <c r="A38" s="38" t="s">
        <v>28</v>
      </c>
      <c r="C38" s="32">
        <v>1</v>
      </c>
      <c r="D38" s="32">
        <v>0</v>
      </c>
      <c r="E38" s="32">
        <f t="shared" si="0"/>
        <v>0</v>
      </c>
      <c r="O38" s="28"/>
      <c r="P38" s="29"/>
    </row>
    <row r="39" spans="1:16" ht="12.75">
      <c r="A39" s="38" t="s">
        <v>29</v>
      </c>
      <c r="C39" s="32">
        <v>1</v>
      </c>
      <c r="D39" s="32">
        <v>0</v>
      </c>
      <c r="E39" s="32">
        <f t="shared" si="0"/>
        <v>0</v>
      </c>
      <c r="O39" s="28"/>
      <c r="P39" s="29"/>
    </row>
    <row r="40" spans="1:16" ht="12.75">
      <c r="A40" s="38" t="s">
        <v>30</v>
      </c>
      <c r="C40" s="32">
        <v>0.5</v>
      </c>
      <c r="D40" s="32">
        <v>0</v>
      </c>
      <c r="E40" s="32">
        <f t="shared" si="0"/>
        <v>0.5</v>
      </c>
      <c r="O40" s="28"/>
      <c r="P40" s="29"/>
    </row>
    <row r="41" spans="1:16" ht="12.75">
      <c r="A41" s="38" t="s">
        <v>31</v>
      </c>
      <c r="C41" s="32">
        <v>0.5</v>
      </c>
      <c r="D41" s="32">
        <v>0.3</v>
      </c>
      <c r="E41" s="32">
        <f t="shared" si="0"/>
        <v>0.2</v>
      </c>
      <c r="O41" s="28"/>
      <c r="P41" s="29"/>
    </row>
    <row r="42" spans="1:16" ht="12.75">
      <c r="A42" s="38" t="s">
        <v>32</v>
      </c>
      <c r="C42" s="32">
        <v>0.35</v>
      </c>
      <c r="D42" s="32">
        <v>0.3</v>
      </c>
      <c r="E42" s="32">
        <f t="shared" si="0"/>
        <v>0.35000000000000003</v>
      </c>
      <c r="O42" s="28"/>
      <c r="P42" s="29"/>
    </row>
    <row r="43" spans="1:16" ht="12.75">
      <c r="A43" s="38" t="s">
        <v>33</v>
      </c>
      <c r="C43" s="32">
        <v>0.3</v>
      </c>
      <c r="D43" s="32">
        <v>0.35</v>
      </c>
      <c r="E43" s="32">
        <f t="shared" si="0"/>
        <v>0.35</v>
      </c>
      <c r="O43" s="28"/>
      <c r="P43" s="29"/>
    </row>
    <row r="44" spans="1:16" ht="12.75">
      <c r="A44" s="40" t="s">
        <v>43</v>
      </c>
      <c r="B44" s="27" t="s">
        <v>44</v>
      </c>
      <c r="C44" s="33">
        <v>3</v>
      </c>
      <c r="D44" s="32"/>
      <c r="E44" s="32"/>
      <c r="O44" s="28"/>
      <c r="P44" s="29"/>
    </row>
    <row r="45" spans="1:16" ht="12.75">
      <c r="A45" s="27" t="s">
        <v>45</v>
      </c>
      <c r="B45" s="35" t="s">
        <v>44</v>
      </c>
      <c r="C45" s="33">
        <v>25</v>
      </c>
      <c r="O45" s="28"/>
      <c r="P45" s="29"/>
    </row>
    <row r="46" spans="1:16" ht="12.75">
      <c r="A46" s="27" t="s">
        <v>46</v>
      </c>
      <c r="B46" s="35" t="s">
        <v>44</v>
      </c>
      <c r="C46" s="33">
        <v>5</v>
      </c>
      <c r="O46" s="28"/>
      <c r="P46" s="29"/>
    </row>
    <row r="47" spans="1:16" ht="12.75">
      <c r="A47" s="27" t="s">
        <v>47</v>
      </c>
      <c r="B47" s="35" t="s">
        <v>44</v>
      </c>
      <c r="C47" s="33">
        <v>20</v>
      </c>
      <c r="O47" s="28"/>
      <c r="P47" s="29"/>
    </row>
    <row r="48" spans="1:16" ht="12.75">
      <c r="A48" s="27" t="s">
        <v>48</v>
      </c>
      <c r="B48" s="35" t="s">
        <v>44</v>
      </c>
      <c r="C48" s="33">
        <v>3</v>
      </c>
      <c r="O48" s="28"/>
      <c r="P48" s="29"/>
    </row>
    <row r="49" spans="1:16" ht="12.75">
      <c r="A49" s="27" t="s">
        <v>49</v>
      </c>
      <c r="B49" s="35" t="s">
        <v>10</v>
      </c>
      <c r="C49" s="34">
        <v>0.8</v>
      </c>
      <c r="D49" s="34">
        <v>0.3</v>
      </c>
      <c r="E49" s="34">
        <v>0</v>
      </c>
      <c r="O49" s="28"/>
      <c r="P49" s="29"/>
    </row>
    <row r="50" spans="1:16" ht="12.75">
      <c r="A50" s="27" t="s">
        <v>50</v>
      </c>
      <c r="B50" s="35" t="s">
        <v>10</v>
      </c>
      <c r="C50" s="34">
        <f>1-C49</f>
        <v>0.19999999999999996</v>
      </c>
      <c r="D50" s="34">
        <f>1-D49</f>
        <v>0.7</v>
      </c>
      <c r="E50" s="34">
        <f>1-E49</f>
        <v>1</v>
      </c>
      <c r="O50" s="28"/>
      <c r="P50" s="29"/>
    </row>
    <row r="51" spans="1:16" ht="12.75">
      <c r="A51" s="27" t="s">
        <v>51</v>
      </c>
      <c r="B51" s="35" t="s">
        <v>10</v>
      </c>
      <c r="C51" s="41">
        <v>0.08</v>
      </c>
      <c r="D51" s="34"/>
      <c r="E51" s="34"/>
      <c r="O51" s="28"/>
      <c r="P51" s="29"/>
    </row>
    <row r="52" spans="1:16" ht="12.75">
      <c r="A52" s="30" t="s">
        <v>133</v>
      </c>
      <c r="B52" s="36" t="s">
        <v>10</v>
      </c>
      <c r="C52" s="42">
        <v>0.035</v>
      </c>
      <c r="D52" s="34"/>
      <c r="E52" s="34"/>
      <c r="O52" s="28"/>
      <c r="P52" s="29"/>
    </row>
    <row r="53" spans="1:16" ht="12.75">
      <c r="A53" s="27" t="s">
        <v>52</v>
      </c>
      <c r="B53" s="35" t="s">
        <v>10</v>
      </c>
      <c r="C53" s="41">
        <f>(1+C3)*(1+C54)-1</f>
        <v>0.11499999999999999</v>
      </c>
      <c r="D53" s="34"/>
      <c r="E53" s="34"/>
      <c r="O53" s="28"/>
      <c r="P53" s="29"/>
    </row>
    <row r="54" spans="1:16" ht="12.75">
      <c r="A54" s="27" t="s">
        <v>53</v>
      </c>
      <c r="B54" s="35" t="s">
        <v>10</v>
      </c>
      <c r="C54" s="43">
        <f>(1+C51+C52)/(1+7%)-1</f>
        <v>0.04205607476635498</v>
      </c>
      <c r="O54" s="28"/>
      <c r="P54" s="29"/>
    </row>
    <row r="55" spans="1:16" ht="12.75">
      <c r="A55" s="27" t="s">
        <v>54</v>
      </c>
      <c r="B55" s="35" t="s">
        <v>44</v>
      </c>
      <c r="C55" s="33">
        <v>4</v>
      </c>
      <c r="O55" s="28"/>
      <c r="P55" s="29"/>
    </row>
    <row r="56" spans="1:16" ht="12.75">
      <c r="A56" s="27" t="s">
        <v>55</v>
      </c>
      <c r="B56" s="35" t="s">
        <v>44</v>
      </c>
      <c r="C56" s="33">
        <v>10</v>
      </c>
      <c r="O56" s="28"/>
      <c r="P56" s="29"/>
    </row>
    <row r="57" spans="1:16" ht="14.25">
      <c r="A57" s="30" t="s">
        <v>56</v>
      </c>
      <c r="B57" s="30" t="s">
        <v>166</v>
      </c>
      <c r="C57" s="44">
        <v>40</v>
      </c>
      <c r="O57" s="28"/>
      <c r="P57" s="29"/>
    </row>
    <row r="58" spans="1:30" ht="12.75">
      <c r="A58" s="30" t="s">
        <v>57</v>
      </c>
      <c r="B58" s="36" t="s">
        <v>10</v>
      </c>
      <c r="C58" s="45"/>
      <c r="D58" s="45">
        <f>INDEX($D$231:$AD$233,$B$234,D2)</f>
        <v>0.06</v>
      </c>
      <c r="E58" s="45">
        <f aca="true" t="shared" si="1" ref="E58:AD58">INDEX($D$231:$AD$233,$B$234,E2)</f>
        <v>0.06</v>
      </c>
      <c r="F58" s="45">
        <f t="shared" si="1"/>
        <v>0.06</v>
      </c>
      <c r="G58" s="45">
        <f t="shared" si="1"/>
        <v>0.06</v>
      </c>
      <c r="H58" s="45">
        <f t="shared" si="1"/>
        <v>0.06</v>
      </c>
      <c r="I58" s="45">
        <f t="shared" si="1"/>
        <v>0.06</v>
      </c>
      <c r="J58" s="45">
        <f t="shared" si="1"/>
        <v>0.06</v>
      </c>
      <c r="K58" s="45">
        <f t="shared" si="1"/>
        <v>0.05</v>
      </c>
      <c r="L58" s="45">
        <f t="shared" si="1"/>
        <v>0.05</v>
      </c>
      <c r="M58" s="45">
        <f t="shared" si="1"/>
        <v>0.05</v>
      </c>
      <c r="N58" s="45">
        <f t="shared" si="1"/>
        <v>0.05</v>
      </c>
      <c r="O58" s="45">
        <f t="shared" si="1"/>
        <v>0.05</v>
      </c>
      <c r="P58" s="45">
        <f t="shared" si="1"/>
        <v>0.04</v>
      </c>
      <c r="Q58" s="45">
        <f t="shared" si="1"/>
        <v>0.04</v>
      </c>
      <c r="R58" s="45">
        <f t="shared" si="1"/>
        <v>0.04</v>
      </c>
      <c r="S58" s="45">
        <f t="shared" si="1"/>
        <v>0.04</v>
      </c>
      <c r="T58" s="45">
        <f t="shared" si="1"/>
        <v>0.04</v>
      </c>
      <c r="U58" s="45">
        <f t="shared" si="1"/>
        <v>0.03</v>
      </c>
      <c r="V58" s="45">
        <f t="shared" si="1"/>
        <v>0.03</v>
      </c>
      <c r="W58" s="45">
        <f t="shared" si="1"/>
        <v>0.03</v>
      </c>
      <c r="X58" s="45">
        <f t="shared" si="1"/>
        <v>0.03</v>
      </c>
      <c r="Y58" s="45">
        <f t="shared" si="1"/>
        <v>0.03</v>
      </c>
      <c r="Z58" s="45">
        <f t="shared" si="1"/>
        <v>0.03</v>
      </c>
      <c r="AA58" s="45">
        <f t="shared" si="1"/>
        <v>0.03</v>
      </c>
      <c r="AB58" s="45">
        <f t="shared" si="1"/>
        <v>0.03</v>
      </c>
      <c r="AC58" s="45">
        <f t="shared" si="1"/>
        <v>0.03</v>
      </c>
      <c r="AD58" s="45">
        <f t="shared" si="1"/>
        <v>0.03</v>
      </c>
    </row>
    <row r="59" spans="1:30" ht="12.75">
      <c r="A59" s="30" t="s">
        <v>134</v>
      </c>
      <c r="B59" s="36" t="s">
        <v>10</v>
      </c>
      <c r="C59" s="36"/>
      <c r="D59" s="30"/>
      <c r="E59" s="30"/>
      <c r="F59" s="46">
        <f>INDEX($F$240:$AD$242,$B$243,F2-2)</f>
        <v>0.5</v>
      </c>
      <c r="G59" s="46">
        <f aca="true" t="shared" si="2" ref="G59:AD59">INDEX($F$240:$AD$242,$B$243,G2-2)</f>
        <v>0.4</v>
      </c>
      <c r="H59" s="46">
        <f t="shared" si="2"/>
        <v>0.3</v>
      </c>
      <c r="I59" s="46">
        <f t="shared" si="2"/>
        <v>0.2</v>
      </c>
      <c r="J59" s="46">
        <f t="shared" si="2"/>
        <v>0.2</v>
      </c>
      <c r="K59" s="46">
        <f t="shared" si="2"/>
        <v>0.2</v>
      </c>
      <c r="L59" s="46">
        <f t="shared" si="2"/>
        <v>0.2</v>
      </c>
      <c r="M59" s="46">
        <f t="shared" si="2"/>
        <v>0.2</v>
      </c>
      <c r="N59" s="46">
        <f t="shared" si="2"/>
        <v>0.2</v>
      </c>
      <c r="O59" s="46">
        <f t="shared" si="2"/>
        <v>0.2</v>
      </c>
      <c r="P59" s="46">
        <f t="shared" si="2"/>
        <v>0.2</v>
      </c>
      <c r="Q59" s="46">
        <f t="shared" si="2"/>
        <v>0.2</v>
      </c>
      <c r="R59" s="46">
        <f t="shared" si="2"/>
        <v>0.2</v>
      </c>
      <c r="S59" s="46">
        <f t="shared" si="2"/>
        <v>0.2</v>
      </c>
      <c r="T59" s="46">
        <f t="shared" si="2"/>
        <v>0.2</v>
      </c>
      <c r="U59" s="46">
        <f t="shared" si="2"/>
        <v>0.2</v>
      </c>
      <c r="V59" s="46">
        <f t="shared" si="2"/>
        <v>0.2</v>
      </c>
      <c r="W59" s="46">
        <f t="shared" si="2"/>
        <v>0.2</v>
      </c>
      <c r="X59" s="46">
        <f t="shared" si="2"/>
        <v>0.2</v>
      </c>
      <c r="Y59" s="46">
        <f t="shared" si="2"/>
        <v>0.2</v>
      </c>
      <c r="Z59" s="46">
        <f t="shared" si="2"/>
        <v>0.2</v>
      </c>
      <c r="AA59" s="46">
        <f t="shared" si="2"/>
        <v>0.2</v>
      </c>
      <c r="AB59" s="46">
        <f t="shared" si="2"/>
        <v>0.2</v>
      </c>
      <c r="AC59" s="46">
        <f t="shared" si="2"/>
        <v>0.2</v>
      </c>
      <c r="AD59" s="46">
        <f t="shared" si="2"/>
        <v>0.2</v>
      </c>
    </row>
    <row r="60" spans="1:16" ht="12.75">
      <c r="A60" s="27" t="s">
        <v>59</v>
      </c>
      <c r="B60" s="35" t="s">
        <v>1</v>
      </c>
      <c r="C60" s="32">
        <v>0.2</v>
      </c>
      <c r="O60" s="28"/>
      <c r="P60" s="29"/>
    </row>
    <row r="61" spans="1:16" ht="12.75">
      <c r="A61" s="27" t="s">
        <v>58</v>
      </c>
      <c r="B61" s="35" t="s">
        <v>1</v>
      </c>
      <c r="C61" s="32">
        <v>0.06</v>
      </c>
      <c r="O61" s="28"/>
      <c r="P61" s="29"/>
    </row>
    <row r="62" spans="1:16" ht="12.75">
      <c r="A62" s="30" t="s">
        <v>60</v>
      </c>
      <c r="B62" s="36" t="s">
        <v>1</v>
      </c>
      <c r="C62" s="46">
        <v>0.3</v>
      </c>
      <c r="O62" s="28"/>
      <c r="P62" s="29"/>
    </row>
    <row r="63" spans="1:16" ht="12.75">
      <c r="A63" s="27" t="s">
        <v>61</v>
      </c>
      <c r="B63" s="35" t="s">
        <v>1</v>
      </c>
      <c r="C63" s="34">
        <v>0.08</v>
      </c>
      <c r="O63" s="28"/>
      <c r="P63" s="29"/>
    </row>
    <row r="64" spans="1:3" ht="12.75">
      <c r="A64" s="27" t="s">
        <v>2</v>
      </c>
      <c r="B64" s="35" t="s">
        <v>1</v>
      </c>
      <c r="C64" s="32">
        <v>0.1</v>
      </c>
    </row>
    <row r="65" spans="1:3" ht="12.75">
      <c r="A65" s="27" t="s">
        <v>62</v>
      </c>
      <c r="B65" s="35" t="s">
        <v>1</v>
      </c>
      <c r="C65" s="32">
        <v>0.25</v>
      </c>
    </row>
    <row r="66" spans="1:3" ht="12.75">
      <c r="A66" s="27" t="s">
        <v>135</v>
      </c>
      <c r="B66" s="35" t="s">
        <v>44</v>
      </c>
      <c r="C66" s="33">
        <v>5</v>
      </c>
    </row>
    <row r="67" spans="1:30" ht="13.5" thickBot="1">
      <c r="A67" s="47" t="s">
        <v>139</v>
      </c>
      <c r="B67" s="48" t="s">
        <v>10</v>
      </c>
      <c r="C67" s="49">
        <f>(1+20%)/(1+7%)*(1+C3)-1</f>
        <v>0.19999999999999996</v>
      </c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</row>
    <row r="68" spans="2:3" ht="13.5" thickTop="1">
      <c r="B68" s="35"/>
      <c r="C68" s="33"/>
    </row>
    <row r="69" spans="1:3" ht="12.75">
      <c r="A69" s="29" t="s">
        <v>63</v>
      </c>
      <c r="B69" s="35"/>
      <c r="C69" s="32"/>
    </row>
    <row r="70" spans="1:30" ht="12.75">
      <c r="A70" s="27" t="s">
        <v>64</v>
      </c>
      <c r="B70" s="35"/>
      <c r="C70" s="33">
        <v>1</v>
      </c>
      <c r="D70" s="50">
        <f>C70*(1+$C$3)</f>
        <v>1.07</v>
      </c>
      <c r="E70" s="50">
        <f aca="true" t="shared" si="3" ref="E70:AD70">D70*(1+$C$3)</f>
        <v>1.1449</v>
      </c>
      <c r="F70" s="50">
        <f t="shared" si="3"/>
        <v>1.225043</v>
      </c>
      <c r="G70" s="50">
        <f t="shared" si="3"/>
        <v>1.3107960100000002</v>
      </c>
      <c r="H70" s="50">
        <f t="shared" si="3"/>
        <v>1.4025517307000004</v>
      </c>
      <c r="I70" s="50">
        <f t="shared" si="3"/>
        <v>1.5007303518490005</v>
      </c>
      <c r="J70" s="50">
        <f t="shared" si="3"/>
        <v>1.6057814764784306</v>
      </c>
      <c r="K70" s="50">
        <f t="shared" si="3"/>
        <v>1.718186179831921</v>
      </c>
      <c r="L70" s="50">
        <f t="shared" si="3"/>
        <v>1.8384592124201555</v>
      </c>
      <c r="M70" s="50">
        <f t="shared" si="3"/>
        <v>1.9671513572895665</v>
      </c>
      <c r="N70" s="50">
        <f t="shared" si="3"/>
        <v>2.1048519522998363</v>
      </c>
      <c r="O70" s="50">
        <f t="shared" si="3"/>
        <v>2.252191588960825</v>
      </c>
      <c r="P70" s="50">
        <f t="shared" si="3"/>
        <v>2.4098450001880827</v>
      </c>
      <c r="Q70" s="50">
        <f t="shared" si="3"/>
        <v>2.5785341502012487</v>
      </c>
      <c r="R70" s="50">
        <f t="shared" si="3"/>
        <v>2.7590315407153363</v>
      </c>
      <c r="S70" s="50">
        <f t="shared" si="3"/>
        <v>2.95216374856541</v>
      </c>
      <c r="T70" s="50">
        <f t="shared" si="3"/>
        <v>3.158815210964989</v>
      </c>
      <c r="U70" s="50">
        <f t="shared" si="3"/>
        <v>3.3799322757325387</v>
      </c>
      <c r="V70" s="50">
        <f t="shared" si="3"/>
        <v>3.616527535033817</v>
      </c>
      <c r="W70" s="50">
        <f t="shared" si="3"/>
        <v>3.8696844624861844</v>
      </c>
      <c r="X70" s="50">
        <f t="shared" si="3"/>
        <v>4.140562374860218</v>
      </c>
      <c r="Y70" s="50">
        <f t="shared" si="3"/>
        <v>4.430401741100433</v>
      </c>
      <c r="Z70" s="50">
        <f t="shared" si="3"/>
        <v>4.740529862977464</v>
      </c>
      <c r="AA70" s="50">
        <f t="shared" si="3"/>
        <v>5.072366953385887</v>
      </c>
      <c r="AB70" s="50">
        <f t="shared" si="3"/>
        <v>5.4274326401229</v>
      </c>
      <c r="AC70" s="50">
        <f t="shared" si="3"/>
        <v>5.807352924931504</v>
      </c>
      <c r="AD70" s="50">
        <f t="shared" si="3"/>
        <v>6.2138676296767095</v>
      </c>
    </row>
    <row r="71" spans="1:30" ht="12.75">
      <c r="A71" s="27" t="s">
        <v>65</v>
      </c>
      <c r="B71" s="35"/>
      <c r="C71" s="33">
        <v>1</v>
      </c>
      <c r="D71" s="50">
        <f>C71*(1+$C$5)</f>
        <v>1.02</v>
      </c>
      <c r="E71" s="50">
        <f aca="true" t="shared" si="4" ref="E71:AD71">D71*(1+$C$5)</f>
        <v>1.0404</v>
      </c>
      <c r="F71" s="50">
        <f t="shared" si="4"/>
        <v>1.061208</v>
      </c>
      <c r="G71" s="50">
        <f t="shared" si="4"/>
        <v>1.08243216</v>
      </c>
      <c r="H71" s="50">
        <f t="shared" si="4"/>
        <v>1.1040808032</v>
      </c>
      <c r="I71" s="50">
        <f t="shared" si="4"/>
        <v>1.126162419264</v>
      </c>
      <c r="J71" s="50">
        <f t="shared" si="4"/>
        <v>1.14868566764928</v>
      </c>
      <c r="K71" s="50">
        <f t="shared" si="4"/>
        <v>1.1716593810022657</v>
      </c>
      <c r="L71" s="50">
        <f t="shared" si="4"/>
        <v>1.195092568622311</v>
      </c>
      <c r="M71" s="50">
        <f t="shared" si="4"/>
        <v>1.2189944199947573</v>
      </c>
      <c r="N71" s="50">
        <f t="shared" si="4"/>
        <v>1.2433743083946525</v>
      </c>
      <c r="O71" s="50">
        <f t="shared" si="4"/>
        <v>1.2682417945625455</v>
      </c>
      <c r="P71" s="50">
        <f t="shared" si="4"/>
        <v>1.2936066304537963</v>
      </c>
      <c r="Q71" s="50">
        <f t="shared" si="4"/>
        <v>1.3194787630628724</v>
      </c>
      <c r="R71" s="50">
        <f t="shared" si="4"/>
        <v>1.3458683383241299</v>
      </c>
      <c r="S71" s="50">
        <f t="shared" si="4"/>
        <v>1.3727857050906125</v>
      </c>
      <c r="T71" s="50">
        <f t="shared" si="4"/>
        <v>1.4002414191924248</v>
      </c>
      <c r="U71" s="50">
        <f t="shared" si="4"/>
        <v>1.4282462475762734</v>
      </c>
      <c r="V71" s="50">
        <f t="shared" si="4"/>
        <v>1.4568111725277988</v>
      </c>
      <c r="W71" s="50">
        <f t="shared" si="4"/>
        <v>1.485947395978355</v>
      </c>
      <c r="X71" s="50">
        <f t="shared" si="4"/>
        <v>1.515666343897922</v>
      </c>
      <c r="Y71" s="50">
        <f t="shared" si="4"/>
        <v>1.5459796707758806</v>
      </c>
      <c r="Z71" s="50">
        <f t="shared" si="4"/>
        <v>1.5768992641913981</v>
      </c>
      <c r="AA71" s="50">
        <f t="shared" si="4"/>
        <v>1.6084372494752261</v>
      </c>
      <c r="AB71" s="50">
        <f t="shared" si="4"/>
        <v>1.6406059944647307</v>
      </c>
      <c r="AC71" s="50">
        <f t="shared" si="4"/>
        <v>1.6734181143540252</v>
      </c>
      <c r="AD71" s="50">
        <f t="shared" si="4"/>
        <v>1.7068864766411058</v>
      </c>
    </row>
    <row r="72" spans="1:30" ht="12.75">
      <c r="A72" s="27" t="s">
        <v>66</v>
      </c>
      <c r="B72" s="35"/>
      <c r="C72" s="33">
        <f>$C$4</f>
        <v>18000</v>
      </c>
      <c r="D72" s="33">
        <f>$C$72*D70/D71</f>
        <v>18882.35294117647</v>
      </c>
      <c r="E72" s="33">
        <f aca="true" t="shared" si="5" ref="E72:AD72">$C$72*E70/E71</f>
        <v>19807.95847750865</v>
      </c>
      <c r="F72" s="33">
        <f t="shared" si="5"/>
        <v>20778.936834249274</v>
      </c>
      <c r="G72" s="33">
        <f t="shared" si="5"/>
        <v>21797.512169261496</v>
      </c>
      <c r="H72" s="33">
        <f t="shared" si="5"/>
        <v>22866.017667754706</v>
      </c>
      <c r="I72" s="33">
        <f t="shared" si="5"/>
        <v>23986.90088676229</v>
      </c>
      <c r="J72" s="33">
        <f t="shared" si="5"/>
        <v>25162.729361603582</v>
      </c>
      <c r="K72" s="33">
        <f t="shared" si="5"/>
        <v>26396.196487172383</v>
      </c>
      <c r="L72" s="33">
        <f t="shared" si="5"/>
        <v>27690.12768752397</v>
      </c>
      <c r="M72" s="33">
        <f t="shared" si="5"/>
        <v>29047.486887892795</v>
      </c>
      <c r="N72" s="33">
        <f t="shared" si="5"/>
        <v>30471.383303965973</v>
      </c>
      <c r="O72" s="33">
        <f t="shared" si="5"/>
        <v>31965.078563964307</v>
      </c>
      <c r="P72" s="33">
        <f t="shared" si="5"/>
        <v>33531.994179844914</v>
      </c>
      <c r="Q72" s="33">
        <f t="shared" si="5"/>
        <v>35175.71938473928</v>
      </c>
      <c r="R72" s="33">
        <f t="shared" si="5"/>
        <v>36900.01935457943</v>
      </c>
      <c r="S72" s="33">
        <f t="shared" si="5"/>
        <v>38708.84383274509</v>
      </c>
      <c r="T72" s="33">
        <f t="shared" si="5"/>
        <v>40606.3361774875</v>
      </c>
      <c r="U72" s="33">
        <f t="shared" si="5"/>
        <v>42596.84285285454</v>
      </c>
      <c r="V72" s="33">
        <f t="shared" si="5"/>
        <v>44684.92338485722</v>
      </c>
      <c r="W72" s="33">
        <f t="shared" si="5"/>
        <v>46875.36080568355</v>
      </c>
      <c r="X72" s="33">
        <f t="shared" si="5"/>
        <v>49173.172609883724</v>
      </c>
      <c r="Y72" s="33">
        <f t="shared" si="5"/>
        <v>51583.62224762313</v>
      </c>
      <c r="Z72" s="33">
        <f t="shared" si="5"/>
        <v>54112.23118133016</v>
      </c>
      <c r="AA72" s="33">
        <f t="shared" si="5"/>
        <v>56764.79153335615</v>
      </c>
      <c r="AB72" s="33">
        <f t="shared" si="5"/>
        <v>59547.37935361871</v>
      </c>
      <c r="AC72" s="33">
        <f t="shared" si="5"/>
        <v>62466.36853761964</v>
      </c>
      <c r="AD72" s="33">
        <f t="shared" si="5"/>
        <v>65528.445426718645</v>
      </c>
    </row>
    <row r="73" spans="2:4" ht="12.75">
      <c r="B73" s="35"/>
      <c r="C73" s="32"/>
      <c r="D73" s="33"/>
    </row>
    <row r="74" spans="1:3" ht="12.75">
      <c r="A74" s="29" t="s">
        <v>67</v>
      </c>
      <c r="B74" s="29"/>
      <c r="C74" s="33"/>
    </row>
    <row r="75" spans="1:3" ht="14.25">
      <c r="A75" s="27" t="s">
        <v>68</v>
      </c>
      <c r="B75" s="27" t="s">
        <v>161</v>
      </c>
      <c r="C75" s="33">
        <f>C9*C12+C10*C13+C11*C14</f>
        <v>19048</v>
      </c>
    </row>
    <row r="76" spans="1:3" ht="14.25">
      <c r="A76" s="27" t="s">
        <v>69</v>
      </c>
      <c r="B76" s="27" t="s">
        <v>161</v>
      </c>
      <c r="C76" s="33">
        <f>C75*C15</f>
        <v>22857.6</v>
      </c>
    </row>
    <row r="77" spans="1:3" ht="12.75">
      <c r="A77" s="27" t="s">
        <v>70</v>
      </c>
      <c r="B77" s="27" t="s">
        <v>35</v>
      </c>
      <c r="C77" s="33">
        <f>C76*C17</f>
        <v>329149.44</v>
      </c>
    </row>
    <row r="78" spans="1:3" ht="12.75">
      <c r="A78" s="27" t="s">
        <v>71</v>
      </c>
      <c r="B78" s="27" t="s">
        <v>35</v>
      </c>
      <c r="C78" s="33">
        <f>C12*C18+C13*C19+C14*C20</f>
        <v>36168</v>
      </c>
    </row>
    <row r="79" spans="1:3" ht="12.75">
      <c r="A79" s="27" t="s">
        <v>72</v>
      </c>
      <c r="B79" s="27" t="s">
        <v>35</v>
      </c>
      <c r="C79" s="33">
        <f>C21*C76</f>
        <v>8228.735999999999</v>
      </c>
    </row>
    <row r="80" spans="1:3" ht="12.75">
      <c r="A80" s="27" t="s">
        <v>37</v>
      </c>
      <c r="B80" s="27" t="s">
        <v>35</v>
      </c>
      <c r="C80" s="33">
        <f>C31*C16</f>
        <v>1650</v>
      </c>
    </row>
    <row r="81" spans="1:3" ht="12.75">
      <c r="A81" s="27" t="s">
        <v>73</v>
      </c>
      <c r="B81" s="27" t="s">
        <v>35</v>
      </c>
      <c r="C81" s="33">
        <f>C77+C78+C79+C80</f>
        <v>375196.176</v>
      </c>
    </row>
    <row r="82" spans="1:3" ht="12.75">
      <c r="A82" s="27" t="s">
        <v>42</v>
      </c>
      <c r="C82" s="33"/>
    </row>
    <row r="83" spans="1:3" ht="12.75">
      <c r="A83" s="38" t="s">
        <v>27</v>
      </c>
      <c r="B83" s="27" t="s">
        <v>35</v>
      </c>
      <c r="C83" s="33">
        <f aca="true" t="shared" si="6" ref="C83:C89">C23*C$81</f>
        <v>11255.885279999999</v>
      </c>
    </row>
    <row r="84" spans="1:3" ht="12.75">
      <c r="A84" s="38" t="s">
        <v>28</v>
      </c>
      <c r="B84" s="27" t="s">
        <v>35</v>
      </c>
      <c r="C84" s="33">
        <f t="shared" si="6"/>
        <v>11255.885279999999</v>
      </c>
    </row>
    <row r="85" spans="1:3" ht="12.75">
      <c r="A85" s="38" t="s">
        <v>29</v>
      </c>
      <c r="B85" s="27" t="s">
        <v>35</v>
      </c>
      <c r="C85" s="33">
        <f t="shared" si="6"/>
        <v>5627.942639999999</v>
      </c>
    </row>
    <row r="86" spans="1:3" ht="12.75">
      <c r="A86" s="38" t="s">
        <v>30</v>
      </c>
      <c r="B86" s="27" t="s">
        <v>35</v>
      </c>
      <c r="C86" s="33">
        <f t="shared" si="6"/>
        <v>7503.923519999999</v>
      </c>
    </row>
    <row r="87" spans="1:3" ht="12.75">
      <c r="A87" s="38" t="s">
        <v>31</v>
      </c>
      <c r="B87" s="27" t="s">
        <v>35</v>
      </c>
      <c r="C87" s="33">
        <f t="shared" si="6"/>
        <v>13507.062335999999</v>
      </c>
    </row>
    <row r="88" spans="1:3" ht="12.75">
      <c r="A88" s="38" t="s">
        <v>32</v>
      </c>
      <c r="B88" s="27" t="s">
        <v>35</v>
      </c>
      <c r="C88" s="33">
        <f t="shared" si="6"/>
        <v>1500.784704</v>
      </c>
    </row>
    <row r="89" spans="1:3" ht="12.75">
      <c r="A89" s="38" t="s">
        <v>33</v>
      </c>
      <c r="B89" s="27" t="s">
        <v>35</v>
      </c>
      <c r="C89" s="33">
        <f t="shared" si="6"/>
        <v>18759.8088</v>
      </c>
    </row>
    <row r="90" spans="1:3" ht="12.75">
      <c r="A90" s="27" t="s">
        <v>74</v>
      </c>
      <c r="B90" s="27" t="s">
        <v>35</v>
      </c>
      <c r="C90" s="33">
        <f>C81+SUM(C83:C89)</f>
        <v>444607.46855999995</v>
      </c>
    </row>
    <row r="91" spans="1:3" ht="12.75">
      <c r="A91" s="27" t="s">
        <v>75</v>
      </c>
      <c r="B91" s="27" t="s">
        <v>35</v>
      </c>
      <c r="C91" s="33">
        <f>C90*C30</f>
        <v>44460.746856</v>
      </c>
    </row>
    <row r="92" spans="1:3" ht="12.75">
      <c r="A92" s="27" t="s">
        <v>76</v>
      </c>
      <c r="C92" s="33">
        <f>C91+C90</f>
        <v>489068.21541599993</v>
      </c>
    </row>
    <row r="93" spans="1:3" ht="12.75">
      <c r="A93" s="29" t="s">
        <v>77</v>
      </c>
      <c r="C93" s="33"/>
    </row>
    <row r="94" spans="1:5" ht="12.75">
      <c r="A94" s="27" t="s">
        <v>78</v>
      </c>
      <c r="B94" s="27" t="s">
        <v>35</v>
      </c>
      <c r="C94" s="33">
        <f>$C77*(1+$C$30)*C33</f>
        <v>108619.3152</v>
      </c>
      <c r="D94" s="33">
        <f>$C77*(1+$C$30)*D33</f>
        <v>199135.41120000003</v>
      </c>
      <c r="E94" s="33">
        <f>$C77*(1+$C$30)*E33</f>
        <v>54309.65759999997</v>
      </c>
    </row>
    <row r="95" spans="1:5" ht="12.75">
      <c r="A95" s="27" t="s">
        <v>79</v>
      </c>
      <c r="B95" s="27" t="s">
        <v>35</v>
      </c>
      <c r="C95" s="33">
        <f>($C78+$C79)*(1+$C$30)*C34</f>
        <v>0</v>
      </c>
      <c r="D95" s="33">
        <f>($C78+$C79)*(1+$C$30)*D34</f>
        <v>0</v>
      </c>
      <c r="E95" s="33">
        <f>($C78+$C79)*(1+$C$30)*E34</f>
        <v>48836.4096</v>
      </c>
    </row>
    <row r="96" spans="1:5" ht="12.75">
      <c r="A96" s="27" t="s">
        <v>41</v>
      </c>
      <c r="B96" s="27" t="s">
        <v>35</v>
      </c>
      <c r="C96" s="33">
        <f>$C80*(1+$C$30)*C35</f>
        <v>0</v>
      </c>
      <c r="D96" s="33">
        <f>$C80*(1+$C$30)*D35</f>
        <v>0</v>
      </c>
      <c r="E96" s="33">
        <f>$C80*(1+$C$30)*E35</f>
        <v>1815.0000000000002</v>
      </c>
    </row>
    <row r="97" spans="1:5" ht="12.75">
      <c r="A97" s="27" t="s">
        <v>80</v>
      </c>
      <c r="C97" s="33"/>
      <c r="D97" s="33"/>
      <c r="E97" s="33"/>
    </row>
    <row r="98" spans="1:5" ht="12.75">
      <c r="A98" s="38" t="s">
        <v>27</v>
      </c>
      <c r="B98" s="27" t="s">
        <v>35</v>
      </c>
      <c r="C98" s="33">
        <f aca="true" t="shared" si="7" ref="C98:E104">$C83*(1+$C$30)*C37</f>
        <v>12381.473807999999</v>
      </c>
      <c r="D98" s="33">
        <f t="shared" si="7"/>
        <v>0</v>
      </c>
      <c r="E98" s="33">
        <f t="shared" si="7"/>
        <v>0</v>
      </c>
    </row>
    <row r="99" spans="1:5" ht="12.75">
      <c r="A99" s="38" t="s">
        <v>28</v>
      </c>
      <c r="B99" s="27" t="s">
        <v>35</v>
      </c>
      <c r="C99" s="33">
        <f t="shared" si="7"/>
        <v>12381.473807999999</v>
      </c>
      <c r="D99" s="33">
        <f t="shared" si="7"/>
        <v>0</v>
      </c>
      <c r="E99" s="33">
        <f t="shared" si="7"/>
        <v>0</v>
      </c>
    </row>
    <row r="100" spans="1:5" ht="12.75">
      <c r="A100" s="38" t="s">
        <v>29</v>
      </c>
      <c r="B100" s="27" t="s">
        <v>35</v>
      </c>
      <c r="C100" s="33">
        <f t="shared" si="7"/>
        <v>6190.736903999999</v>
      </c>
      <c r="D100" s="33">
        <f t="shared" si="7"/>
        <v>0</v>
      </c>
      <c r="E100" s="33">
        <f t="shared" si="7"/>
        <v>0</v>
      </c>
    </row>
    <row r="101" spans="1:5" ht="12.75">
      <c r="A101" s="38" t="s">
        <v>30</v>
      </c>
      <c r="B101" s="27" t="s">
        <v>35</v>
      </c>
      <c r="C101" s="33">
        <f t="shared" si="7"/>
        <v>4127.157936</v>
      </c>
      <c r="D101" s="33">
        <f t="shared" si="7"/>
        <v>0</v>
      </c>
      <c r="E101" s="33">
        <f t="shared" si="7"/>
        <v>4127.157936</v>
      </c>
    </row>
    <row r="102" spans="1:5" ht="12.75">
      <c r="A102" s="38" t="s">
        <v>31</v>
      </c>
      <c r="B102" s="27" t="s">
        <v>35</v>
      </c>
      <c r="C102" s="33">
        <f t="shared" si="7"/>
        <v>7428.8842848</v>
      </c>
      <c r="D102" s="33">
        <f t="shared" si="7"/>
        <v>4457.33057088</v>
      </c>
      <c r="E102" s="33">
        <f t="shared" si="7"/>
        <v>2971.5537139200005</v>
      </c>
    </row>
    <row r="103" spans="1:5" ht="12.75">
      <c r="A103" s="38" t="s">
        <v>32</v>
      </c>
      <c r="B103" s="27" t="s">
        <v>35</v>
      </c>
      <c r="C103" s="33">
        <f t="shared" si="7"/>
        <v>577.8021110399999</v>
      </c>
      <c r="D103" s="33">
        <f t="shared" si="7"/>
        <v>495.25895231999993</v>
      </c>
      <c r="E103" s="33">
        <f t="shared" si="7"/>
        <v>577.80211104</v>
      </c>
    </row>
    <row r="104" spans="1:5" ht="12.75">
      <c r="A104" s="38" t="s">
        <v>33</v>
      </c>
      <c r="B104" s="27" t="s">
        <v>35</v>
      </c>
      <c r="C104" s="33">
        <f t="shared" si="7"/>
        <v>6190.736904</v>
      </c>
      <c r="D104" s="33">
        <f t="shared" si="7"/>
        <v>7222.526388</v>
      </c>
      <c r="E104" s="33">
        <f t="shared" si="7"/>
        <v>7222.526388</v>
      </c>
    </row>
    <row r="105" spans="1:5" ht="12.75">
      <c r="A105" s="27" t="s">
        <v>77</v>
      </c>
      <c r="B105" s="27" t="s">
        <v>35</v>
      </c>
      <c r="C105" s="51">
        <f>SUM(C94:C104)</f>
        <v>157897.58095583998</v>
      </c>
      <c r="D105" s="51">
        <f>SUM(D94:D104)</f>
        <v>211310.52711120003</v>
      </c>
      <c r="E105" s="51">
        <f>SUM(E94:E104)</f>
        <v>119860.10734895997</v>
      </c>
    </row>
    <row r="106" spans="3:5" ht="12.75">
      <c r="C106" s="33"/>
      <c r="D106" s="33"/>
      <c r="E106" s="33"/>
    </row>
    <row r="107" spans="1:3" ht="12.75">
      <c r="A107" s="29" t="s">
        <v>81</v>
      </c>
      <c r="C107" s="33"/>
    </row>
    <row r="108" spans="1:5" ht="12.75">
      <c r="A108" s="27" t="s">
        <v>78</v>
      </c>
      <c r="B108" s="27" t="s">
        <v>35</v>
      </c>
      <c r="C108" s="33">
        <f aca="true" t="shared" si="8" ref="C108:E118">C94*C$70</f>
        <v>108619.3152</v>
      </c>
      <c r="D108" s="33">
        <f t="shared" si="8"/>
        <v>213074.88998400004</v>
      </c>
      <c r="E108" s="33">
        <f t="shared" si="8"/>
        <v>62179.126986239964</v>
      </c>
    </row>
    <row r="109" spans="1:5" ht="12.75">
      <c r="A109" s="27" t="s">
        <v>79</v>
      </c>
      <c r="B109" s="27" t="s">
        <v>35</v>
      </c>
      <c r="C109" s="33">
        <f t="shared" si="8"/>
        <v>0</v>
      </c>
      <c r="D109" s="33">
        <f t="shared" si="8"/>
        <v>0</v>
      </c>
      <c r="E109" s="33">
        <f t="shared" si="8"/>
        <v>55912.80535104</v>
      </c>
    </row>
    <row r="110" spans="1:5" ht="12.75">
      <c r="A110" s="27" t="s">
        <v>41</v>
      </c>
      <c r="B110" s="27" t="s">
        <v>35</v>
      </c>
      <c r="C110" s="33">
        <f t="shared" si="8"/>
        <v>0</v>
      </c>
      <c r="D110" s="33">
        <f t="shared" si="8"/>
        <v>0</v>
      </c>
      <c r="E110" s="33">
        <f t="shared" si="8"/>
        <v>2077.9935000000005</v>
      </c>
    </row>
    <row r="111" spans="1:5" ht="12.75">
      <c r="A111" s="27" t="s">
        <v>80</v>
      </c>
      <c r="C111" s="33">
        <f t="shared" si="8"/>
        <v>0</v>
      </c>
      <c r="D111" s="33">
        <f t="shared" si="8"/>
        <v>0</v>
      </c>
      <c r="E111" s="33">
        <f t="shared" si="8"/>
        <v>0</v>
      </c>
    </row>
    <row r="112" spans="1:5" ht="12.75">
      <c r="A112" s="38" t="s">
        <v>27</v>
      </c>
      <c r="B112" s="27" t="s">
        <v>35</v>
      </c>
      <c r="C112" s="33">
        <f t="shared" si="8"/>
        <v>12381.473807999999</v>
      </c>
      <c r="D112" s="33">
        <f t="shared" si="8"/>
        <v>0</v>
      </c>
      <c r="E112" s="33">
        <f t="shared" si="8"/>
        <v>0</v>
      </c>
    </row>
    <row r="113" spans="1:5" ht="12.75">
      <c r="A113" s="38" t="s">
        <v>28</v>
      </c>
      <c r="B113" s="27" t="s">
        <v>35</v>
      </c>
      <c r="C113" s="33">
        <f t="shared" si="8"/>
        <v>12381.473807999999</v>
      </c>
      <c r="D113" s="33">
        <f t="shared" si="8"/>
        <v>0</v>
      </c>
      <c r="E113" s="33">
        <f t="shared" si="8"/>
        <v>0</v>
      </c>
    </row>
    <row r="114" spans="1:5" ht="12.75">
      <c r="A114" s="38" t="s">
        <v>29</v>
      </c>
      <c r="B114" s="27" t="s">
        <v>35</v>
      </c>
      <c r="C114" s="33">
        <f t="shared" si="8"/>
        <v>6190.736903999999</v>
      </c>
      <c r="D114" s="33">
        <f t="shared" si="8"/>
        <v>0</v>
      </c>
      <c r="E114" s="33">
        <f t="shared" si="8"/>
        <v>0</v>
      </c>
    </row>
    <row r="115" spans="1:5" ht="12.75">
      <c r="A115" s="38" t="s">
        <v>30</v>
      </c>
      <c r="B115" s="27" t="s">
        <v>35</v>
      </c>
      <c r="C115" s="33">
        <f t="shared" si="8"/>
        <v>4127.157936</v>
      </c>
      <c r="D115" s="33">
        <f t="shared" si="8"/>
        <v>0</v>
      </c>
      <c r="E115" s="33">
        <f t="shared" si="8"/>
        <v>4725.1831209264</v>
      </c>
    </row>
    <row r="116" spans="1:5" ht="12.75">
      <c r="A116" s="38" t="s">
        <v>31</v>
      </c>
      <c r="B116" s="27" t="s">
        <v>35</v>
      </c>
      <c r="C116" s="33">
        <f t="shared" si="8"/>
        <v>7428.8842848</v>
      </c>
      <c r="D116" s="33">
        <f t="shared" si="8"/>
        <v>4769.3437108416</v>
      </c>
      <c r="E116" s="33">
        <f t="shared" si="8"/>
        <v>3402.1318470670085</v>
      </c>
    </row>
    <row r="117" spans="1:5" ht="12.75">
      <c r="A117" s="38" t="s">
        <v>32</v>
      </c>
      <c r="B117" s="27" t="s">
        <v>35</v>
      </c>
      <c r="C117" s="33">
        <f t="shared" si="8"/>
        <v>577.8021110399999</v>
      </c>
      <c r="D117" s="33">
        <f t="shared" si="8"/>
        <v>529.9270789824</v>
      </c>
      <c r="E117" s="33">
        <f t="shared" si="8"/>
        <v>661.525636929696</v>
      </c>
    </row>
    <row r="118" spans="1:5" ht="12.75">
      <c r="A118" s="38" t="s">
        <v>33</v>
      </c>
      <c r="B118" s="27" t="s">
        <v>35</v>
      </c>
      <c r="C118" s="33">
        <f t="shared" si="8"/>
        <v>6190.736904</v>
      </c>
      <c r="D118" s="33">
        <f t="shared" si="8"/>
        <v>7728.103235160001</v>
      </c>
      <c r="E118" s="33">
        <f t="shared" si="8"/>
        <v>8269.0704616212</v>
      </c>
    </row>
    <row r="119" spans="1:5" ht="12.75">
      <c r="A119" s="52" t="s">
        <v>77</v>
      </c>
      <c r="B119" s="52" t="s">
        <v>35</v>
      </c>
      <c r="C119" s="53">
        <f>SUM(C108:C118)</f>
        <v>157897.58095583998</v>
      </c>
      <c r="D119" s="53">
        <f>SUM(D108:D118)</f>
        <v>226102.26400898406</v>
      </c>
      <c r="E119" s="53">
        <f>SUM(E108:E118)</f>
        <v>137227.83690382427</v>
      </c>
    </row>
    <row r="120" spans="1:5" ht="12.75">
      <c r="A120" s="29" t="s">
        <v>82</v>
      </c>
      <c r="B120" s="29" t="s">
        <v>35</v>
      </c>
      <c r="C120" s="54">
        <f>SUM(C119:E119)</f>
        <v>521227.6818686483</v>
      </c>
      <c r="D120" s="33"/>
      <c r="E120" s="33"/>
    </row>
    <row r="121" spans="1:5" ht="12.75">
      <c r="A121" s="29"/>
      <c r="B121" s="29"/>
      <c r="C121" s="54"/>
      <c r="D121" s="33"/>
      <c r="E121" s="33"/>
    </row>
    <row r="122" spans="1:7" ht="12.75">
      <c r="A122" s="29" t="s">
        <v>83</v>
      </c>
      <c r="C122" s="33"/>
      <c r="D122" s="33"/>
      <c r="E122" s="33"/>
      <c r="G122" s="27" t="s">
        <v>86</v>
      </c>
    </row>
    <row r="123" spans="1:7" ht="12.75">
      <c r="A123" s="27" t="s">
        <v>84</v>
      </c>
      <c r="B123" s="27" t="s">
        <v>35</v>
      </c>
      <c r="C123" s="33">
        <f aca="true" t="shared" si="9" ref="C123:E124">C$119*C49</f>
        <v>126318.06476467199</v>
      </c>
      <c r="D123" s="33">
        <f t="shared" si="9"/>
        <v>67830.67920269522</v>
      </c>
      <c r="E123" s="33">
        <f t="shared" si="9"/>
        <v>0</v>
      </c>
      <c r="G123" s="33">
        <f>SUM(C123:E123)</f>
        <v>194148.74396736722</v>
      </c>
    </row>
    <row r="124" spans="1:7" ht="12.75">
      <c r="A124" s="27" t="s">
        <v>85</v>
      </c>
      <c r="B124" s="27" t="s">
        <v>35</v>
      </c>
      <c r="C124" s="33">
        <f t="shared" si="9"/>
        <v>31579.51619116799</v>
      </c>
      <c r="D124" s="33">
        <f t="shared" si="9"/>
        <v>158271.58480628883</v>
      </c>
      <c r="E124" s="33">
        <f t="shared" si="9"/>
        <v>137227.83690382427</v>
      </c>
      <c r="G124" s="33">
        <f>SUM(C124:E124)</f>
        <v>327078.93790128105</v>
      </c>
    </row>
    <row r="125" spans="3:5" ht="12.75">
      <c r="C125" s="33"/>
      <c r="D125" s="33"/>
      <c r="E125" s="33"/>
    </row>
    <row r="126" spans="1:5" ht="12.75">
      <c r="A126" s="29" t="s">
        <v>87</v>
      </c>
      <c r="C126" s="33"/>
      <c r="D126" s="33"/>
      <c r="E126" s="33"/>
    </row>
    <row r="127" spans="1:30" ht="12.75">
      <c r="A127" s="27" t="s">
        <v>88</v>
      </c>
      <c r="C127" s="33">
        <v>0</v>
      </c>
      <c r="D127" s="33">
        <f>C133</f>
        <v>31579.51619116799</v>
      </c>
      <c r="E127" s="33">
        <f>D133</f>
        <v>193482.74535944112</v>
      </c>
      <c r="F127" s="33">
        <f>E133</f>
        <v>352961.0979796011</v>
      </c>
      <c r="G127" s="33">
        <f aca="true" t="shared" si="10" ref="G127:Y127">F133</f>
        <v>352961.0979796011</v>
      </c>
      <c r="H127" s="33">
        <f t="shared" si="10"/>
        <v>352961.0979796011</v>
      </c>
      <c r="I127" s="33">
        <f t="shared" si="10"/>
        <v>352961.0979796011</v>
      </c>
      <c r="J127" s="33">
        <f t="shared" si="10"/>
        <v>352961.0979796011</v>
      </c>
      <c r="K127" s="33">
        <f t="shared" si="10"/>
        <v>317664.98818164103</v>
      </c>
      <c r="L127" s="33">
        <f t="shared" si="10"/>
        <v>282368.87838368095</v>
      </c>
      <c r="M127" s="33">
        <f t="shared" si="10"/>
        <v>247072.76858572083</v>
      </c>
      <c r="N127" s="33">
        <f t="shared" si="10"/>
        <v>211776.6587877607</v>
      </c>
      <c r="O127" s="33">
        <f t="shared" si="10"/>
        <v>176480.5489898006</v>
      </c>
      <c r="P127" s="33">
        <f t="shared" si="10"/>
        <v>141184.43919184047</v>
      </c>
      <c r="Q127" s="33">
        <f t="shared" si="10"/>
        <v>105888.32939388035</v>
      </c>
      <c r="R127" s="33">
        <f t="shared" si="10"/>
        <v>70592.21959592024</v>
      </c>
      <c r="S127" s="33">
        <f t="shared" si="10"/>
        <v>35296.109797960125</v>
      </c>
      <c r="T127" s="33">
        <f t="shared" si="10"/>
        <v>1.4551915228366852E-11</v>
      </c>
      <c r="U127" s="33">
        <f t="shared" si="10"/>
        <v>1.4551915228366852E-11</v>
      </c>
      <c r="V127" s="33">
        <f t="shared" si="10"/>
        <v>1.4551915228366852E-11</v>
      </c>
      <c r="W127" s="33">
        <f t="shared" si="10"/>
        <v>1.4551915228366852E-11</v>
      </c>
      <c r="X127" s="33">
        <f t="shared" si="10"/>
        <v>1.4551915228366852E-11</v>
      </c>
      <c r="Y127" s="33">
        <f t="shared" si="10"/>
        <v>1.4551915228366852E-11</v>
      </c>
      <c r="Z127" s="33">
        <f>Y133</f>
        <v>1.4551915228366852E-11</v>
      </c>
      <c r="AA127" s="33">
        <f>Z133</f>
        <v>1.4551915228366852E-11</v>
      </c>
      <c r="AB127" s="33">
        <f>AA133</f>
        <v>1.4551915228366852E-11</v>
      </c>
      <c r="AC127" s="33">
        <f>AB133</f>
        <v>1.4551915228366852E-11</v>
      </c>
      <c r="AD127" s="33">
        <f>AC133</f>
        <v>1.4551915228366852E-11</v>
      </c>
    </row>
    <row r="128" spans="1:30" ht="12.75">
      <c r="A128" s="27" t="s">
        <v>89</v>
      </c>
      <c r="C128" s="33">
        <f>C124</f>
        <v>31579.51619116799</v>
      </c>
      <c r="D128" s="33">
        <f>D124</f>
        <v>158271.58480628883</v>
      </c>
      <c r="E128" s="33">
        <f>E124</f>
        <v>137227.83690382427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</row>
    <row r="129" spans="1:30" ht="12.75">
      <c r="A129" s="27" t="s">
        <v>90</v>
      </c>
      <c r="C129" s="33">
        <f>C127*$C$53</f>
        <v>0</v>
      </c>
      <c r="D129" s="33">
        <f>D127*$C$53</f>
        <v>3631.6443619843185</v>
      </c>
      <c r="E129" s="33">
        <f>E127*$C$53</f>
        <v>22250.515716335725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27">
        <v>0</v>
      </c>
      <c r="Z129" s="27">
        <v>0</v>
      </c>
      <c r="AA129" s="27">
        <v>0</v>
      </c>
      <c r="AB129" s="27">
        <v>0</v>
      </c>
      <c r="AC129" s="27">
        <v>0</v>
      </c>
      <c r="AD129" s="27">
        <v>0</v>
      </c>
    </row>
    <row r="130" spans="1:30" ht="12.75">
      <c r="A130" s="27" t="s">
        <v>91</v>
      </c>
      <c r="C130" s="27">
        <v>0</v>
      </c>
      <c r="D130" s="27">
        <v>0</v>
      </c>
      <c r="E130" s="27">
        <v>0</v>
      </c>
      <c r="F130" s="33">
        <f>F127*$C$53</f>
        <v>40590.526267654124</v>
      </c>
      <c r="G130" s="33">
        <f>G127*$C$53</f>
        <v>40590.526267654124</v>
      </c>
      <c r="H130" s="33">
        <f aca="true" t="shared" si="11" ref="H130:AD130">H127*$C$53</f>
        <v>40590.526267654124</v>
      </c>
      <c r="I130" s="33">
        <f t="shared" si="11"/>
        <v>40590.526267654124</v>
      </c>
      <c r="J130" s="33">
        <f t="shared" si="11"/>
        <v>40590.526267654124</v>
      </c>
      <c r="K130" s="33">
        <f t="shared" si="11"/>
        <v>36531.47364088872</v>
      </c>
      <c r="L130" s="33">
        <f t="shared" si="11"/>
        <v>32472.421014123305</v>
      </c>
      <c r="M130" s="33">
        <f t="shared" si="11"/>
        <v>28413.368387357892</v>
      </c>
      <c r="N130" s="33">
        <f t="shared" si="11"/>
        <v>24354.31576059248</v>
      </c>
      <c r="O130" s="33">
        <f t="shared" si="11"/>
        <v>20295.263133827066</v>
      </c>
      <c r="P130" s="33">
        <f t="shared" si="11"/>
        <v>16236.210507061653</v>
      </c>
      <c r="Q130" s="33">
        <f t="shared" si="11"/>
        <v>12177.15788029624</v>
      </c>
      <c r="R130" s="33">
        <f t="shared" si="11"/>
        <v>8118.105253530826</v>
      </c>
      <c r="S130" s="33">
        <f t="shared" si="11"/>
        <v>4059.052626765414</v>
      </c>
      <c r="T130" s="33">
        <f t="shared" si="11"/>
        <v>1.6734702512621878E-12</v>
      </c>
      <c r="U130" s="33">
        <f t="shared" si="11"/>
        <v>1.6734702512621878E-12</v>
      </c>
      <c r="V130" s="33">
        <f t="shared" si="11"/>
        <v>1.6734702512621878E-12</v>
      </c>
      <c r="W130" s="33">
        <f t="shared" si="11"/>
        <v>1.6734702512621878E-12</v>
      </c>
      <c r="X130" s="33">
        <f t="shared" si="11"/>
        <v>1.6734702512621878E-12</v>
      </c>
      <c r="Y130" s="33">
        <f t="shared" si="11"/>
        <v>1.6734702512621878E-12</v>
      </c>
      <c r="Z130" s="33">
        <f t="shared" si="11"/>
        <v>1.6734702512621878E-12</v>
      </c>
      <c r="AA130" s="33">
        <f t="shared" si="11"/>
        <v>1.6734702512621878E-12</v>
      </c>
      <c r="AB130" s="33">
        <f t="shared" si="11"/>
        <v>1.6734702512621878E-12</v>
      </c>
      <c r="AC130" s="33">
        <f t="shared" si="11"/>
        <v>1.6734702512621878E-12</v>
      </c>
      <c r="AD130" s="33">
        <f t="shared" si="11"/>
        <v>1.6734702512621878E-12</v>
      </c>
    </row>
    <row r="131" spans="1:30" ht="12.75">
      <c r="A131" s="27" t="s">
        <v>92</v>
      </c>
      <c r="C131" s="33">
        <v>0</v>
      </c>
      <c r="D131" s="33">
        <v>0</v>
      </c>
      <c r="E131" s="33">
        <v>0</v>
      </c>
      <c r="F131" s="33">
        <f aca="true" t="shared" si="12" ref="F131:AD131">IF(F2-2&gt;$C$55,IF(F2-2-$C$55&gt;$C$56,0,$F$127/$C$56),0)</f>
        <v>0</v>
      </c>
      <c r="G131" s="33">
        <f t="shared" si="12"/>
        <v>0</v>
      </c>
      <c r="H131" s="33">
        <f t="shared" si="12"/>
        <v>0</v>
      </c>
      <c r="I131" s="33">
        <f t="shared" si="12"/>
        <v>0</v>
      </c>
      <c r="J131" s="33">
        <f t="shared" si="12"/>
        <v>35296.10979796011</v>
      </c>
      <c r="K131" s="33">
        <f t="shared" si="12"/>
        <v>35296.10979796011</v>
      </c>
      <c r="L131" s="33">
        <f t="shared" si="12"/>
        <v>35296.10979796011</v>
      </c>
      <c r="M131" s="33">
        <f t="shared" si="12"/>
        <v>35296.10979796011</v>
      </c>
      <c r="N131" s="33">
        <f t="shared" si="12"/>
        <v>35296.10979796011</v>
      </c>
      <c r="O131" s="33">
        <f t="shared" si="12"/>
        <v>35296.10979796011</v>
      </c>
      <c r="P131" s="33">
        <f t="shared" si="12"/>
        <v>35296.10979796011</v>
      </c>
      <c r="Q131" s="33">
        <f t="shared" si="12"/>
        <v>35296.10979796011</v>
      </c>
      <c r="R131" s="33">
        <f t="shared" si="12"/>
        <v>35296.10979796011</v>
      </c>
      <c r="S131" s="33">
        <f t="shared" si="12"/>
        <v>35296.10979796011</v>
      </c>
      <c r="T131" s="33">
        <f t="shared" si="12"/>
        <v>0</v>
      </c>
      <c r="U131" s="33">
        <f t="shared" si="12"/>
        <v>0</v>
      </c>
      <c r="V131" s="33">
        <f t="shared" si="12"/>
        <v>0</v>
      </c>
      <c r="W131" s="33">
        <f t="shared" si="12"/>
        <v>0</v>
      </c>
      <c r="X131" s="33">
        <f t="shared" si="12"/>
        <v>0</v>
      </c>
      <c r="Y131" s="33">
        <f t="shared" si="12"/>
        <v>0</v>
      </c>
      <c r="Z131" s="33">
        <f t="shared" si="12"/>
        <v>0</v>
      </c>
      <c r="AA131" s="33">
        <f t="shared" si="12"/>
        <v>0</v>
      </c>
      <c r="AB131" s="33">
        <f t="shared" si="12"/>
        <v>0</v>
      </c>
      <c r="AC131" s="33">
        <f t="shared" si="12"/>
        <v>0</v>
      </c>
      <c r="AD131" s="33">
        <f t="shared" si="12"/>
        <v>0</v>
      </c>
    </row>
    <row r="132" spans="1:30" ht="12.75">
      <c r="A132" s="27" t="s">
        <v>93</v>
      </c>
      <c r="C132" s="33">
        <f>SUM(C130:C131)</f>
        <v>0</v>
      </c>
      <c r="D132" s="33">
        <f aca="true" t="shared" si="13" ref="D132:Z132">SUM(D130:D131)</f>
        <v>0</v>
      </c>
      <c r="E132" s="33">
        <f t="shared" si="13"/>
        <v>0</v>
      </c>
      <c r="F132" s="33">
        <f t="shared" si="13"/>
        <v>40590.526267654124</v>
      </c>
      <c r="G132" s="33">
        <f t="shared" si="13"/>
        <v>40590.526267654124</v>
      </c>
      <c r="H132" s="33">
        <f t="shared" si="13"/>
        <v>40590.526267654124</v>
      </c>
      <c r="I132" s="33">
        <f t="shared" si="13"/>
        <v>40590.526267654124</v>
      </c>
      <c r="J132" s="33">
        <f t="shared" si="13"/>
        <v>75886.63606561424</v>
      </c>
      <c r="K132" s="33">
        <f t="shared" si="13"/>
        <v>71827.58343884883</v>
      </c>
      <c r="L132" s="33">
        <f t="shared" si="13"/>
        <v>67768.53081208342</v>
      </c>
      <c r="M132" s="33">
        <f t="shared" si="13"/>
        <v>63709.478185318</v>
      </c>
      <c r="N132" s="33">
        <f t="shared" si="13"/>
        <v>59650.42555855259</v>
      </c>
      <c r="O132" s="33">
        <f t="shared" si="13"/>
        <v>55591.37293178718</v>
      </c>
      <c r="P132" s="33">
        <f t="shared" si="13"/>
        <v>51532.32030502176</v>
      </c>
      <c r="Q132" s="33">
        <f t="shared" si="13"/>
        <v>47473.26767825635</v>
      </c>
      <c r="R132" s="33">
        <f t="shared" si="13"/>
        <v>43414.21505149094</v>
      </c>
      <c r="S132" s="33">
        <f t="shared" si="13"/>
        <v>39355.162424725524</v>
      </c>
      <c r="T132" s="33">
        <f t="shared" si="13"/>
        <v>1.6734702512621878E-12</v>
      </c>
      <c r="U132" s="33">
        <f t="shared" si="13"/>
        <v>1.6734702512621878E-12</v>
      </c>
      <c r="V132" s="33">
        <f t="shared" si="13"/>
        <v>1.6734702512621878E-12</v>
      </c>
      <c r="W132" s="33">
        <f t="shared" si="13"/>
        <v>1.6734702512621878E-12</v>
      </c>
      <c r="X132" s="33">
        <f t="shared" si="13"/>
        <v>1.6734702512621878E-12</v>
      </c>
      <c r="Y132" s="33">
        <f t="shared" si="13"/>
        <v>1.6734702512621878E-12</v>
      </c>
      <c r="Z132" s="33">
        <f t="shared" si="13"/>
        <v>1.6734702512621878E-12</v>
      </c>
      <c r="AA132" s="33">
        <f>SUM(AA130:AA131)</f>
        <v>1.6734702512621878E-12</v>
      </c>
      <c r="AB132" s="33">
        <f>SUM(AB130:AB131)</f>
        <v>1.6734702512621878E-12</v>
      </c>
      <c r="AC132" s="33">
        <f>SUM(AC130:AC131)</f>
        <v>1.6734702512621878E-12</v>
      </c>
      <c r="AD132" s="33">
        <f>SUM(AD130:AD131)</f>
        <v>1.6734702512621878E-12</v>
      </c>
    </row>
    <row r="133" spans="1:30" ht="12.75">
      <c r="A133" s="27" t="s">
        <v>94</v>
      </c>
      <c r="C133" s="33">
        <f>C127+C128-C131+C129</f>
        <v>31579.51619116799</v>
      </c>
      <c r="D133" s="33">
        <f>D127+D128-D131+D129</f>
        <v>193482.74535944112</v>
      </c>
      <c r="E133" s="33">
        <f>E127+E128-E131+E129</f>
        <v>352961.0979796011</v>
      </c>
      <c r="F133" s="33">
        <f>F127+F128-F131+F129</f>
        <v>352961.0979796011</v>
      </c>
      <c r="G133" s="33">
        <f aca="true" t="shared" si="14" ref="G133:Y133">G127+G128-G131+G129</f>
        <v>352961.0979796011</v>
      </c>
      <c r="H133" s="33">
        <f t="shared" si="14"/>
        <v>352961.0979796011</v>
      </c>
      <c r="I133" s="33">
        <f t="shared" si="14"/>
        <v>352961.0979796011</v>
      </c>
      <c r="J133" s="33">
        <f t="shared" si="14"/>
        <v>317664.98818164103</v>
      </c>
      <c r="K133" s="33">
        <f t="shared" si="14"/>
        <v>282368.87838368095</v>
      </c>
      <c r="L133" s="33">
        <f t="shared" si="14"/>
        <v>247072.76858572083</v>
      </c>
      <c r="M133" s="33">
        <f t="shared" si="14"/>
        <v>211776.6587877607</v>
      </c>
      <c r="N133" s="33">
        <f t="shared" si="14"/>
        <v>176480.5489898006</v>
      </c>
      <c r="O133" s="33">
        <f t="shared" si="14"/>
        <v>141184.43919184047</v>
      </c>
      <c r="P133" s="33">
        <f t="shared" si="14"/>
        <v>105888.32939388035</v>
      </c>
      <c r="Q133" s="33">
        <f t="shared" si="14"/>
        <v>70592.21959592024</v>
      </c>
      <c r="R133" s="33">
        <f t="shared" si="14"/>
        <v>35296.109797960125</v>
      </c>
      <c r="S133" s="33">
        <f t="shared" si="14"/>
        <v>1.4551915228366852E-11</v>
      </c>
      <c r="T133" s="33">
        <f t="shared" si="14"/>
        <v>1.4551915228366852E-11</v>
      </c>
      <c r="U133" s="33">
        <f t="shared" si="14"/>
        <v>1.4551915228366852E-11</v>
      </c>
      <c r="V133" s="33">
        <f t="shared" si="14"/>
        <v>1.4551915228366852E-11</v>
      </c>
      <c r="W133" s="33">
        <f t="shared" si="14"/>
        <v>1.4551915228366852E-11</v>
      </c>
      <c r="X133" s="33">
        <f t="shared" si="14"/>
        <v>1.4551915228366852E-11</v>
      </c>
      <c r="Y133" s="33">
        <f t="shared" si="14"/>
        <v>1.4551915228366852E-11</v>
      </c>
      <c r="Z133" s="33">
        <f>Z127+Z128-Z131+Z129</f>
        <v>1.4551915228366852E-11</v>
      </c>
      <c r="AA133" s="33">
        <f>AA127+AA128-AA131+AA129</f>
        <v>1.4551915228366852E-11</v>
      </c>
      <c r="AB133" s="33">
        <f>AB127+AB128-AB131+AB129</f>
        <v>1.4551915228366852E-11</v>
      </c>
      <c r="AC133" s="33">
        <f>AC127+AC128-AC131+AC129</f>
        <v>1.4551915228366852E-11</v>
      </c>
      <c r="AD133" s="33">
        <f>AD127+AD128-AD131+AD129</f>
        <v>1.4551915228366852E-11</v>
      </c>
    </row>
    <row r="134" spans="3:5" ht="12.75">
      <c r="C134" s="33"/>
      <c r="D134" s="33"/>
      <c r="E134" s="33"/>
    </row>
    <row r="135" spans="1:30" ht="12.75">
      <c r="A135" s="52" t="s">
        <v>95</v>
      </c>
      <c r="B135" s="55"/>
      <c r="C135" s="53">
        <f>C128-C132</f>
        <v>31579.51619116799</v>
      </c>
      <c r="D135" s="53">
        <f>D128-D132</f>
        <v>158271.58480628883</v>
      </c>
      <c r="E135" s="53">
        <f>E128-E132</f>
        <v>137227.83690382427</v>
      </c>
      <c r="F135" s="53">
        <f>F128-F132</f>
        <v>-40590.526267654124</v>
      </c>
      <c r="G135" s="53">
        <f aca="true" t="shared" si="15" ref="G135:Y135">G128-G132</f>
        <v>-40590.526267654124</v>
      </c>
      <c r="H135" s="53">
        <f t="shared" si="15"/>
        <v>-40590.526267654124</v>
      </c>
      <c r="I135" s="53">
        <f t="shared" si="15"/>
        <v>-40590.526267654124</v>
      </c>
      <c r="J135" s="53">
        <f t="shared" si="15"/>
        <v>-75886.63606561424</v>
      </c>
      <c r="K135" s="53">
        <f t="shared" si="15"/>
        <v>-71827.58343884883</v>
      </c>
      <c r="L135" s="53">
        <f t="shared" si="15"/>
        <v>-67768.53081208342</v>
      </c>
      <c r="M135" s="53">
        <f t="shared" si="15"/>
        <v>-63709.478185318</v>
      </c>
      <c r="N135" s="53">
        <f t="shared" si="15"/>
        <v>-59650.42555855259</v>
      </c>
      <c r="O135" s="53">
        <f t="shared" si="15"/>
        <v>-55591.37293178718</v>
      </c>
      <c r="P135" s="53">
        <f t="shared" si="15"/>
        <v>-51532.32030502176</v>
      </c>
      <c r="Q135" s="53">
        <f t="shared" si="15"/>
        <v>-47473.26767825635</v>
      </c>
      <c r="R135" s="53">
        <f t="shared" si="15"/>
        <v>-43414.21505149094</v>
      </c>
      <c r="S135" s="53">
        <f t="shared" si="15"/>
        <v>-39355.162424725524</v>
      </c>
      <c r="T135" s="53">
        <f t="shared" si="15"/>
        <v>-1.6734702512621878E-12</v>
      </c>
      <c r="U135" s="53">
        <f t="shared" si="15"/>
        <v>-1.6734702512621878E-12</v>
      </c>
      <c r="V135" s="53">
        <f t="shared" si="15"/>
        <v>-1.6734702512621878E-12</v>
      </c>
      <c r="W135" s="53">
        <f t="shared" si="15"/>
        <v>-1.6734702512621878E-12</v>
      </c>
      <c r="X135" s="53">
        <f t="shared" si="15"/>
        <v>-1.6734702512621878E-12</v>
      </c>
      <c r="Y135" s="53">
        <f t="shared" si="15"/>
        <v>-1.6734702512621878E-12</v>
      </c>
      <c r="Z135" s="53">
        <f>Z128-Z132</f>
        <v>-1.6734702512621878E-12</v>
      </c>
      <c r="AA135" s="53">
        <f>AA128-AA132</f>
        <v>-1.6734702512621878E-12</v>
      </c>
      <c r="AB135" s="53">
        <f>AB128-AB132</f>
        <v>-1.6734702512621878E-12</v>
      </c>
      <c r="AC135" s="53">
        <f>AC128-AC132</f>
        <v>-1.6734702512621878E-12</v>
      </c>
      <c r="AD135" s="53">
        <f>AD128-AD132</f>
        <v>-1.6734702512621878E-12</v>
      </c>
    </row>
    <row r="136" spans="3:5" ht="12.75">
      <c r="C136" s="33"/>
      <c r="D136" s="33"/>
      <c r="E136" s="33"/>
    </row>
    <row r="137" spans="1:5" ht="12.75">
      <c r="A137" s="29" t="s">
        <v>96</v>
      </c>
      <c r="C137" s="33">
        <f>SUM(C129:E129)+C120</f>
        <v>547109.8419469683</v>
      </c>
      <c r="D137" s="33"/>
      <c r="E137" s="33"/>
    </row>
    <row r="138" spans="3:5" ht="12.75">
      <c r="C138" s="33"/>
      <c r="D138" s="33"/>
      <c r="E138" s="33"/>
    </row>
    <row r="139" spans="1:5" ht="12.75">
      <c r="A139" s="29" t="s">
        <v>97</v>
      </c>
      <c r="C139" s="33"/>
      <c r="D139" s="33"/>
      <c r="E139" s="33"/>
    </row>
    <row r="140" spans="1:31" ht="12.75">
      <c r="A140" s="27" t="s">
        <v>98</v>
      </c>
      <c r="C140" s="33"/>
      <c r="D140" s="33"/>
      <c r="E140" s="33"/>
      <c r="F140" s="33">
        <f aca="true" t="shared" si="16" ref="F140:AD140">IF(F2-2&gt;$C$45,"",(SUM($C$108:$E$108)+SUM($C$110:$E$110))/$C$45)</f>
        <v>15438.053026809599</v>
      </c>
      <c r="G140" s="33">
        <f t="shared" si="16"/>
        <v>15438.053026809599</v>
      </c>
      <c r="H140" s="33">
        <f t="shared" si="16"/>
        <v>15438.053026809599</v>
      </c>
      <c r="I140" s="33">
        <f t="shared" si="16"/>
        <v>15438.053026809599</v>
      </c>
      <c r="J140" s="33">
        <f t="shared" si="16"/>
        <v>15438.053026809599</v>
      </c>
      <c r="K140" s="33">
        <f t="shared" si="16"/>
        <v>15438.053026809599</v>
      </c>
      <c r="L140" s="33">
        <f t="shared" si="16"/>
        <v>15438.053026809599</v>
      </c>
      <c r="M140" s="33">
        <f t="shared" si="16"/>
        <v>15438.053026809599</v>
      </c>
      <c r="N140" s="33">
        <f t="shared" si="16"/>
        <v>15438.053026809599</v>
      </c>
      <c r="O140" s="33">
        <f t="shared" si="16"/>
        <v>15438.053026809599</v>
      </c>
      <c r="P140" s="33">
        <f t="shared" si="16"/>
        <v>15438.053026809599</v>
      </c>
      <c r="Q140" s="33">
        <f t="shared" si="16"/>
        <v>15438.053026809599</v>
      </c>
      <c r="R140" s="33">
        <f t="shared" si="16"/>
        <v>15438.053026809599</v>
      </c>
      <c r="S140" s="33">
        <f t="shared" si="16"/>
        <v>15438.053026809599</v>
      </c>
      <c r="T140" s="33">
        <f t="shared" si="16"/>
        <v>15438.053026809599</v>
      </c>
      <c r="U140" s="33">
        <f t="shared" si="16"/>
        <v>15438.053026809599</v>
      </c>
      <c r="V140" s="33">
        <f t="shared" si="16"/>
        <v>15438.053026809599</v>
      </c>
      <c r="W140" s="33">
        <f t="shared" si="16"/>
        <v>15438.053026809599</v>
      </c>
      <c r="X140" s="33">
        <f t="shared" si="16"/>
        <v>15438.053026809599</v>
      </c>
      <c r="Y140" s="33">
        <f t="shared" si="16"/>
        <v>15438.053026809599</v>
      </c>
      <c r="Z140" s="33">
        <f t="shared" si="16"/>
        <v>15438.053026809599</v>
      </c>
      <c r="AA140" s="33">
        <f t="shared" si="16"/>
        <v>15438.053026809599</v>
      </c>
      <c r="AB140" s="33">
        <f t="shared" si="16"/>
        <v>15438.053026809599</v>
      </c>
      <c r="AC140" s="33">
        <f t="shared" si="16"/>
        <v>15438.053026809599</v>
      </c>
      <c r="AD140" s="33">
        <f t="shared" si="16"/>
        <v>15438.053026809599</v>
      </c>
      <c r="AE140" s="33"/>
    </row>
    <row r="141" spans="1:26" ht="12.75">
      <c r="A141" s="27" t="s">
        <v>99</v>
      </c>
      <c r="C141" s="33"/>
      <c r="D141" s="33"/>
      <c r="E141" s="33"/>
      <c r="F141" s="33">
        <f aca="true" t="shared" si="17" ref="F141:Z141">IF(F2-2&gt;$C$46,"",SUM($C$109:$E$109)/$C$46)</f>
        <v>11182.561070208</v>
      </c>
      <c r="G141" s="33">
        <f t="shared" si="17"/>
        <v>11182.561070208</v>
      </c>
      <c r="H141" s="33">
        <f t="shared" si="17"/>
        <v>11182.561070208</v>
      </c>
      <c r="I141" s="33">
        <f t="shared" si="17"/>
        <v>11182.561070208</v>
      </c>
      <c r="J141" s="33">
        <f t="shared" si="17"/>
        <v>11182.561070208</v>
      </c>
      <c r="K141" s="33">
        <f t="shared" si="17"/>
      </c>
      <c r="L141" s="33">
        <f t="shared" si="17"/>
      </c>
      <c r="M141" s="33">
        <f t="shared" si="17"/>
      </c>
      <c r="N141" s="33">
        <f t="shared" si="17"/>
      </c>
      <c r="O141" s="33">
        <f t="shared" si="17"/>
      </c>
      <c r="P141" s="33">
        <f t="shared" si="17"/>
      </c>
      <c r="Q141" s="33">
        <f t="shared" si="17"/>
      </c>
      <c r="R141" s="33">
        <f t="shared" si="17"/>
      </c>
      <c r="S141" s="33">
        <f t="shared" si="17"/>
      </c>
      <c r="T141" s="33">
        <f t="shared" si="17"/>
      </c>
      <c r="U141" s="33">
        <f t="shared" si="17"/>
      </c>
      <c r="V141" s="33">
        <f t="shared" si="17"/>
      </c>
      <c r="W141" s="33">
        <f t="shared" si="17"/>
      </c>
      <c r="X141" s="33">
        <f t="shared" si="17"/>
      </c>
      <c r="Y141" s="33">
        <f t="shared" si="17"/>
      </c>
      <c r="Z141" s="33">
        <f t="shared" si="17"/>
      </c>
    </row>
    <row r="142" spans="1:30" ht="12.75">
      <c r="A142" s="27" t="s">
        <v>100</v>
      </c>
      <c r="C142" s="33"/>
      <c r="D142" s="33"/>
      <c r="E142" s="33"/>
      <c r="F142" s="33">
        <f>IF(F2-2&gt;$C$45,"",(SUM($C$112:$E$114)+$D$129+$E$129+$C$129)/$C$45)</f>
        <v>2273.4337839328014</v>
      </c>
      <c r="G142" s="33">
        <f aca="true" t="shared" si="18" ref="G142:AD142">IF(G2-2&gt;$C$45,"",(SUM($C$98:$E$100)+$D$129+$E$129+$C$129)/$C$45)</f>
        <v>2273.4337839328014</v>
      </c>
      <c r="H142" s="33">
        <f t="shared" si="18"/>
        <v>2273.4337839328014</v>
      </c>
      <c r="I142" s="33">
        <f t="shared" si="18"/>
        <v>2273.4337839328014</v>
      </c>
      <c r="J142" s="33">
        <f t="shared" si="18"/>
        <v>2273.4337839328014</v>
      </c>
      <c r="K142" s="33">
        <f t="shared" si="18"/>
        <v>2273.4337839328014</v>
      </c>
      <c r="L142" s="33">
        <f t="shared" si="18"/>
        <v>2273.4337839328014</v>
      </c>
      <c r="M142" s="33">
        <f t="shared" si="18"/>
        <v>2273.4337839328014</v>
      </c>
      <c r="N142" s="33">
        <f t="shared" si="18"/>
        <v>2273.4337839328014</v>
      </c>
      <c r="O142" s="33">
        <f t="shared" si="18"/>
        <v>2273.4337839328014</v>
      </c>
      <c r="P142" s="33">
        <f t="shared" si="18"/>
        <v>2273.4337839328014</v>
      </c>
      <c r="Q142" s="33">
        <f t="shared" si="18"/>
        <v>2273.4337839328014</v>
      </c>
      <c r="R142" s="33">
        <f t="shared" si="18"/>
        <v>2273.4337839328014</v>
      </c>
      <c r="S142" s="33">
        <f t="shared" si="18"/>
        <v>2273.4337839328014</v>
      </c>
      <c r="T142" s="33">
        <f t="shared" si="18"/>
        <v>2273.4337839328014</v>
      </c>
      <c r="U142" s="33">
        <f t="shared" si="18"/>
        <v>2273.4337839328014</v>
      </c>
      <c r="V142" s="33">
        <f t="shared" si="18"/>
        <v>2273.4337839328014</v>
      </c>
      <c r="W142" s="33">
        <f t="shared" si="18"/>
        <v>2273.4337839328014</v>
      </c>
      <c r="X142" s="33">
        <f t="shared" si="18"/>
        <v>2273.4337839328014</v>
      </c>
      <c r="Y142" s="33">
        <f t="shared" si="18"/>
        <v>2273.4337839328014</v>
      </c>
      <c r="Z142" s="33">
        <f t="shared" si="18"/>
        <v>2273.4337839328014</v>
      </c>
      <c r="AA142" s="33">
        <f t="shared" si="18"/>
        <v>2273.4337839328014</v>
      </c>
      <c r="AB142" s="33">
        <f t="shared" si="18"/>
        <v>2273.4337839328014</v>
      </c>
      <c r="AC142" s="33">
        <f t="shared" si="18"/>
        <v>2273.4337839328014</v>
      </c>
      <c r="AD142" s="33">
        <f t="shared" si="18"/>
        <v>2273.4337839328014</v>
      </c>
    </row>
    <row r="143" spans="1:30" ht="12.75">
      <c r="A143" s="27" t="s">
        <v>101</v>
      </c>
      <c r="F143" s="33">
        <f>SUM(C108:E114)+SUM(C129:E129)</f>
        <v>498699.9756196</v>
      </c>
      <c r="G143" s="33">
        <f>F145</f>
        <v>469805.9277386496</v>
      </c>
      <c r="H143" s="33">
        <f aca="true" t="shared" si="19" ref="H143:Z143">G145</f>
        <v>440911.8798576992</v>
      </c>
      <c r="I143" s="33">
        <f t="shared" si="19"/>
        <v>412017.8319767488</v>
      </c>
      <c r="J143" s="33">
        <f t="shared" si="19"/>
        <v>383123.78409579844</v>
      </c>
      <c r="K143" s="33">
        <f t="shared" si="19"/>
        <v>354229.73621484806</v>
      </c>
      <c r="L143" s="33">
        <f t="shared" si="19"/>
        <v>336518.24940410565</v>
      </c>
      <c r="M143" s="33">
        <f t="shared" si="19"/>
        <v>318806.76259336324</v>
      </c>
      <c r="N143" s="33">
        <f t="shared" si="19"/>
        <v>301095.2757826208</v>
      </c>
      <c r="O143" s="33">
        <f t="shared" si="19"/>
        <v>283383.7889718784</v>
      </c>
      <c r="P143" s="33">
        <f t="shared" si="19"/>
        <v>265672.302161136</v>
      </c>
      <c r="Q143" s="33">
        <f t="shared" si="19"/>
        <v>247960.8153503936</v>
      </c>
      <c r="R143" s="33">
        <f t="shared" si="19"/>
        <v>230249.32853965118</v>
      </c>
      <c r="S143" s="33">
        <f t="shared" si="19"/>
        <v>212537.84172890877</v>
      </c>
      <c r="T143" s="33">
        <f t="shared" si="19"/>
        <v>194826.35491816635</v>
      </c>
      <c r="U143" s="33">
        <f t="shared" si="19"/>
        <v>177114.86810742394</v>
      </c>
      <c r="V143" s="33">
        <f t="shared" si="19"/>
        <v>159403.38129668153</v>
      </c>
      <c r="W143" s="33">
        <f t="shared" si="19"/>
        <v>141691.89448593912</v>
      </c>
      <c r="X143" s="33">
        <f t="shared" si="19"/>
        <v>123980.40767519672</v>
      </c>
      <c r="Y143" s="33">
        <f t="shared" si="19"/>
        <v>106268.92086445433</v>
      </c>
      <c r="Z143" s="33">
        <f t="shared" si="19"/>
        <v>88557.43405371193</v>
      </c>
      <c r="AA143" s="33">
        <f>Z145</f>
        <v>70845.94724296953</v>
      </c>
      <c r="AB143" s="33">
        <f>AA145</f>
        <v>53134.46043222713</v>
      </c>
      <c r="AC143" s="33">
        <f>AB145</f>
        <v>35422.973621484736</v>
      </c>
      <c r="AD143" s="33">
        <f>AC145</f>
        <v>17711.486810742335</v>
      </c>
    </row>
    <row r="144" spans="1:30" ht="12.75">
      <c r="A144" s="52" t="s">
        <v>102</v>
      </c>
      <c r="B144" s="52"/>
      <c r="C144" s="52"/>
      <c r="D144" s="52"/>
      <c r="E144" s="52"/>
      <c r="F144" s="53">
        <f>SUM(F140:F142)</f>
        <v>28894.0478809504</v>
      </c>
      <c r="G144" s="53">
        <f aca="true" t="shared" si="20" ref="G144:Y144">SUM(G140:G142)</f>
        <v>28894.0478809504</v>
      </c>
      <c r="H144" s="53">
        <f t="shared" si="20"/>
        <v>28894.0478809504</v>
      </c>
      <c r="I144" s="53">
        <f t="shared" si="20"/>
        <v>28894.0478809504</v>
      </c>
      <c r="J144" s="53">
        <f t="shared" si="20"/>
        <v>28894.0478809504</v>
      </c>
      <c r="K144" s="53">
        <f t="shared" si="20"/>
        <v>17711.4868107424</v>
      </c>
      <c r="L144" s="53">
        <f t="shared" si="20"/>
        <v>17711.4868107424</v>
      </c>
      <c r="M144" s="53">
        <f t="shared" si="20"/>
        <v>17711.4868107424</v>
      </c>
      <c r="N144" s="53">
        <f t="shared" si="20"/>
        <v>17711.4868107424</v>
      </c>
      <c r="O144" s="53">
        <f t="shared" si="20"/>
        <v>17711.4868107424</v>
      </c>
      <c r="P144" s="53">
        <f t="shared" si="20"/>
        <v>17711.4868107424</v>
      </c>
      <c r="Q144" s="53">
        <f t="shared" si="20"/>
        <v>17711.4868107424</v>
      </c>
      <c r="R144" s="53">
        <f t="shared" si="20"/>
        <v>17711.4868107424</v>
      </c>
      <c r="S144" s="53">
        <f t="shared" si="20"/>
        <v>17711.4868107424</v>
      </c>
      <c r="T144" s="53">
        <f t="shared" si="20"/>
        <v>17711.4868107424</v>
      </c>
      <c r="U144" s="53">
        <f t="shared" si="20"/>
        <v>17711.4868107424</v>
      </c>
      <c r="V144" s="53">
        <f t="shared" si="20"/>
        <v>17711.4868107424</v>
      </c>
      <c r="W144" s="53">
        <f t="shared" si="20"/>
        <v>17711.4868107424</v>
      </c>
      <c r="X144" s="53">
        <f t="shared" si="20"/>
        <v>17711.4868107424</v>
      </c>
      <c r="Y144" s="53">
        <f t="shared" si="20"/>
        <v>17711.4868107424</v>
      </c>
      <c r="Z144" s="53">
        <f>SUM(Z140:Z142)</f>
        <v>17711.4868107424</v>
      </c>
      <c r="AA144" s="53">
        <f>SUM(AA140:AA142)</f>
        <v>17711.4868107424</v>
      </c>
      <c r="AB144" s="53">
        <f>SUM(AB140:AB142)</f>
        <v>17711.4868107424</v>
      </c>
      <c r="AC144" s="53">
        <f>SUM(AC140:AC142)</f>
        <v>17711.4868107424</v>
      </c>
      <c r="AD144" s="53">
        <f>SUM(AD140:AD142)</f>
        <v>17711.4868107424</v>
      </c>
    </row>
    <row r="145" spans="1:30" ht="12.75">
      <c r="A145" s="27" t="s">
        <v>103</v>
      </c>
      <c r="F145" s="33">
        <f>F143-F144</f>
        <v>469805.9277386496</v>
      </c>
      <c r="G145" s="33">
        <f>G143-G144</f>
        <v>440911.8798576992</v>
      </c>
      <c r="H145" s="33">
        <f aca="true" t="shared" si="21" ref="H145:Z145">H143-H144</f>
        <v>412017.8319767488</v>
      </c>
      <c r="I145" s="33">
        <f t="shared" si="21"/>
        <v>383123.78409579844</v>
      </c>
      <c r="J145" s="33">
        <f t="shared" si="21"/>
        <v>354229.73621484806</v>
      </c>
      <c r="K145" s="33">
        <f t="shared" si="21"/>
        <v>336518.24940410565</v>
      </c>
      <c r="L145" s="33">
        <f t="shared" si="21"/>
        <v>318806.76259336324</v>
      </c>
      <c r="M145" s="33">
        <f t="shared" si="21"/>
        <v>301095.2757826208</v>
      </c>
      <c r="N145" s="33">
        <f t="shared" si="21"/>
        <v>283383.7889718784</v>
      </c>
      <c r="O145" s="33">
        <f t="shared" si="21"/>
        <v>265672.302161136</v>
      </c>
      <c r="P145" s="33">
        <f t="shared" si="21"/>
        <v>247960.8153503936</v>
      </c>
      <c r="Q145" s="33">
        <f t="shared" si="21"/>
        <v>230249.32853965118</v>
      </c>
      <c r="R145" s="33">
        <f t="shared" si="21"/>
        <v>212537.84172890877</v>
      </c>
      <c r="S145" s="33">
        <f t="shared" si="21"/>
        <v>194826.35491816635</v>
      </c>
      <c r="T145" s="33">
        <f t="shared" si="21"/>
        <v>177114.86810742394</v>
      </c>
      <c r="U145" s="33">
        <f t="shared" si="21"/>
        <v>159403.38129668153</v>
      </c>
      <c r="V145" s="33">
        <f t="shared" si="21"/>
        <v>141691.89448593912</v>
      </c>
      <c r="W145" s="33">
        <f t="shared" si="21"/>
        <v>123980.40767519672</v>
      </c>
      <c r="X145" s="33">
        <f t="shared" si="21"/>
        <v>106268.92086445433</v>
      </c>
      <c r="Y145" s="33">
        <f t="shared" si="21"/>
        <v>88557.43405371193</v>
      </c>
      <c r="Z145" s="33">
        <f t="shared" si="21"/>
        <v>70845.94724296953</v>
      </c>
      <c r="AA145" s="33">
        <f>AA143-AA144</f>
        <v>53134.46043222713</v>
      </c>
      <c r="AB145" s="33">
        <f>AB143-AB144</f>
        <v>35422.973621484736</v>
      </c>
      <c r="AC145" s="33">
        <f>AC143-AC144</f>
        <v>17711.486810742335</v>
      </c>
      <c r="AD145" s="33">
        <f>AD143-AD144</f>
        <v>-6.548361852765083E-11</v>
      </c>
    </row>
    <row r="147" ht="12.75">
      <c r="A147" s="29" t="s">
        <v>104</v>
      </c>
    </row>
    <row r="148" spans="1:30" ht="14.25">
      <c r="A148" s="27" t="s">
        <v>105</v>
      </c>
      <c r="B148" s="27" t="s">
        <v>161</v>
      </c>
      <c r="F148" s="33">
        <f>$C$75</f>
        <v>19048</v>
      </c>
      <c r="G148" s="33">
        <f aca="true" t="shared" si="22" ref="G148:AD148">$C$75</f>
        <v>19048</v>
      </c>
      <c r="H148" s="33">
        <f t="shared" si="22"/>
        <v>19048</v>
      </c>
      <c r="I148" s="33">
        <f t="shared" si="22"/>
        <v>19048</v>
      </c>
      <c r="J148" s="33">
        <f t="shared" si="22"/>
        <v>19048</v>
      </c>
      <c r="K148" s="33">
        <f t="shared" si="22"/>
        <v>19048</v>
      </c>
      <c r="L148" s="33">
        <f t="shared" si="22"/>
        <v>19048</v>
      </c>
      <c r="M148" s="33">
        <f t="shared" si="22"/>
        <v>19048</v>
      </c>
      <c r="N148" s="33">
        <f t="shared" si="22"/>
        <v>19048</v>
      </c>
      <c r="O148" s="33">
        <f t="shared" si="22"/>
        <v>19048</v>
      </c>
      <c r="P148" s="33">
        <f t="shared" si="22"/>
        <v>19048</v>
      </c>
      <c r="Q148" s="33">
        <f t="shared" si="22"/>
        <v>19048</v>
      </c>
      <c r="R148" s="33">
        <f t="shared" si="22"/>
        <v>19048</v>
      </c>
      <c r="S148" s="33">
        <f t="shared" si="22"/>
        <v>19048</v>
      </c>
      <c r="T148" s="33">
        <f t="shared" si="22"/>
        <v>19048</v>
      </c>
      <c r="U148" s="33">
        <f t="shared" si="22"/>
        <v>19048</v>
      </c>
      <c r="V148" s="33">
        <f t="shared" si="22"/>
        <v>19048</v>
      </c>
      <c r="W148" s="33">
        <f t="shared" si="22"/>
        <v>19048</v>
      </c>
      <c r="X148" s="33">
        <f t="shared" si="22"/>
        <v>19048</v>
      </c>
      <c r="Y148" s="33">
        <f t="shared" si="22"/>
        <v>19048</v>
      </c>
      <c r="Z148" s="33">
        <f t="shared" si="22"/>
        <v>19048</v>
      </c>
      <c r="AA148" s="33">
        <f t="shared" si="22"/>
        <v>19048</v>
      </c>
      <c r="AB148" s="33">
        <f t="shared" si="22"/>
        <v>19048</v>
      </c>
      <c r="AC148" s="33">
        <f t="shared" si="22"/>
        <v>19048</v>
      </c>
      <c r="AD148" s="33">
        <f t="shared" si="22"/>
        <v>19048</v>
      </c>
    </row>
    <row r="149" spans="1:30" ht="14.25">
      <c r="A149" s="27" t="s">
        <v>106</v>
      </c>
      <c r="B149" s="27" t="s">
        <v>164</v>
      </c>
      <c r="C149" s="37">
        <f>C57/(1+$C$64)</f>
        <v>36.36363636363636</v>
      </c>
      <c r="D149" s="56">
        <f aca="true" t="shared" si="23" ref="D149:AD149">C149*(1+D58)*(1+$C$5)</f>
        <v>39.31636363636364</v>
      </c>
      <c r="E149" s="56">
        <f t="shared" si="23"/>
        <v>42.508852363636365</v>
      </c>
      <c r="F149" s="56">
        <f t="shared" si="23"/>
        <v>45.960571175563636</v>
      </c>
      <c r="G149" s="56">
        <f t="shared" si="23"/>
        <v>49.6925695550194</v>
      </c>
      <c r="H149" s="56">
        <f t="shared" si="23"/>
        <v>53.72760620288699</v>
      </c>
      <c r="I149" s="56">
        <f t="shared" si="23"/>
        <v>58.090287826561415</v>
      </c>
      <c r="J149" s="56">
        <f t="shared" si="23"/>
        <v>62.80721919807821</v>
      </c>
      <c r="K149" s="56">
        <f t="shared" si="23"/>
        <v>67.26653176114176</v>
      </c>
      <c r="L149" s="56">
        <f t="shared" si="23"/>
        <v>72.04245551618283</v>
      </c>
      <c r="M149" s="56">
        <f t="shared" si="23"/>
        <v>77.15746985783181</v>
      </c>
      <c r="N149" s="56">
        <f t="shared" si="23"/>
        <v>82.63565021773788</v>
      </c>
      <c r="O149" s="56">
        <f t="shared" si="23"/>
        <v>88.50278138319726</v>
      </c>
      <c r="P149" s="56">
        <f t="shared" si="23"/>
        <v>93.88375049129567</v>
      </c>
      <c r="Q149" s="56">
        <f t="shared" si="23"/>
        <v>99.59188252116645</v>
      </c>
      <c r="R149" s="56">
        <f t="shared" si="23"/>
        <v>105.64706897845338</v>
      </c>
      <c r="S149" s="56">
        <f t="shared" si="23"/>
        <v>112.07041077234335</v>
      </c>
      <c r="T149" s="56">
        <f t="shared" si="23"/>
        <v>118.88429174730183</v>
      </c>
      <c r="U149" s="56">
        <f t="shared" si="23"/>
        <v>124.8998369097153</v>
      </c>
      <c r="V149" s="56">
        <f t="shared" si="23"/>
        <v>131.21976865734692</v>
      </c>
      <c r="W149" s="56">
        <f t="shared" si="23"/>
        <v>137.85948895140868</v>
      </c>
      <c r="X149" s="56">
        <f t="shared" si="23"/>
        <v>144.83517909234996</v>
      </c>
      <c r="Y149" s="56">
        <f t="shared" si="23"/>
        <v>152.16383915442287</v>
      </c>
      <c r="Z149" s="56">
        <f t="shared" si="23"/>
        <v>159.86332941563668</v>
      </c>
      <c r="AA149" s="56">
        <f t="shared" si="23"/>
        <v>167.9524138840679</v>
      </c>
      <c r="AB149" s="56">
        <f t="shared" si="23"/>
        <v>176.45080602660175</v>
      </c>
      <c r="AC149" s="56">
        <f t="shared" si="23"/>
        <v>185.3792168115478</v>
      </c>
      <c r="AD149" s="56">
        <f t="shared" si="23"/>
        <v>194.75940518221213</v>
      </c>
    </row>
    <row r="150" spans="1:30" ht="14.25">
      <c r="A150" s="27" t="s">
        <v>106</v>
      </c>
      <c r="B150" s="27" t="s">
        <v>163</v>
      </c>
      <c r="C150" s="37">
        <f>C149*C72/10^6</f>
        <v>0.6545454545454544</v>
      </c>
      <c r="D150" s="37">
        <f>D149*D72/10^6</f>
        <v>0.7423854545454545</v>
      </c>
      <c r="E150" s="37">
        <f aca="true" t="shared" si="24" ref="E150:AD150">E149*E72/10^6</f>
        <v>0.8420135825454547</v>
      </c>
      <c r="F150" s="37">
        <f t="shared" si="24"/>
        <v>0.9550118053230546</v>
      </c>
      <c r="G150" s="37">
        <f t="shared" si="24"/>
        <v>1.0831743895974086</v>
      </c>
      <c r="H150" s="37">
        <f t="shared" si="24"/>
        <v>1.2285363926813813</v>
      </c>
      <c r="I150" s="37">
        <f t="shared" si="24"/>
        <v>1.3934059765792226</v>
      </c>
      <c r="J150" s="37">
        <f t="shared" si="24"/>
        <v>1.5804010586361548</v>
      </c>
      <c r="K150" s="37">
        <f t="shared" si="24"/>
        <v>1.7755805893777197</v>
      </c>
      <c r="L150" s="37">
        <f t="shared" si="24"/>
        <v>1.9948647921658682</v>
      </c>
      <c r="M150" s="37">
        <f t="shared" si="24"/>
        <v>2.241230593998353</v>
      </c>
      <c r="N150" s="37">
        <f t="shared" si="24"/>
        <v>2.5180225723571503</v>
      </c>
      <c r="O150" s="37">
        <f t="shared" si="24"/>
        <v>2.8289983600432578</v>
      </c>
      <c r="P150" s="37">
        <f t="shared" si="24"/>
        <v>3.148109375056139</v>
      </c>
      <c r="Q150" s="37">
        <f t="shared" si="24"/>
        <v>3.5032161125624715</v>
      </c>
      <c r="R150" s="37">
        <f t="shared" si="24"/>
        <v>3.8983788900595178</v>
      </c>
      <c r="S150" s="37">
        <f t="shared" si="24"/>
        <v>4.3381160288582326</v>
      </c>
      <c r="T150" s="37">
        <f t="shared" si="24"/>
        <v>4.827455516913441</v>
      </c>
      <c r="U150" s="37">
        <f t="shared" si="24"/>
        <v>5.320338725190304</v>
      </c>
      <c r="V150" s="37">
        <f t="shared" si="24"/>
        <v>5.863545309032236</v>
      </c>
      <c r="W150" s="37">
        <f t="shared" si="24"/>
        <v>6.462213285084427</v>
      </c>
      <c r="X150" s="37">
        <f t="shared" si="24"/>
        <v>7.122005261491547</v>
      </c>
      <c r="Y150" s="37">
        <f t="shared" si="24"/>
        <v>7.849161998689835</v>
      </c>
      <c r="Z150" s="37">
        <f t="shared" si="24"/>
        <v>8.65056143875607</v>
      </c>
      <c r="AA150" s="37">
        <f t="shared" si="24"/>
        <v>9.533783761653066</v>
      </c>
      <c r="AB150" s="37">
        <f t="shared" si="24"/>
        <v>10.507183083717845</v>
      </c>
      <c r="AC150" s="37">
        <f t="shared" si="24"/>
        <v>11.579966476565437</v>
      </c>
      <c r="AD150" s="37">
        <f t="shared" si="24"/>
        <v>12.762281053822772</v>
      </c>
    </row>
    <row r="151" spans="1:30" ht="12.75">
      <c r="A151" s="27" t="s">
        <v>107</v>
      </c>
      <c r="B151" s="27" t="s">
        <v>35</v>
      </c>
      <c r="F151" s="33">
        <f>F150*F148*12</f>
        <v>218292.77841352255</v>
      </c>
      <c r="G151" s="33">
        <f aca="true" t="shared" si="25" ref="G151:Z151">G150*G148*12</f>
        <v>247587.6692766173</v>
      </c>
      <c r="H151" s="33">
        <f t="shared" si="25"/>
        <v>280813.9344935394</v>
      </c>
      <c r="I151" s="33">
        <f t="shared" si="25"/>
        <v>318499.1645025724</v>
      </c>
      <c r="J151" s="33">
        <f t="shared" si="25"/>
        <v>361241.7523788177</v>
      </c>
      <c r="K151" s="33">
        <f t="shared" si="25"/>
        <v>405855.10879760166</v>
      </c>
      <c r="L151" s="33">
        <f t="shared" si="25"/>
        <v>455978.21473410545</v>
      </c>
      <c r="M151" s="33">
        <f t="shared" si="25"/>
        <v>512291.52425376757</v>
      </c>
      <c r="N151" s="33">
        <f t="shared" si="25"/>
        <v>575559.527499108</v>
      </c>
      <c r="O151" s="33">
        <f t="shared" si="25"/>
        <v>646641.1291452476</v>
      </c>
      <c r="P151" s="33">
        <f t="shared" si="25"/>
        <v>719582.248512832</v>
      </c>
      <c r="Q151" s="33">
        <f t="shared" si="25"/>
        <v>800751.1261450795</v>
      </c>
      <c r="R151" s="33">
        <f t="shared" si="25"/>
        <v>891075.8531742443</v>
      </c>
      <c r="S151" s="33">
        <f t="shared" si="25"/>
        <v>991589.2094122994</v>
      </c>
      <c r="T151" s="33">
        <f t="shared" si="25"/>
        <v>1103440.4722340067</v>
      </c>
      <c r="U151" s="33">
        <f t="shared" si="25"/>
        <v>1216101.744449099</v>
      </c>
      <c r="V151" s="33">
        <f t="shared" si="25"/>
        <v>1340265.7325573522</v>
      </c>
      <c r="W151" s="33">
        <f t="shared" si="25"/>
        <v>1477106.863851458</v>
      </c>
      <c r="X151" s="33">
        <f t="shared" si="25"/>
        <v>1627919.4746506917</v>
      </c>
      <c r="Y151" s="33">
        <f t="shared" si="25"/>
        <v>1794130.053012528</v>
      </c>
      <c r="Z151" s="33">
        <f t="shared" si="25"/>
        <v>1977310.7314251072</v>
      </c>
      <c r="AA151" s="33">
        <f>AA150*AA148*12</f>
        <v>2179194.157103611</v>
      </c>
      <c r="AB151" s="33">
        <f>AB150*AB148*12</f>
        <v>2401689.8805438904</v>
      </c>
      <c r="AC151" s="33">
        <f>AC150*AC148*12</f>
        <v>2646902.4173474214</v>
      </c>
      <c r="AD151" s="33">
        <f>AD150*AD148*12</f>
        <v>2917151.154158594</v>
      </c>
    </row>
    <row r="152" spans="1:30" ht="12.75">
      <c r="A152" s="27" t="s">
        <v>137</v>
      </c>
      <c r="B152" s="27" t="s">
        <v>35</v>
      </c>
      <c r="F152" s="33">
        <f aca="true" t="shared" si="26" ref="F152:AD152">F151*F59</f>
        <v>109146.38920676128</v>
      </c>
      <c r="G152" s="33">
        <f t="shared" si="26"/>
        <v>99035.06771064692</v>
      </c>
      <c r="H152" s="33">
        <f t="shared" si="26"/>
        <v>84244.18034806181</v>
      </c>
      <c r="I152" s="33">
        <f t="shared" si="26"/>
        <v>63699.83290051448</v>
      </c>
      <c r="J152" s="33">
        <f t="shared" si="26"/>
        <v>72248.35047576354</v>
      </c>
      <c r="K152" s="33">
        <f t="shared" si="26"/>
        <v>81171.02175952034</v>
      </c>
      <c r="L152" s="33">
        <f t="shared" si="26"/>
        <v>91195.6429468211</v>
      </c>
      <c r="M152" s="33">
        <f t="shared" si="26"/>
        <v>102458.30485075351</v>
      </c>
      <c r="N152" s="33">
        <f t="shared" si="26"/>
        <v>115111.9054998216</v>
      </c>
      <c r="O152" s="33">
        <f t="shared" si="26"/>
        <v>129328.22582904954</v>
      </c>
      <c r="P152" s="33">
        <f t="shared" si="26"/>
        <v>143916.4497025664</v>
      </c>
      <c r="Q152" s="33">
        <f t="shared" si="26"/>
        <v>160150.22522901592</v>
      </c>
      <c r="R152" s="33">
        <f t="shared" si="26"/>
        <v>178215.17063484888</v>
      </c>
      <c r="S152" s="33">
        <f t="shared" si="26"/>
        <v>198317.8418824599</v>
      </c>
      <c r="T152" s="33">
        <f t="shared" si="26"/>
        <v>220688.09444680135</v>
      </c>
      <c r="U152" s="33">
        <f t="shared" si="26"/>
        <v>243220.3488898198</v>
      </c>
      <c r="V152" s="33">
        <f t="shared" si="26"/>
        <v>268053.14651147043</v>
      </c>
      <c r="W152" s="33">
        <f t="shared" si="26"/>
        <v>295421.37277029164</v>
      </c>
      <c r="X152" s="33">
        <f t="shared" si="26"/>
        <v>325583.89493013837</v>
      </c>
      <c r="Y152" s="33">
        <f t="shared" si="26"/>
        <v>358826.01060250564</v>
      </c>
      <c r="Z152" s="33">
        <f t="shared" si="26"/>
        <v>395462.14628502144</v>
      </c>
      <c r="AA152" s="33">
        <f t="shared" si="26"/>
        <v>435838.83142072224</v>
      </c>
      <c r="AB152" s="33">
        <f t="shared" si="26"/>
        <v>480337.9761087781</v>
      </c>
      <c r="AC152" s="33">
        <f t="shared" si="26"/>
        <v>529380.4834694843</v>
      </c>
      <c r="AD152" s="33">
        <f t="shared" si="26"/>
        <v>583430.2308317189</v>
      </c>
    </row>
    <row r="153" spans="1:30" ht="12.75">
      <c r="A153" s="52" t="s">
        <v>136</v>
      </c>
      <c r="B153" s="52" t="s">
        <v>35</v>
      </c>
      <c r="C153" s="52"/>
      <c r="D153" s="52"/>
      <c r="E153" s="52"/>
      <c r="F153" s="53">
        <f aca="true" t="shared" si="27" ref="F153:Z153">F151-F152</f>
        <v>109146.38920676128</v>
      </c>
      <c r="G153" s="53">
        <f t="shared" si="27"/>
        <v>148552.60156597037</v>
      </c>
      <c r="H153" s="53">
        <f t="shared" si="27"/>
        <v>196569.75414547758</v>
      </c>
      <c r="I153" s="53">
        <f t="shared" si="27"/>
        <v>254799.3316020579</v>
      </c>
      <c r="J153" s="53">
        <f t="shared" si="27"/>
        <v>288993.40190305415</v>
      </c>
      <c r="K153" s="53">
        <f t="shared" si="27"/>
        <v>324684.0870380813</v>
      </c>
      <c r="L153" s="53">
        <f t="shared" si="27"/>
        <v>364782.57178728434</v>
      </c>
      <c r="M153" s="53">
        <f t="shared" si="27"/>
        <v>409833.21940301405</v>
      </c>
      <c r="N153" s="53">
        <f t="shared" si="27"/>
        <v>460447.6219992864</v>
      </c>
      <c r="O153" s="53">
        <f t="shared" si="27"/>
        <v>517312.9033161981</v>
      </c>
      <c r="P153" s="53">
        <f t="shared" si="27"/>
        <v>575665.7988102656</v>
      </c>
      <c r="Q153" s="53">
        <f t="shared" si="27"/>
        <v>640600.9009160636</v>
      </c>
      <c r="R153" s="53">
        <f t="shared" si="27"/>
        <v>712860.6825393954</v>
      </c>
      <c r="S153" s="53">
        <f t="shared" si="27"/>
        <v>793271.3675298395</v>
      </c>
      <c r="T153" s="53">
        <f t="shared" si="27"/>
        <v>882752.3777872054</v>
      </c>
      <c r="U153" s="53">
        <f t="shared" si="27"/>
        <v>972881.3955592792</v>
      </c>
      <c r="V153" s="53">
        <f t="shared" si="27"/>
        <v>1072212.5860458817</v>
      </c>
      <c r="W153" s="53">
        <f t="shared" si="27"/>
        <v>1181685.4910811665</v>
      </c>
      <c r="X153" s="53">
        <f t="shared" si="27"/>
        <v>1302335.5797205535</v>
      </c>
      <c r="Y153" s="53">
        <f t="shared" si="27"/>
        <v>1435304.0424100223</v>
      </c>
      <c r="Z153" s="53">
        <f t="shared" si="27"/>
        <v>1581848.5851400858</v>
      </c>
      <c r="AA153" s="53">
        <f>AA151-AA152</f>
        <v>1743355.325682889</v>
      </c>
      <c r="AB153" s="53">
        <f>AB151-AB152</f>
        <v>1921351.9044351124</v>
      </c>
      <c r="AC153" s="53">
        <f>AC151-AC152</f>
        <v>2117521.933877937</v>
      </c>
      <c r="AD153" s="53">
        <f>AD151-AD152</f>
        <v>2333720.923326875</v>
      </c>
    </row>
    <row r="154" spans="6:30" ht="12.75"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1:6" ht="12.75">
      <c r="A155" s="29" t="s">
        <v>108</v>
      </c>
      <c r="F155" s="33"/>
    </row>
    <row r="156" spans="1:30" ht="12.75">
      <c r="A156" s="27" t="s">
        <v>109</v>
      </c>
      <c r="B156" s="27" t="s">
        <v>35</v>
      </c>
      <c r="F156" s="33">
        <f aca="true" t="shared" si="28" ref="F156:AD157">F$153*$C60</f>
        <v>21829.277841352257</v>
      </c>
      <c r="G156" s="33">
        <f t="shared" si="28"/>
        <v>29710.520313194076</v>
      </c>
      <c r="H156" s="33">
        <f t="shared" si="28"/>
        <v>39313.95082909552</v>
      </c>
      <c r="I156" s="33">
        <f t="shared" si="28"/>
        <v>50959.86632041159</v>
      </c>
      <c r="J156" s="33">
        <f t="shared" si="28"/>
        <v>57798.68038061084</v>
      </c>
      <c r="K156" s="33">
        <f t="shared" si="28"/>
        <v>64936.81740761627</v>
      </c>
      <c r="L156" s="33">
        <f t="shared" si="28"/>
        <v>72956.51435745686</v>
      </c>
      <c r="M156" s="33">
        <f t="shared" si="28"/>
        <v>81966.64388060282</v>
      </c>
      <c r="N156" s="33">
        <f t="shared" si="28"/>
        <v>92089.52439985728</v>
      </c>
      <c r="O156" s="33">
        <f t="shared" si="28"/>
        <v>103462.58066323963</v>
      </c>
      <c r="P156" s="33">
        <f t="shared" si="28"/>
        <v>115133.15976205312</v>
      </c>
      <c r="Q156" s="33">
        <f t="shared" si="28"/>
        <v>128120.18018321272</v>
      </c>
      <c r="R156" s="33">
        <f t="shared" si="28"/>
        <v>142572.1365078791</v>
      </c>
      <c r="S156" s="33">
        <f t="shared" si="28"/>
        <v>158654.27350596793</v>
      </c>
      <c r="T156" s="33">
        <f t="shared" si="28"/>
        <v>176550.4755574411</v>
      </c>
      <c r="U156" s="33">
        <f t="shared" si="28"/>
        <v>194576.27911185587</v>
      </c>
      <c r="V156" s="33">
        <f t="shared" si="28"/>
        <v>214442.51720917635</v>
      </c>
      <c r="W156" s="33">
        <f t="shared" si="28"/>
        <v>236337.0982162333</v>
      </c>
      <c r="X156" s="33">
        <f t="shared" si="28"/>
        <v>260467.1159441107</v>
      </c>
      <c r="Y156" s="33">
        <f t="shared" si="28"/>
        <v>287060.8084820045</v>
      </c>
      <c r="Z156" s="33">
        <f t="shared" si="28"/>
        <v>316369.71702801716</v>
      </c>
      <c r="AA156" s="33">
        <f t="shared" si="28"/>
        <v>348671.0651365778</v>
      </c>
      <c r="AB156" s="33">
        <f t="shared" si="28"/>
        <v>384270.3808870225</v>
      </c>
      <c r="AC156" s="33">
        <f t="shared" si="28"/>
        <v>423504.38677558745</v>
      </c>
      <c r="AD156" s="33">
        <f t="shared" si="28"/>
        <v>466744.18466537504</v>
      </c>
    </row>
    <row r="157" spans="1:30" ht="12.75">
      <c r="A157" s="27" t="s">
        <v>110</v>
      </c>
      <c r="B157" s="27" t="s">
        <v>35</v>
      </c>
      <c r="F157" s="33">
        <f t="shared" si="28"/>
        <v>6548.783352405676</v>
      </c>
      <c r="G157" s="33">
        <f t="shared" si="28"/>
        <v>8913.156093958221</v>
      </c>
      <c r="H157" s="33">
        <f t="shared" si="28"/>
        <v>11794.185248728654</v>
      </c>
      <c r="I157" s="33">
        <f t="shared" si="28"/>
        <v>15287.959896123473</v>
      </c>
      <c r="J157" s="33">
        <f t="shared" si="28"/>
        <v>17339.60411418325</v>
      </c>
      <c r="K157" s="33">
        <f t="shared" si="28"/>
        <v>19481.04522228488</v>
      </c>
      <c r="L157" s="33">
        <f t="shared" si="28"/>
        <v>21886.954307237058</v>
      </c>
      <c r="M157" s="33">
        <f t="shared" si="28"/>
        <v>24589.993164180843</v>
      </c>
      <c r="N157" s="33">
        <f t="shared" si="28"/>
        <v>27626.857319957184</v>
      </c>
      <c r="O157" s="33">
        <f t="shared" si="28"/>
        <v>31038.774198971885</v>
      </c>
      <c r="P157" s="33">
        <f t="shared" si="28"/>
        <v>34539.94792861593</v>
      </c>
      <c r="Q157" s="33">
        <f t="shared" si="28"/>
        <v>38436.05405496381</v>
      </c>
      <c r="R157" s="33">
        <f t="shared" si="28"/>
        <v>42771.64095236372</v>
      </c>
      <c r="S157" s="33">
        <f t="shared" si="28"/>
        <v>47596.28205179037</v>
      </c>
      <c r="T157" s="33">
        <f t="shared" si="28"/>
        <v>52965.14266723232</v>
      </c>
      <c r="U157" s="33">
        <f t="shared" si="28"/>
        <v>58372.88373355675</v>
      </c>
      <c r="V157" s="33">
        <f t="shared" si="28"/>
        <v>64332.7551627529</v>
      </c>
      <c r="W157" s="33">
        <f t="shared" si="28"/>
        <v>70901.12946486998</v>
      </c>
      <c r="X157" s="33">
        <f t="shared" si="28"/>
        <v>78140.13478323321</v>
      </c>
      <c r="Y157" s="33">
        <f t="shared" si="28"/>
        <v>86118.24254460134</v>
      </c>
      <c r="Z157" s="33">
        <f t="shared" si="28"/>
        <v>94910.91510840514</v>
      </c>
      <c r="AA157" s="33">
        <f t="shared" si="28"/>
        <v>104601.31954097333</v>
      </c>
      <c r="AB157" s="33">
        <f t="shared" si="28"/>
        <v>115281.11426610674</v>
      </c>
      <c r="AC157" s="33">
        <f t="shared" si="28"/>
        <v>127051.31603267622</v>
      </c>
      <c r="AD157" s="33">
        <f t="shared" si="28"/>
        <v>140023.2553996125</v>
      </c>
    </row>
    <row r="158" spans="1:30" ht="12.75">
      <c r="A158" s="27" t="s">
        <v>111</v>
      </c>
      <c r="B158" s="27" t="s">
        <v>35</v>
      </c>
      <c r="F158" s="33">
        <f aca="true" t="shared" si="29" ref="F158:AD158">IF(F2-2&gt;$C$48,0,SUM($C$115:$E$118)/$C$48)</f>
        <v>16136.622109122769</v>
      </c>
      <c r="G158" s="33">
        <f t="shared" si="29"/>
        <v>16136.622109122769</v>
      </c>
      <c r="H158" s="33">
        <f t="shared" si="29"/>
        <v>16136.622109122769</v>
      </c>
      <c r="I158" s="33">
        <f t="shared" si="29"/>
        <v>0</v>
      </c>
      <c r="J158" s="33">
        <f t="shared" si="29"/>
        <v>0</v>
      </c>
      <c r="K158" s="33">
        <f t="shared" si="29"/>
        <v>0</v>
      </c>
      <c r="L158" s="33">
        <f t="shared" si="29"/>
        <v>0</v>
      </c>
      <c r="M158" s="33">
        <f t="shared" si="29"/>
        <v>0</v>
      </c>
      <c r="N158" s="33">
        <f t="shared" si="29"/>
        <v>0</v>
      </c>
      <c r="O158" s="33">
        <f t="shared" si="29"/>
        <v>0</v>
      </c>
      <c r="P158" s="33">
        <f t="shared" si="29"/>
        <v>0</v>
      </c>
      <c r="Q158" s="33">
        <f t="shared" si="29"/>
        <v>0</v>
      </c>
      <c r="R158" s="33">
        <f t="shared" si="29"/>
        <v>0</v>
      </c>
      <c r="S158" s="33">
        <f t="shared" si="29"/>
        <v>0</v>
      </c>
      <c r="T158" s="33">
        <f t="shared" si="29"/>
        <v>0</v>
      </c>
      <c r="U158" s="33">
        <f t="shared" si="29"/>
        <v>0</v>
      </c>
      <c r="V158" s="33">
        <f t="shared" si="29"/>
        <v>0</v>
      </c>
      <c r="W158" s="33">
        <f t="shared" si="29"/>
        <v>0</v>
      </c>
      <c r="X158" s="33">
        <f t="shared" si="29"/>
        <v>0</v>
      </c>
      <c r="Y158" s="33">
        <f t="shared" si="29"/>
        <v>0</v>
      </c>
      <c r="Z158" s="33">
        <f t="shared" si="29"/>
        <v>0</v>
      </c>
      <c r="AA158" s="33">
        <f t="shared" si="29"/>
        <v>0</v>
      </c>
      <c r="AB158" s="33">
        <f t="shared" si="29"/>
        <v>0</v>
      </c>
      <c r="AC158" s="33">
        <f t="shared" si="29"/>
        <v>0</v>
      </c>
      <c r="AD158" s="33">
        <f t="shared" si="29"/>
        <v>0</v>
      </c>
    </row>
    <row r="159" ht="12.75">
      <c r="F159" s="33"/>
    </row>
    <row r="160" spans="1:30" ht="12.75">
      <c r="A160" s="27" t="s">
        <v>112</v>
      </c>
      <c r="B160" s="27" t="s">
        <v>35</v>
      </c>
      <c r="F160" s="33">
        <f>F153-F156-F157-F158</f>
        <v>64631.70590388057</v>
      </c>
      <c r="G160" s="33">
        <f aca="true" t="shared" si="30" ref="G160:AD160">G153-G156-G157-G158</f>
        <v>93792.3030496953</v>
      </c>
      <c r="H160" s="33">
        <f t="shared" si="30"/>
        <v>129324.99595853062</v>
      </c>
      <c r="I160" s="33">
        <f t="shared" si="30"/>
        <v>188551.50538552285</v>
      </c>
      <c r="J160" s="33">
        <f t="shared" si="30"/>
        <v>213855.11740826006</v>
      </c>
      <c r="K160" s="33">
        <f t="shared" si="30"/>
        <v>240266.22440818016</v>
      </c>
      <c r="L160" s="33">
        <f t="shared" si="30"/>
        <v>269939.1031225904</v>
      </c>
      <c r="M160" s="33">
        <f t="shared" si="30"/>
        <v>303276.58235823043</v>
      </c>
      <c r="N160" s="33">
        <f t="shared" si="30"/>
        <v>340731.24027947197</v>
      </c>
      <c r="O160" s="33">
        <f t="shared" si="30"/>
        <v>382811.5484539866</v>
      </c>
      <c r="P160" s="33">
        <f t="shared" si="30"/>
        <v>425992.6911195966</v>
      </c>
      <c r="Q160" s="33">
        <f t="shared" si="30"/>
        <v>474044.666677887</v>
      </c>
      <c r="R160" s="33">
        <f t="shared" si="30"/>
        <v>527516.9050791526</v>
      </c>
      <c r="S160" s="33">
        <f t="shared" si="30"/>
        <v>587020.8119720812</v>
      </c>
      <c r="T160" s="33">
        <f t="shared" si="30"/>
        <v>653236.759562532</v>
      </c>
      <c r="U160" s="33">
        <f t="shared" si="30"/>
        <v>719932.2327138666</v>
      </c>
      <c r="V160" s="33">
        <f t="shared" si="30"/>
        <v>793437.3136739525</v>
      </c>
      <c r="W160" s="33">
        <f t="shared" si="30"/>
        <v>874447.2634000633</v>
      </c>
      <c r="X160" s="33">
        <f t="shared" si="30"/>
        <v>963728.3289932096</v>
      </c>
      <c r="Y160" s="33">
        <f t="shared" si="30"/>
        <v>1062124.9913834163</v>
      </c>
      <c r="Z160" s="33">
        <f t="shared" si="30"/>
        <v>1170567.9530036636</v>
      </c>
      <c r="AA160" s="33">
        <f t="shared" si="30"/>
        <v>1290082.941005338</v>
      </c>
      <c r="AB160" s="33">
        <f t="shared" si="30"/>
        <v>1421800.409281983</v>
      </c>
      <c r="AC160" s="33">
        <f t="shared" si="30"/>
        <v>1566966.2310696733</v>
      </c>
      <c r="AD160" s="33">
        <f t="shared" si="30"/>
        <v>1726953.4832618877</v>
      </c>
    </row>
    <row r="161" spans="6:30" ht="12.75"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1:30" ht="12.75">
      <c r="A162" s="27" t="s">
        <v>113</v>
      </c>
      <c r="B162" s="27" t="s">
        <v>35</v>
      </c>
      <c r="F162" s="33">
        <f aca="true" t="shared" si="31" ref="F162:AD163">F$160*$C62</f>
        <v>19389.51177116417</v>
      </c>
      <c r="G162" s="33">
        <f t="shared" si="31"/>
        <v>28137.690914908588</v>
      </c>
      <c r="H162" s="33">
        <f t="shared" si="31"/>
        <v>38797.49878755918</v>
      </c>
      <c r="I162" s="33">
        <f t="shared" si="31"/>
        <v>56565.45161565685</v>
      </c>
      <c r="J162" s="33">
        <f t="shared" si="31"/>
        <v>64156.535222478014</v>
      </c>
      <c r="K162" s="33">
        <f t="shared" si="31"/>
        <v>72079.86732245404</v>
      </c>
      <c r="L162" s="33">
        <f t="shared" si="31"/>
        <v>80981.73093677712</v>
      </c>
      <c r="M162" s="33">
        <f t="shared" si="31"/>
        <v>90982.97470746913</v>
      </c>
      <c r="N162" s="33">
        <f t="shared" si="31"/>
        <v>102219.37208384159</v>
      </c>
      <c r="O162" s="33">
        <f t="shared" si="31"/>
        <v>114843.46453619597</v>
      </c>
      <c r="P162" s="33">
        <f t="shared" si="31"/>
        <v>127797.80733587897</v>
      </c>
      <c r="Q162" s="33">
        <f t="shared" si="31"/>
        <v>142213.4000033661</v>
      </c>
      <c r="R162" s="33">
        <f t="shared" si="31"/>
        <v>158255.07152374575</v>
      </c>
      <c r="S162" s="33">
        <f t="shared" si="31"/>
        <v>176106.24359162434</v>
      </c>
      <c r="T162" s="33">
        <f t="shared" si="31"/>
        <v>195971.0278687596</v>
      </c>
      <c r="U162" s="33">
        <f t="shared" si="31"/>
        <v>215979.66981415998</v>
      </c>
      <c r="V162" s="33">
        <f t="shared" si="31"/>
        <v>238031.19410218572</v>
      </c>
      <c r="W162" s="33">
        <f t="shared" si="31"/>
        <v>262334.17902001896</v>
      </c>
      <c r="X162" s="33">
        <f t="shared" si="31"/>
        <v>289118.4986979629</v>
      </c>
      <c r="Y162" s="33">
        <f t="shared" si="31"/>
        <v>318637.4974150249</v>
      </c>
      <c r="Z162" s="33">
        <f t="shared" si="31"/>
        <v>351170.3859010991</v>
      </c>
      <c r="AA162" s="33">
        <f t="shared" si="31"/>
        <v>387024.8823016014</v>
      </c>
      <c r="AB162" s="33">
        <f t="shared" si="31"/>
        <v>426540.1227845949</v>
      </c>
      <c r="AC162" s="33">
        <f t="shared" si="31"/>
        <v>470089.869320902</v>
      </c>
      <c r="AD162" s="33">
        <f t="shared" si="31"/>
        <v>518086.0449785663</v>
      </c>
    </row>
    <row r="163" spans="1:30" ht="12.75">
      <c r="A163" s="27" t="s">
        <v>114</v>
      </c>
      <c r="B163" s="27" t="s">
        <v>35</v>
      </c>
      <c r="F163" s="33">
        <f t="shared" si="31"/>
        <v>5170.536472310446</v>
      </c>
      <c r="G163" s="33">
        <f t="shared" si="31"/>
        <v>7503.3842439756245</v>
      </c>
      <c r="H163" s="33">
        <f t="shared" si="31"/>
        <v>10345.99967668245</v>
      </c>
      <c r="I163" s="33">
        <f t="shared" si="31"/>
        <v>15084.120430841827</v>
      </c>
      <c r="J163" s="33">
        <f t="shared" si="31"/>
        <v>17108.409392660804</v>
      </c>
      <c r="K163" s="33">
        <f t="shared" si="31"/>
        <v>19221.297952654415</v>
      </c>
      <c r="L163" s="33">
        <f t="shared" si="31"/>
        <v>21595.128249807232</v>
      </c>
      <c r="M163" s="33">
        <f t="shared" si="31"/>
        <v>24262.126588658433</v>
      </c>
      <c r="N163" s="33">
        <f t="shared" si="31"/>
        <v>27258.499222357757</v>
      </c>
      <c r="O163" s="33">
        <f t="shared" si="31"/>
        <v>30624.923876318928</v>
      </c>
      <c r="P163" s="33">
        <f t="shared" si="31"/>
        <v>34079.415289567725</v>
      </c>
      <c r="Q163" s="33">
        <f t="shared" si="31"/>
        <v>37923.57333423096</v>
      </c>
      <c r="R163" s="33">
        <f t="shared" si="31"/>
        <v>42201.352406332204</v>
      </c>
      <c r="S163" s="33">
        <f t="shared" si="31"/>
        <v>46961.664957766494</v>
      </c>
      <c r="T163" s="33">
        <f t="shared" si="31"/>
        <v>52258.94076500256</v>
      </c>
      <c r="U163" s="33">
        <f t="shared" si="31"/>
        <v>57594.578617109335</v>
      </c>
      <c r="V163" s="33">
        <f t="shared" si="31"/>
        <v>63474.9850939162</v>
      </c>
      <c r="W163" s="33">
        <f t="shared" si="31"/>
        <v>69955.78107200506</v>
      </c>
      <c r="X163" s="33">
        <f t="shared" si="31"/>
        <v>77098.26631945677</v>
      </c>
      <c r="Y163" s="33">
        <f t="shared" si="31"/>
        <v>84969.99931067332</v>
      </c>
      <c r="Z163" s="33">
        <f t="shared" si="31"/>
        <v>93645.43624029309</v>
      </c>
      <c r="AA163" s="33">
        <f t="shared" si="31"/>
        <v>103206.63528042704</v>
      </c>
      <c r="AB163" s="33">
        <f t="shared" si="31"/>
        <v>113744.03274255864</v>
      </c>
      <c r="AC163" s="33">
        <f t="shared" si="31"/>
        <v>125357.29848557386</v>
      </c>
      <c r="AD163" s="33">
        <f t="shared" si="31"/>
        <v>138156.278660951</v>
      </c>
    </row>
    <row r="164" spans="1:30" ht="12.75">
      <c r="A164" s="27" t="s">
        <v>115</v>
      </c>
      <c r="F164" s="33">
        <f>$C$8*$C$7/10^6*F70</f>
        <v>4900.1720000000005</v>
      </c>
      <c r="G164" s="33">
        <f aca="true" t="shared" si="32" ref="G164:AD164">$C$8*$C$7/10^6*G70</f>
        <v>5243.184040000001</v>
      </c>
      <c r="H164" s="33">
        <f t="shared" si="32"/>
        <v>5610.206922800002</v>
      </c>
      <c r="I164" s="33">
        <f t="shared" si="32"/>
        <v>6002.921407396002</v>
      </c>
      <c r="J164" s="33">
        <f t="shared" si="32"/>
        <v>6423.125905913723</v>
      </c>
      <c r="K164" s="33">
        <f t="shared" si="32"/>
        <v>6872.744719327684</v>
      </c>
      <c r="L164" s="33">
        <f t="shared" si="32"/>
        <v>7353.836849680622</v>
      </c>
      <c r="M164" s="33">
        <f t="shared" si="32"/>
        <v>7868.605429158266</v>
      </c>
      <c r="N164" s="33">
        <f t="shared" si="32"/>
        <v>8419.407809199345</v>
      </c>
      <c r="O164" s="33">
        <f t="shared" si="32"/>
        <v>9008.7663558433</v>
      </c>
      <c r="P164" s="33">
        <f t="shared" si="32"/>
        <v>9639.380000752331</v>
      </c>
      <c r="Q164" s="33">
        <f t="shared" si="32"/>
        <v>10314.136600804995</v>
      </c>
      <c r="R164" s="33">
        <f t="shared" si="32"/>
        <v>11036.126162861345</v>
      </c>
      <c r="S164" s="33">
        <f t="shared" si="32"/>
        <v>11808.65499426164</v>
      </c>
      <c r="T164" s="33">
        <f t="shared" si="32"/>
        <v>12635.260843859956</v>
      </c>
      <c r="U164" s="33">
        <f t="shared" si="32"/>
        <v>13519.729102930154</v>
      </c>
      <c r="V164" s="33">
        <f t="shared" si="32"/>
        <v>14466.110140135268</v>
      </c>
      <c r="W164" s="33">
        <f t="shared" si="32"/>
        <v>15478.737849944737</v>
      </c>
      <c r="X164" s="33">
        <f t="shared" si="32"/>
        <v>16562.24949944087</v>
      </c>
      <c r="Y164" s="33">
        <f t="shared" si="32"/>
        <v>17721.606964401733</v>
      </c>
      <c r="Z164" s="33">
        <f t="shared" si="32"/>
        <v>18962.119451909857</v>
      </c>
      <c r="AA164" s="33">
        <f t="shared" si="32"/>
        <v>20289.46781354355</v>
      </c>
      <c r="AB164" s="33">
        <f t="shared" si="32"/>
        <v>21709.7305604916</v>
      </c>
      <c r="AC164" s="33">
        <f t="shared" si="32"/>
        <v>23229.411699726013</v>
      </c>
      <c r="AD164" s="33">
        <f t="shared" si="32"/>
        <v>24855.47051870684</v>
      </c>
    </row>
    <row r="165" ht="12.75">
      <c r="F165" s="33"/>
    </row>
    <row r="166" spans="1:30" ht="12.75">
      <c r="A166" s="27" t="s">
        <v>3</v>
      </c>
      <c r="F166" s="33">
        <f aca="true" t="shared" si="33" ref="F166:AD166">F160-F162-F163-F164</f>
        <v>35171.48566040595</v>
      </c>
      <c r="G166" s="33">
        <f t="shared" si="33"/>
        <v>52908.04385081109</v>
      </c>
      <c r="H166" s="33">
        <f t="shared" si="33"/>
        <v>74571.290571489</v>
      </c>
      <c r="I166" s="33">
        <f t="shared" si="33"/>
        <v>110899.01193162818</v>
      </c>
      <c r="J166" s="33">
        <f t="shared" si="33"/>
        <v>126167.04688720753</v>
      </c>
      <c r="K166" s="33">
        <f t="shared" si="33"/>
        <v>142092.314413744</v>
      </c>
      <c r="L166" s="33">
        <f t="shared" si="33"/>
        <v>160008.4070863254</v>
      </c>
      <c r="M166" s="33">
        <f t="shared" si="33"/>
        <v>180162.87563294463</v>
      </c>
      <c r="N166" s="33">
        <f t="shared" si="33"/>
        <v>202833.96116407326</v>
      </c>
      <c r="O166" s="33">
        <f t="shared" si="33"/>
        <v>228334.39368562837</v>
      </c>
      <c r="P166" s="33">
        <f t="shared" si="33"/>
        <v>254476.08849339758</v>
      </c>
      <c r="Q166" s="33">
        <f t="shared" si="33"/>
        <v>283593.55673948495</v>
      </c>
      <c r="R166" s="33">
        <f t="shared" si="33"/>
        <v>316024.3549862132</v>
      </c>
      <c r="S166" s="33">
        <f t="shared" si="33"/>
        <v>352144.2484284288</v>
      </c>
      <c r="T166" s="33">
        <f t="shared" si="33"/>
        <v>392371.5300849099</v>
      </c>
      <c r="U166" s="33">
        <f t="shared" si="33"/>
        <v>432838.25517966715</v>
      </c>
      <c r="V166" s="33">
        <f t="shared" si="33"/>
        <v>477465.02433771535</v>
      </c>
      <c r="W166" s="33">
        <f t="shared" si="33"/>
        <v>526678.5654580946</v>
      </c>
      <c r="X166" s="33">
        <f t="shared" si="33"/>
        <v>580949.3144763492</v>
      </c>
      <c r="Y166" s="33">
        <f t="shared" si="33"/>
        <v>640795.8876933163</v>
      </c>
      <c r="Z166" s="33">
        <f t="shared" si="33"/>
        <v>706790.0114103615</v>
      </c>
      <c r="AA166" s="33">
        <f t="shared" si="33"/>
        <v>779561.9556097661</v>
      </c>
      <c r="AB166" s="33">
        <f t="shared" si="33"/>
        <v>859806.523194338</v>
      </c>
      <c r="AC166" s="33">
        <f t="shared" si="33"/>
        <v>948289.6515634714</v>
      </c>
      <c r="AD166" s="33">
        <f t="shared" si="33"/>
        <v>1045855.6891036637</v>
      </c>
    </row>
    <row r="167" spans="1:30" ht="12.75">
      <c r="A167" s="27" t="s">
        <v>116</v>
      </c>
      <c r="F167" s="33">
        <f>-F144</f>
        <v>-28894.0478809504</v>
      </c>
      <c r="G167" s="33">
        <f aca="true" t="shared" si="34" ref="G167:Z167">-G144</f>
        <v>-28894.0478809504</v>
      </c>
      <c r="H167" s="33">
        <f t="shared" si="34"/>
        <v>-28894.0478809504</v>
      </c>
      <c r="I167" s="33">
        <f t="shared" si="34"/>
        <v>-28894.0478809504</v>
      </c>
      <c r="J167" s="33">
        <f t="shared" si="34"/>
        <v>-28894.0478809504</v>
      </c>
      <c r="K167" s="33">
        <f t="shared" si="34"/>
        <v>-17711.4868107424</v>
      </c>
      <c r="L167" s="33">
        <f t="shared" si="34"/>
        <v>-17711.4868107424</v>
      </c>
      <c r="M167" s="33">
        <f t="shared" si="34"/>
        <v>-17711.4868107424</v>
      </c>
      <c r="N167" s="33">
        <f t="shared" si="34"/>
        <v>-17711.4868107424</v>
      </c>
      <c r="O167" s="33">
        <f t="shared" si="34"/>
        <v>-17711.4868107424</v>
      </c>
      <c r="P167" s="33">
        <f t="shared" si="34"/>
        <v>-17711.4868107424</v>
      </c>
      <c r="Q167" s="33">
        <f t="shared" si="34"/>
        <v>-17711.4868107424</v>
      </c>
      <c r="R167" s="33">
        <f t="shared" si="34"/>
        <v>-17711.4868107424</v>
      </c>
      <c r="S167" s="33">
        <f t="shared" si="34"/>
        <v>-17711.4868107424</v>
      </c>
      <c r="T167" s="33">
        <f t="shared" si="34"/>
        <v>-17711.4868107424</v>
      </c>
      <c r="U167" s="33">
        <f t="shared" si="34"/>
        <v>-17711.4868107424</v>
      </c>
      <c r="V167" s="33">
        <f t="shared" si="34"/>
        <v>-17711.4868107424</v>
      </c>
      <c r="W167" s="33">
        <f t="shared" si="34"/>
        <v>-17711.4868107424</v>
      </c>
      <c r="X167" s="33">
        <f t="shared" si="34"/>
        <v>-17711.4868107424</v>
      </c>
      <c r="Y167" s="33">
        <f t="shared" si="34"/>
        <v>-17711.4868107424</v>
      </c>
      <c r="Z167" s="33">
        <f t="shared" si="34"/>
        <v>-17711.4868107424</v>
      </c>
      <c r="AA167" s="33">
        <f>-AA144</f>
        <v>-17711.4868107424</v>
      </c>
      <c r="AB167" s="33">
        <f>-AB144</f>
        <v>-17711.4868107424</v>
      </c>
      <c r="AC167" s="33">
        <f>-AC144</f>
        <v>-17711.4868107424</v>
      </c>
      <c r="AD167" s="33">
        <f>-AD144</f>
        <v>-17711.4868107424</v>
      </c>
    </row>
    <row r="168" spans="1:30" ht="12.75">
      <c r="A168" s="27" t="s">
        <v>117</v>
      </c>
      <c r="F168" s="33">
        <f>F166+F167</f>
        <v>6277.437779455555</v>
      </c>
      <c r="G168" s="33">
        <f aca="true" t="shared" si="35" ref="G168:Z168">G166+G167</f>
        <v>24013.99596986069</v>
      </c>
      <c r="H168" s="33">
        <f t="shared" si="35"/>
        <v>45677.242690538595</v>
      </c>
      <c r="I168" s="33">
        <f t="shared" si="35"/>
        <v>82004.96405067778</v>
      </c>
      <c r="J168" s="33">
        <f t="shared" si="35"/>
        <v>97272.99900625713</v>
      </c>
      <c r="K168" s="33">
        <f t="shared" si="35"/>
        <v>124380.8276030016</v>
      </c>
      <c r="L168" s="33">
        <f t="shared" si="35"/>
        <v>142296.920275583</v>
      </c>
      <c r="M168" s="33">
        <f t="shared" si="35"/>
        <v>162451.38882220222</v>
      </c>
      <c r="N168" s="33">
        <f t="shared" si="35"/>
        <v>185122.47435333085</v>
      </c>
      <c r="O168" s="33">
        <f t="shared" si="35"/>
        <v>210622.90687488596</v>
      </c>
      <c r="P168" s="33">
        <f t="shared" si="35"/>
        <v>236764.60168265516</v>
      </c>
      <c r="Q168" s="33">
        <f t="shared" si="35"/>
        <v>265882.06992874254</v>
      </c>
      <c r="R168" s="33">
        <f t="shared" si="35"/>
        <v>298312.8681754708</v>
      </c>
      <c r="S168" s="33">
        <f t="shared" si="35"/>
        <v>334432.76161768637</v>
      </c>
      <c r="T168" s="33">
        <f t="shared" si="35"/>
        <v>374660.04327416746</v>
      </c>
      <c r="U168" s="33">
        <f t="shared" si="35"/>
        <v>415126.76836892474</v>
      </c>
      <c r="V168" s="33">
        <f t="shared" si="35"/>
        <v>459753.53752697294</v>
      </c>
      <c r="W168" s="33">
        <f t="shared" si="35"/>
        <v>508967.0786473522</v>
      </c>
      <c r="X168" s="33">
        <f t="shared" si="35"/>
        <v>563237.8276656067</v>
      </c>
      <c r="Y168" s="33">
        <f t="shared" si="35"/>
        <v>623084.4008825739</v>
      </c>
      <c r="Z168" s="33">
        <f t="shared" si="35"/>
        <v>689078.5245996191</v>
      </c>
      <c r="AA168" s="33">
        <f>AA166+AA167</f>
        <v>761850.4687990237</v>
      </c>
      <c r="AB168" s="33">
        <f>AB166+AB167</f>
        <v>842095.0363835956</v>
      </c>
      <c r="AC168" s="33">
        <f>AC166+AC167</f>
        <v>930578.164752729</v>
      </c>
      <c r="AD168" s="33">
        <f>AD166+AD167</f>
        <v>1028144.2022929213</v>
      </c>
    </row>
    <row r="169" spans="1:30" ht="12.75">
      <c r="A169" s="27" t="s">
        <v>118</v>
      </c>
      <c r="F169" s="33">
        <f>-F130</f>
        <v>-40590.526267654124</v>
      </c>
      <c r="G169" s="33">
        <f aca="true" t="shared" si="36" ref="G169:Z169">-G130</f>
        <v>-40590.526267654124</v>
      </c>
      <c r="H169" s="33">
        <f t="shared" si="36"/>
        <v>-40590.526267654124</v>
      </c>
      <c r="I169" s="33">
        <f t="shared" si="36"/>
        <v>-40590.526267654124</v>
      </c>
      <c r="J169" s="33">
        <f t="shared" si="36"/>
        <v>-40590.526267654124</v>
      </c>
      <c r="K169" s="33">
        <f t="shared" si="36"/>
        <v>-36531.47364088872</v>
      </c>
      <c r="L169" s="33">
        <f t="shared" si="36"/>
        <v>-32472.421014123305</v>
      </c>
      <c r="M169" s="33">
        <f t="shared" si="36"/>
        <v>-28413.368387357892</v>
      </c>
      <c r="N169" s="33">
        <f t="shared" si="36"/>
        <v>-24354.31576059248</v>
      </c>
      <c r="O169" s="33">
        <f t="shared" si="36"/>
        <v>-20295.263133827066</v>
      </c>
      <c r="P169" s="33">
        <f t="shared" si="36"/>
        <v>-16236.210507061653</v>
      </c>
      <c r="Q169" s="33">
        <f t="shared" si="36"/>
        <v>-12177.15788029624</v>
      </c>
      <c r="R169" s="33">
        <f t="shared" si="36"/>
        <v>-8118.105253530826</v>
      </c>
      <c r="S169" s="33">
        <f t="shared" si="36"/>
        <v>-4059.052626765414</v>
      </c>
      <c r="T169" s="33">
        <f t="shared" si="36"/>
        <v>-1.6734702512621878E-12</v>
      </c>
      <c r="U169" s="33">
        <f t="shared" si="36"/>
        <v>-1.6734702512621878E-12</v>
      </c>
      <c r="V169" s="33">
        <f t="shared" si="36"/>
        <v>-1.6734702512621878E-12</v>
      </c>
      <c r="W169" s="33">
        <f t="shared" si="36"/>
        <v>-1.6734702512621878E-12</v>
      </c>
      <c r="X169" s="33">
        <f t="shared" si="36"/>
        <v>-1.6734702512621878E-12</v>
      </c>
      <c r="Y169" s="33">
        <f t="shared" si="36"/>
        <v>-1.6734702512621878E-12</v>
      </c>
      <c r="Z169" s="33">
        <f t="shared" si="36"/>
        <v>-1.6734702512621878E-12</v>
      </c>
      <c r="AA169" s="33">
        <f>-AA130</f>
        <v>-1.6734702512621878E-12</v>
      </c>
      <c r="AB169" s="33">
        <f>-AB130</f>
        <v>-1.6734702512621878E-12</v>
      </c>
      <c r="AC169" s="33">
        <f>-AC130</f>
        <v>-1.6734702512621878E-12</v>
      </c>
      <c r="AD169" s="33">
        <f>-AD130</f>
        <v>-1.6734702512621878E-12</v>
      </c>
    </row>
    <row r="170" spans="1:30" ht="12.75">
      <c r="A170" s="27" t="s">
        <v>119</v>
      </c>
      <c r="F170" s="33">
        <f>F168+F169</f>
        <v>-34313.08848819857</v>
      </c>
      <c r="G170" s="33">
        <f aca="true" t="shared" si="37" ref="G170:Z170">G168+G169</f>
        <v>-16576.530297793433</v>
      </c>
      <c r="H170" s="33">
        <f t="shared" si="37"/>
        <v>5086.71642288447</v>
      </c>
      <c r="I170" s="33">
        <f t="shared" si="37"/>
        <v>41414.437783023655</v>
      </c>
      <c r="J170" s="33">
        <f t="shared" si="37"/>
        <v>56682.472738603006</v>
      </c>
      <c r="K170" s="33">
        <f t="shared" si="37"/>
        <v>87849.35396211289</v>
      </c>
      <c r="L170" s="33">
        <f t="shared" si="37"/>
        <v>109824.49926145968</v>
      </c>
      <c r="M170" s="33">
        <f t="shared" si="37"/>
        <v>134038.02043484434</v>
      </c>
      <c r="N170" s="33">
        <f t="shared" si="37"/>
        <v>160768.1585927384</v>
      </c>
      <c r="O170" s="33">
        <f t="shared" si="37"/>
        <v>190327.64374105888</v>
      </c>
      <c r="P170" s="33">
        <f t="shared" si="37"/>
        <v>220528.3911755935</v>
      </c>
      <c r="Q170" s="33">
        <f t="shared" si="37"/>
        <v>253704.9120484463</v>
      </c>
      <c r="R170" s="33">
        <f t="shared" si="37"/>
        <v>290194.76292193995</v>
      </c>
      <c r="S170" s="33">
        <f t="shared" si="37"/>
        <v>330373.708990921</v>
      </c>
      <c r="T170" s="33">
        <f t="shared" si="37"/>
        <v>374660.04327416746</v>
      </c>
      <c r="U170" s="33">
        <f t="shared" si="37"/>
        <v>415126.76836892474</v>
      </c>
      <c r="V170" s="33">
        <f t="shared" si="37"/>
        <v>459753.53752697294</v>
      </c>
      <c r="W170" s="33">
        <f t="shared" si="37"/>
        <v>508967.0786473522</v>
      </c>
      <c r="X170" s="33">
        <f t="shared" si="37"/>
        <v>563237.8276656067</v>
      </c>
      <c r="Y170" s="33">
        <f t="shared" si="37"/>
        <v>623084.4008825739</v>
      </c>
      <c r="Z170" s="33">
        <f t="shared" si="37"/>
        <v>689078.5245996191</v>
      </c>
      <c r="AA170" s="33">
        <f>AA168+AA169</f>
        <v>761850.4687990237</v>
      </c>
      <c r="AB170" s="33">
        <f>AB168+AB169</f>
        <v>842095.0363835956</v>
      </c>
      <c r="AC170" s="33">
        <f>AC168+AC169</f>
        <v>930578.164752729</v>
      </c>
      <c r="AD170" s="33">
        <f>AD168+AD169</f>
        <v>1028144.2022929213</v>
      </c>
    </row>
    <row r="171" spans="1:30" ht="12.75">
      <c r="A171" s="27" t="s">
        <v>132</v>
      </c>
      <c r="F171" s="33">
        <f>[1]!tnct($F$170:$AD$170,F2-2,$C$66)</f>
        <v>0</v>
      </c>
      <c r="G171" s="33">
        <f>[1]!tnct($F$170:$AD$170,G2-2,$C$66)</f>
        <v>0</v>
      </c>
      <c r="H171" s="33">
        <f>[1]!tnct($F$170:$AD$170,H2-2,$C$66)</f>
        <v>0</v>
      </c>
      <c r="I171" s="33">
        <f>[1]!tnct($F$170:$AD$170,I2-2,$C$66)</f>
        <v>0</v>
      </c>
      <c r="J171" s="33">
        <f>[1]!tnct($F$170:$AD$170,J2-2,$C$66)</f>
        <v>52294.00815851913</v>
      </c>
      <c r="K171" s="33">
        <f>[1]!tnct($F$170:$AD$170,K2-2,$C$66)</f>
        <v>87849.35396211289</v>
      </c>
      <c r="L171" s="33">
        <f>[1]!tnct($F$170:$AD$170,L2-2,$C$66)</f>
        <v>109824.49926145968</v>
      </c>
      <c r="M171" s="33">
        <f>[1]!tnct($F$170:$AD$170,M2-2,$C$66)</f>
        <v>134038.02043484434</v>
      </c>
      <c r="N171" s="33">
        <f>[1]!tnct($F$170:$AD$170,N2-2,$C$66)</f>
        <v>160768.1585927384</v>
      </c>
      <c r="O171" s="33">
        <f>[1]!tnct($F$170:$AD$170,O2-2,$C$66)</f>
        <v>190327.64374105888</v>
      </c>
      <c r="P171" s="33">
        <f>[1]!tnct($F$170:$AD$170,P2-2,$C$66)</f>
        <v>220528.3911755935</v>
      </c>
      <c r="Q171" s="33">
        <f>[1]!tnct($F$170:$AD$170,Q2-2,$C$66)</f>
        <v>253704.9120484463</v>
      </c>
      <c r="R171" s="33">
        <f>[1]!tnct($F$170:$AD$170,R2-2,$C$66)</f>
        <v>290194.76292193995</v>
      </c>
      <c r="S171" s="33">
        <f>[1]!tnct($F$170:$AD$170,S2-2,$C$66)</f>
        <v>330373.708990921</v>
      </c>
      <c r="T171" s="33">
        <f>[1]!tnct($F$170:$AD$170,T2-2,$C$66)</f>
        <v>374660.04327416746</v>
      </c>
      <c r="U171" s="33">
        <f>[1]!tnct($F$170:$AD$170,U2-2,$C$66)</f>
        <v>415126.76836892474</v>
      </c>
      <c r="V171" s="33">
        <f>[1]!tnct($F$170:$AD$170,V2-2,$C$66)</f>
        <v>459753.53752697294</v>
      </c>
      <c r="W171" s="33">
        <f>[1]!tnct($F$170:$AD$170,W2-2,$C$66)</f>
        <v>508967.0786473522</v>
      </c>
      <c r="X171" s="33">
        <f>[1]!tnct($F$170:$AD$170,X2-2,$C$66)</f>
        <v>563237.8276656067</v>
      </c>
      <c r="Y171" s="33">
        <f>[1]!tnct($F$170:$AD$170,Y2-2,$C$66)</f>
        <v>623084.4008825739</v>
      </c>
      <c r="Z171" s="33">
        <f>[1]!tnct($F$170:$AD$170,Z2-2,$C$66)</f>
        <v>689078.5245996191</v>
      </c>
      <c r="AA171" s="33">
        <f>[1]!tnct($F$170:$AD$170,AA2-2,$C$66)</f>
        <v>761850.4687990237</v>
      </c>
      <c r="AB171" s="33">
        <f>[1]!tnct($F$170:$AD$170,AB2-2,$C$66)</f>
        <v>842095.0363835956</v>
      </c>
      <c r="AC171" s="33">
        <f>[1]!tnct($F$170:$AD$170,AC2-2,$C$66)</f>
        <v>930578.164752729</v>
      </c>
      <c r="AD171" s="33">
        <f>[1]!tnct($F$170:$AD$170,AD2-2,$C$66)</f>
        <v>1028144.2022929213</v>
      </c>
    </row>
    <row r="172" spans="1:30" ht="12.75">
      <c r="A172" s="52" t="s">
        <v>120</v>
      </c>
      <c r="B172" s="52"/>
      <c r="C172" s="52"/>
      <c r="D172" s="52"/>
      <c r="E172" s="52"/>
      <c r="F172" s="53">
        <f>-F171*$C$65</f>
        <v>0</v>
      </c>
      <c r="G172" s="53">
        <f aca="true" t="shared" si="38" ref="G172:AD172">-G171*$C$65</f>
        <v>0</v>
      </c>
      <c r="H172" s="53">
        <f t="shared" si="38"/>
        <v>0</v>
      </c>
      <c r="I172" s="53">
        <f t="shared" si="38"/>
        <v>0</v>
      </c>
      <c r="J172" s="53">
        <f t="shared" si="38"/>
        <v>-13073.502039629782</v>
      </c>
      <c r="K172" s="53">
        <f t="shared" si="38"/>
        <v>-21962.338490528222</v>
      </c>
      <c r="L172" s="53">
        <f t="shared" si="38"/>
        <v>-27456.12481536492</v>
      </c>
      <c r="M172" s="53">
        <f t="shared" si="38"/>
        <v>-33509.505108711084</v>
      </c>
      <c r="N172" s="53">
        <f t="shared" si="38"/>
        <v>-40192.0396481846</v>
      </c>
      <c r="O172" s="53">
        <f t="shared" si="38"/>
        <v>-47581.91093526472</v>
      </c>
      <c r="P172" s="53">
        <f t="shared" si="38"/>
        <v>-55132.09779389838</v>
      </c>
      <c r="Q172" s="53">
        <f t="shared" si="38"/>
        <v>-63426.22801211158</v>
      </c>
      <c r="R172" s="53">
        <f t="shared" si="38"/>
        <v>-72548.69073048499</v>
      </c>
      <c r="S172" s="53">
        <f t="shared" si="38"/>
        <v>-82593.42724773024</v>
      </c>
      <c r="T172" s="53">
        <f t="shared" si="38"/>
        <v>-93665.01081854186</v>
      </c>
      <c r="U172" s="53">
        <f t="shared" si="38"/>
        <v>-103781.69209223118</v>
      </c>
      <c r="V172" s="53">
        <f t="shared" si="38"/>
        <v>-114938.38438174324</v>
      </c>
      <c r="W172" s="53">
        <f t="shared" si="38"/>
        <v>-127241.76966183804</v>
      </c>
      <c r="X172" s="53">
        <f t="shared" si="38"/>
        <v>-140809.4569164017</v>
      </c>
      <c r="Y172" s="53">
        <f t="shared" si="38"/>
        <v>-155771.10022064348</v>
      </c>
      <c r="Z172" s="53">
        <f t="shared" si="38"/>
        <v>-172269.63114990477</v>
      </c>
      <c r="AA172" s="53">
        <f t="shared" si="38"/>
        <v>-190462.6171997559</v>
      </c>
      <c r="AB172" s="53">
        <f t="shared" si="38"/>
        <v>-210523.7590958989</v>
      </c>
      <c r="AC172" s="53">
        <f t="shared" si="38"/>
        <v>-232644.54118818225</v>
      </c>
      <c r="AD172" s="53">
        <f t="shared" si="38"/>
        <v>-257036.0505732303</v>
      </c>
    </row>
    <row r="173" ht="12.75">
      <c r="F173" s="33"/>
    </row>
    <row r="174" ht="12.75">
      <c r="F174" s="33"/>
    </row>
    <row r="175" spans="1:6" ht="12.75">
      <c r="A175" s="29" t="s">
        <v>121</v>
      </c>
      <c r="F175" s="33"/>
    </row>
    <row r="176" spans="1:6" ht="12.75">
      <c r="A176" s="27" t="s">
        <v>122</v>
      </c>
      <c r="F176" s="33"/>
    </row>
    <row r="177" spans="1:30" ht="12.75">
      <c r="A177" s="57" t="s">
        <v>136</v>
      </c>
      <c r="F177" s="33">
        <f>F153</f>
        <v>109146.38920676128</v>
      </c>
      <c r="G177" s="33">
        <f aca="true" t="shared" si="39" ref="G177:Z177">G153</f>
        <v>148552.60156597037</v>
      </c>
      <c r="H177" s="33">
        <f t="shared" si="39"/>
        <v>196569.75414547758</v>
      </c>
      <c r="I177" s="33">
        <f t="shared" si="39"/>
        <v>254799.3316020579</v>
      </c>
      <c r="J177" s="33">
        <f t="shared" si="39"/>
        <v>288993.40190305415</v>
      </c>
      <c r="K177" s="33">
        <f t="shared" si="39"/>
        <v>324684.0870380813</v>
      </c>
      <c r="L177" s="33">
        <f t="shared" si="39"/>
        <v>364782.57178728434</v>
      </c>
      <c r="M177" s="33">
        <f t="shared" si="39"/>
        <v>409833.21940301405</v>
      </c>
      <c r="N177" s="33">
        <f t="shared" si="39"/>
        <v>460447.6219992864</v>
      </c>
      <c r="O177" s="33">
        <f t="shared" si="39"/>
        <v>517312.9033161981</v>
      </c>
      <c r="P177" s="33">
        <f t="shared" si="39"/>
        <v>575665.7988102656</v>
      </c>
      <c r="Q177" s="33">
        <f t="shared" si="39"/>
        <v>640600.9009160636</v>
      </c>
      <c r="R177" s="33">
        <f t="shared" si="39"/>
        <v>712860.6825393954</v>
      </c>
      <c r="S177" s="33">
        <f t="shared" si="39"/>
        <v>793271.3675298395</v>
      </c>
      <c r="T177" s="33">
        <f t="shared" si="39"/>
        <v>882752.3777872054</v>
      </c>
      <c r="U177" s="33">
        <f t="shared" si="39"/>
        <v>972881.3955592792</v>
      </c>
      <c r="V177" s="33">
        <f t="shared" si="39"/>
        <v>1072212.5860458817</v>
      </c>
      <c r="W177" s="33">
        <f t="shared" si="39"/>
        <v>1181685.4910811665</v>
      </c>
      <c r="X177" s="33">
        <f t="shared" si="39"/>
        <v>1302335.5797205535</v>
      </c>
      <c r="Y177" s="33">
        <f t="shared" si="39"/>
        <v>1435304.0424100223</v>
      </c>
      <c r="Z177" s="33">
        <f t="shared" si="39"/>
        <v>1581848.5851400858</v>
      </c>
      <c r="AA177" s="33">
        <f>AA153</f>
        <v>1743355.325682889</v>
      </c>
      <c r="AB177" s="33">
        <f>AB153</f>
        <v>1921351.9044351124</v>
      </c>
      <c r="AC177" s="33">
        <f>AC153</f>
        <v>2117521.933877937</v>
      </c>
      <c r="AD177" s="33">
        <f>AD153</f>
        <v>2333720.923326875</v>
      </c>
    </row>
    <row r="178" spans="1:30" ht="12.75">
      <c r="A178" s="27" t="s">
        <v>123</v>
      </c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1:30" ht="12.75">
      <c r="A179" s="57" t="s">
        <v>124</v>
      </c>
      <c r="F179" s="33">
        <f>F156+F157</f>
        <v>28378.061193757934</v>
      </c>
      <c r="G179" s="33">
        <f aca="true" t="shared" si="40" ref="G179:Z179">G156+G157</f>
        <v>38623.6764071523</v>
      </c>
      <c r="H179" s="33">
        <f t="shared" si="40"/>
        <v>51108.13607782417</v>
      </c>
      <c r="I179" s="33">
        <f t="shared" si="40"/>
        <v>66247.82621653506</v>
      </c>
      <c r="J179" s="33">
        <f t="shared" si="40"/>
        <v>75138.28449479409</v>
      </c>
      <c r="K179" s="33">
        <f t="shared" si="40"/>
        <v>84417.86262990115</v>
      </c>
      <c r="L179" s="33">
        <f t="shared" si="40"/>
        <v>94843.46866469392</v>
      </c>
      <c r="M179" s="33">
        <f t="shared" si="40"/>
        <v>106556.63704478365</v>
      </c>
      <c r="N179" s="33">
        <f t="shared" si="40"/>
        <v>119716.38171981447</v>
      </c>
      <c r="O179" s="33">
        <f t="shared" si="40"/>
        <v>134501.3548622115</v>
      </c>
      <c r="P179" s="33">
        <f t="shared" si="40"/>
        <v>149673.10769066907</v>
      </c>
      <c r="Q179" s="33">
        <f t="shared" si="40"/>
        <v>166556.23423817655</v>
      </c>
      <c r="R179" s="33">
        <f t="shared" si="40"/>
        <v>185343.77746024283</v>
      </c>
      <c r="S179" s="33">
        <f t="shared" si="40"/>
        <v>206250.55555775829</v>
      </c>
      <c r="T179" s="33">
        <f t="shared" si="40"/>
        <v>229515.6182246734</v>
      </c>
      <c r="U179" s="33">
        <f t="shared" si="40"/>
        <v>252949.16284541262</v>
      </c>
      <c r="V179" s="33">
        <f t="shared" si="40"/>
        <v>278775.27237192926</v>
      </c>
      <c r="W179" s="33">
        <f t="shared" si="40"/>
        <v>307238.2276811033</v>
      </c>
      <c r="X179" s="33">
        <f t="shared" si="40"/>
        <v>338607.2507273439</v>
      </c>
      <c r="Y179" s="33">
        <f t="shared" si="40"/>
        <v>373179.0510266058</v>
      </c>
      <c r="Z179" s="33">
        <f t="shared" si="40"/>
        <v>411280.6321364223</v>
      </c>
      <c r="AA179" s="33">
        <f>AA156+AA157</f>
        <v>453272.38467755116</v>
      </c>
      <c r="AB179" s="33">
        <f>AB156+AB157</f>
        <v>499551.4951531292</v>
      </c>
      <c r="AC179" s="33">
        <f>AC156+AC157</f>
        <v>550555.7028082637</v>
      </c>
      <c r="AD179" s="33">
        <f>AD156+AD157</f>
        <v>606767.4400649875</v>
      </c>
    </row>
    <row r="180" spans="1:30" ht="12.75">
      <c r="A180" s="57" t="s">
        <v>113</v>
      </c>
      <c r="F180" s="33">
        <f>F162</f>
        <v>19389.51177116417</v>
      </c>
      <c r="G180" s="33">
        <f aca="true" t="shared" si="41" ref="G180:AD182">G162</f>
        <v>28137.690914908588</v>
      </c>
      <c r="H180" s="33">
        <f t="shared" si="41"/>
        <v>38797.49878755918</v>
      </c>
      <c r="I180" s="33">
        <f t="shared" si="41"/>
        <v>56565.45161565685</v>
      </c>
      <c r="J180" s="33">
        <f t="shared" si="41"/>
        <v>64156.535222478014</v>
      </c>
      <c r="K180" s="33">
        <f t="shared" si="41"/>
        <v>72079.86732245404</v>
      </c>
      <c r="L180" s="33">
        <f t="shared" si="41"/>
        <v>80981.73093677712</v>
      </c>
      <c r="M180" s="33">
        <f t="shared" si="41"/>
        <v>90982.97470746913</v>
      </c>
      <c r="N180" s="33">
        <f t="shared" si="41"/>
        <v>102219.37208384159</v>
      </c>
      <c r="O180" s="33">
        <f t="shared" si="41"/>
        <v>114843.46453619597</v>
      </c>
      <c r="P180" s="33">
        <f t="shared" si="41"/>
        <v>127797.80733587897</v>
      </c>
      <c r="Q180" s="33">
        <f t="shared" si="41"/>
        <v>142213.4000033661</v>
      </c>
      <c r="R180" s="33">
        <f t="shared" si="41"/>
        <v>158255.07152374575</v>
      </c>
      <c r="S180" s="33">
        <f t="shared" si="41"/>
        <v>176106.24359162434</v>
      </c>
      <c r="T180" s="33">
        <f t="shared" si="41"/>
        <v>195971.0278687596</v>
      </c>
      <c r="U180" s="33">
        <f t="shared" si="41"/>
        <v>215979.66981415998</v>
      </c>
      <c r="V180" s="33">
        <f t="shared" si="41"/>
        <v>238031.19410218572</v>
      </c>
      <c r="W180" s="33">
        <f t="shared" si="41"/>
        <v>262334.17902001896</v>
      </c>
      <c r="X180" s="33">
        <f t="shared" si="41"/>
        <v>289118.4986979629</v>
      </c>
      <c r="Y180" s="33">
        <f t="shared" si="41"/>
        <v>318637.4974150249</v>
      </c>
      <c r="Z180" s="33">
        <f t="shared" si="41"/>
        <v>351170.3859010991</v>
      </c>
      <c r="AA180" s="33">
        <f t="shared" si="41"/>
        <v>387024.8823016014</v>
      </c>
      <c r="AB180" s="33">
        <f t="shared" si="41"/>
        <v>426540.1227845949</v>
      </c>
      <c r="AC180" s="33">
        <f t="shared" si="41"/>
        <v>470089.869320902</v>
      </c>
      <c r="AD180" s="33">
        <f t="shared" si="41"/>
        <v>518086.0449785663</v>
      </c>
    </row>
    <row r="181" spans="1:30" ht="12.75">
      <c r="A181" s="57" t="s">
        <v>114</v>
      </c>
      <c r="F181" s="33">
        <f>F163</f>
        <v>5170.536472310446</v>
      </c>
      <c r="G181" s="33">
        <f t="shared" si="41"/>
        <v>7503.3842439756245</v>
      </c>
      <c r="H181" s="33">
        <f t="shared" si="41"/>
        <v>10345.99967668245</v>
      </c>
      <c r="I181" s="33">
        <f t="shared" si="41"/>
        <v>15084.120430841827</v>
      </c>
      <c r="J181" s="33">
        <f t="shared" si="41"/>
        <v>17108.409392660804</v>
      </c>
      <c r="K181" s="33">
        <f t="shared" si="41"/>
        <v>19221.297952654415</v>
      </c>
      <c r="L181" s="33">
        <f t="shared" si="41"/>
        <v>21595.128249807232</v>
      </c>
      <c r="M181" s="33">
        <f t="shared" si="41"/>
        <v>24262.126588658433</v>
      </c>
      <c r="N181" s="33">
        <f t="shared" si="41"/>
        <v>27258.499222357757</v>
      </c>
      <c r="O181" s="33">
        <f t="shared" si="41"/>
        <v>30624.923876318928</v>
      </c>
      <c r="P181" s="33">
        <f t="shared" si="41"/>
        <v>34079.415289567725</v>
      </c>
      <c r="Q181" s="33">
        <f t="shared" si="41"/>
        <v>37923.57333423096</v>
      </c>
      <c r="R181" s="33">
        <f t="shared" si="41"/>
        <v>42201.352406332204</v>
      </c>
      <c r="S181" s="33">
        <f t="shared" si="41"/>
        <v>46961.664957766494</v>
      </c>
      <c r="T181" s="33">
        <f t="shared" si="41"/>
        <v>52258.94076500256</v>
      </c>
      <c r="U181" s="33">
        <f t="shared" si="41"/>
        <v>57594.578617109335</v>
      </c>
      <c r="V181" s="33">
        <f t="shared" si="41"/>
        <v>63474.9850939162</v>
      </c>
      <c r="W181" s="33">
        <f t="shared" si="41"/>
        <v>69955.78107200506</v>
      </c>
      <c r="X181" s="33">
        <f t="shared" si="41"/>
        <v>77098.26631945677</v>
      </c>
      <c r="Y181" s="33">
        <f t="shared" si="41"/>
        <v>84969.99931067332</v>
      </c>
      <c r="Z181" s="33">
        <f t="shared" si="41"/>
        <v>93645.43624029309</v>
      </c>
      <c r="AA181" s="33">
        <f t="shared" si="41"/>
        <v>103206.63528042704</v>
      </c>
      <c r="AB181" s="33">
        <f t="shared" si="41"/>
        <v>113744.03274255864</v>
      </c>
      <c r="AC181" s="33">
        <f t="shared" si="41"/>
        <v>125357.29848557386</v>
      </c>
      <c r="AD181" s="33">
        <f t="shared" si="41"/>
        <v>138156.278660951</v>
      </c>
    </row>
    <row r="182" spans="1:30" ht="12.75">
      <c r="A182" s="57" t="s">
        <v>115</v>
      </c>
      <c r="F182" s="33">
        <f>F164</f>
        <v>4900.1720000000005</v>
      </c>
      <c r="G182" s="33">
        <f t="shared" si="41"/>
        <v>5243.184040000001</v>
      </c>
      <c r="H182" s="33">
        <f t="shared" si="41"/>
        <v>5610.206922800002</v>
      </c>
      <c r="I182" s="33">
        <f t="shared" si="41"/>
        <v>6002.921407396002</v>
      </c>
      <c r="J182" s="33">
        <f t="shared" si="41"/>
        <v>6423.125905913723</v>
      </c>
      <c r="K182" s="33">
        <f t="shared" si="41"/>
        <v>6872.744719327684</v>
      </c>
      <c r="L182" s="33">
        <f t="shared" si="41"/>
        <v>7353.836849680622</v>
      </c>
      <c r="M182" s="33">
        <f t="shared" si="41"/>
        <v>7868.605429158266</v>
      </c>
      <c r="N182" s="33">
        <f t="shared" si="41"/>
        <v>8419.407809199345</v>
      </c>
      <c r="O182" s="33">
        <f t="shared" si="41"/>
        <v>9008.7663558433</v>
      </c>
      <c r="P182" s="33">
        <f t="shared" si="41"/>
        <v>9639.380000752331</v>
      </c>
      <c r="Q182" s="33">
        <f t="shared" si="41"/>
        <v>10314.136600804995</v>
      </c>
      <c r="R182" s="33">
        <f t="shared" si="41"/>
        <v>11036.126162861345</v>
      </c>
      <c r="S182" s="33">
        <f t="shared" si="41"/>
        <v>11808.65499426164</v>
      </c>
      <c r="T182" s="33">
        <f t="shared" si="41"/>
        <v>12635.260843859956</v>
      </c>
      <c r="U182" s="33">
        <f t="shared" si="41"/>
        <v>13519.729102930154</v>
      </c>
      <c r="V182" s="33">
        <f t="shared" si="41"/>
        <v>14466.110140135268</v>
      </c>
      <c r="W182" s="33">
        <f t="shared" si="41"/>
        <v>15478.737849944737</v>
      </c>
      <c r="X182" s="33">
        <f t="shared" si="41"/>
        <v>16562.24949944087</v>
      </c>
      <c r="Y182" s="33">
        <f t="shared" si="41"/>
        <v>17721.606964401733</v>
      </c>
      <c r="Z182" s="33">
        <f t="shared" si="41"/>
        <v>18962.119451909857</v>
      </c>
      <c r="AA182" s="33">
        <f t="shared" si="41"/>
        <v>20289.46781354355</v>
      </c>
      <c r="AB182" s="33">
        <f t="shared" si="41"/>
        <v>21709.7305604916</v>
      </c>
      <c r="AC182" s="33">
        <f t="shared" si="41"/>
        <v>23229.411699726013</v>
      </c>
      <c r="AD182" s="33">
        <f t="shared" si="41"/>
        <v>24855.47051870684</v>
      </c>
    </row>
    <row r="183" spans="1:30" ht="12.75">
      <c r="A183" s="58" t="s">
        <v>127</v>
      </c>
      <c r="F183" s="33">
        <f>-F172</f>
        <v>0</v>
      </c>
      <c r="G183" s="33">
        <f aca="true" t="shared" si="42" ref="G183:AD183">-G172</f>
        <v>0</v>
      </c>
      <c r="H183" s="33">
        <f t="shared" si="42"/>
        <v>0</v>
      </c>
      <c r="I183" s="33">
        <f t="shared" si="42"/>
        <v>0</v>
      </c>
      <c r="J183" s="33">
        <f t="shared" si="42"/>
        <v>13073.502039629782</v>
      </c>
      <c r="K183" s="33">
        <f t="shared" si="42"/>
        <v>21962.338490528222</v>
      </c>
      <c r="L183" s="33">
        <f t="shared" si="42"/>
        <v>27456.12481536492</v>
      </c>
      <c r="M183" s="33">
        <f t="shared" si="42"/>
        <v>33509.505108711084</v>
      </c>
      <c r="N183" s="33">
        <f t="shared" si="42"/>
        <v>40192.0396481846</v>
      </c>
      <c r="O183" s="33">
        <f t="shared" si="42"/>
        <v>47581.91093526472</v>
      </c>
      <c r="P183" s="33">
        <f t="shared" si="42"/>
        <v>55132.09779389838</v>
      </c>
      <c r="Q183" s="33">
        <f t="shared" si="42"/>
        <v>63426.22801211158</v>
      </c>
      <c r="R183" s="33">
        <f t="shared" si="42"/>
        <v>72548.69073048499</v>
      </c>
      <c r="S183" s="33">
        <f t="shared" si="42"/>
        <v>82593.42724773024</v>
      </c>
      <c r="T183" s="33">
        <f t="shared" si="42"/>
        <v>93665.01081854186</v>
      </c>
      <c r="U183" s="33">
        <f t="shared" si="42"/>
        <v>103781.69209223118</v>
      </c>
      <c r="V183" s="33">
        <f t="shared" si="42"/>
        <v>114938.38438174324</v>
      </c>
      <c r="W183" s="33">
        <f t="shared" si="42"/>
        <v>127241.76966183804</v>
      </c>
      <c r="X183" s="33">
        <f t="shared" si="42"/>
        <v>140809.4569164017</v>
      </c>
      <c r="Y183" s="33">
        <f t="shared" si="42"/>
        <v>155771.10022064348</v>
      </c>
      <c r="Z183" s="33">
        <f t="shared" si="42"/>
        <v>172269.63114990477</v>
      </c>
      <c r="AA183" s="33">
        <f t="shared" si="42"/>
        <v>190462.6171997559</v>
      </c>
      <c r="AB183" s="33">
        <f t="shared" si="42"/>
        <v>210523.7590958989</v>
      </c>
      <c r="AC183" s="33">
        <f t="shared" si="42"/>
        <v>232644.54118818225</v>
      </c>
      <c r="AD183" s="33">
        <f t="shared" si="42"/>
        <v>257036.0505732303</v>
      </c>
    </row>
    <row r="184" spans="1:30" ht="12.75">
      <c r="A184" s="27" t="s">
        <v>125</v>
      </c>
      <c r="F184" s="33">
        <f aca="true" t="shared" si="43" ref="F184:AD184">F177-SUM(F179:F183)</f>
        <v>51308.10776952873</v>
      </c>
      <c r="G184" s="33">
        <f t="shared" si="43"/>
        <v>69044.66595993385</v>
      </c>
      <c r="H184" s="33">
        <f t="shared" si="43"/>
        <v>90707.91268061177</v>
      </c>
      <c r="I184" s="33">
        <f t="shared" si="43"/>
        <v>110899.01193162816</v>
      </c>
      <c r="J184" s="33">
        <f t="shared" si="43"/>
        <v>113093.54484757775</v>
      </c>
      <c r="K184" s="33">
        <f t="shared" si="43"/>
        <v>120129.97592321577</v>
      </c>
      <c r="L184" s="33">
        <f t="shared" si="43"/>
        <v>132552.2822709605</v>
      </c>
      <c r="M184" s="33">
        <f t="shared" si="43"/>
        <v>146653.3705242335</v>
      </c>
      <c r="N184" s="33">
        <f t="shared" si="43"/>
        <v>162641.92151588865</v>
      </c>
      <c r="O184" s="33">
        <f t="shared" si="43"/>
        <v>180752.4827503637</v>
      </c>
      <c r="P184" s="33">
        <f t="shared" si="43"/>
        <v>199343.99069949915</v>
      </c>
      <c r="Q184" s="33">
        <f t="shared" si="43"/>
        <v>220167.3287273734</v>
      </c>
      <c r="R184" s="33">
        <f t="shared" si="43"/>
        <v>243475.66425572825</v>
      </c>
      <c r="S184" s="33">
        <f t="shared" si="43"/>
        <v>269550.8211806985</v>
      </c>
      <c r="T184" s="33">
        <f t="shared" si="43"/>
        <v>298706.519266368</v>
      </c>
      <c r="U184" s="33">
        <f t="shared" si="43"/>
        <v>329056.5630874359</v>
      </c>
      <c r="V184" s="33">
        <f t="shared" si="43"/>
        <v>362526.639955972</v>
      </c>
      <c r="W184" s="33">
        <f t="shared" si="43"/>
        <v>399436.7957962565</v>
      </c>
      <c r="X184" s="33">
        <f t="shared" si="43"/>
        <v>440139.8575599473</v>
      </c>
      <c r="Y184" s="33">
        <f t="shared" si="43"/>
        <v>485024.787472673</v>
      </c>
      <c r="Z184" s="33">
        <f t="shared" si="43"/>
        <v>534520.3802604566</v>
      </c>
      <c r="AA184" s="33">
        <f t="shared" si="43"/>
        <v>589099.3384100099</v>
      </c>
      <c r="AB184" s="33">
        <f t="shared" si="43"/>
        <v>649282.7640984391</v>
      </c>
      <c r="AC184" s="33">
        <f t="shared" si="43"/>
        <v>715645.1103752891</v>
      </c>
      <c r="AD184" s="33">
        <f t="shared" si="43"/>
        <v>788819.6385304332</v>
      </c>
    </row>
    <row r="185" spans="1:6" ht="12.75">
      <c r="A185" s="27" t="s">
        <v>126</v>
      </c>
      <c r="C185" s="33">
        <f>C119</f>
        <v>157897.58095583998</v>
      </c>
      <c r="D185" s="33">
        <f>D119</f>
        <v>226102.26400898406</v>
      </c>
      <c r="E185" s="33">
        <f>E119</f>
        <v>137227.83690382427</v>
      </c>
      <c r="F185" s="33"/>
    </row>
    <row r="186" spans="1:30" s="29" customFormat="1" ht="12.75">
      <c r="A186" s="59" t="s">
        <v>128</v>
      </c>
      <c r="B186" s="59"/>
      <c r="C186" s="60">
        <f>C184-C185</f>
        <v>-157897.58095583998</v>
      </c>
      <c r="D186" s="60">
        <f aca="true" t="shared" si="44" ref="D186:Z186">D184-D185</f>
        <v>-226102.26400898406</v>
      </c>
      <c r="E186" s="60">
        <f t="shared" si="44"/>
        <v>-137227.83690382427</v>
      </c>
      <c r="F186" s="60">
        <f t="shared" si="44"/>
        <v>51308.10776952873</v>
      </c>
      <c r="G186" s="60">
        <f t="shared" si="44"/>
        <v>69044.66595993385</v>
      </c>
      <c r="H186" s="60">
        <f t="shared" si="44"/>
        <v>90707.91268061177</v>
      </c>
      <c r="I186" s="60">
        <f t="shared" si="44"/>
        <v>110899.01193162816</v>
      </c>
      <c r="J186" s="60">
        <f t="shared" si="44"/>
        <v>113093.54484757775</v>
      </c>
      <c r="K186" s="60">
        <f t="shared" si="44"/>
        <v>120129.97592321577</v>
      </c>
      <c r="L186" s="60">
        <f t="shared" si="44"/>
        <v>132552.2822709605</v>
      </c>
      <c r="M186" s="60">
        <f t="shared" si="44"/>
        <v>146653.3705242335</v>
      </c>
      <c r="N186" s="60">
        <f t="shared" si="44"/>
        <v>162641.92151588865</v>
      </c>
      <c r="O186" s="60">
        <f t="shared" si="44"/>
        <v>180752.4827503637</v>
      </c>
      <c r="P186" s="60">
        <f t="shared" si="44"/>
        <v>199343.99069949915</v>
      </c>
      <c r="Q186" s="60">
        <f t="shared" si="44"/>
        <v>220167.3287273734</v>
      </c>
      <c r="R186" s="60">
        <f t="shared" si="44"/>
        <v>243475.66425572825</v>
      </c>
      <c r="S186" s="60">
        <f t="shared" si="44"/>
        <v>269550.8211806985</v>
      </c>
      <c r="T186" s="60">
        <f t="shared" si="44"/>
        <v>298706.519266368</v>
      </c>
      <c r="U186" s="60">
        <f t="shared" si="44"/>
        <v>329056.5630874359</v>
      </c>
      <c r="V186" s="60">
        <f t="shared" si="44"/>
        <v>362526.639955972</v>
      </c>
      <c r="W186" s="60">
        <f t="shared" si="44"/>
        <v>399436.7957962565</v>
      </c>
      <c r="X186" s="60">
        <f t="shared" si="44"/>
        <v>440139.8575599473</v>
      </c>
      <c r="Y186" s="60">
        <f t="shared" si="44"/>
        <v>485024.787472673</v>
      </c>
      <c r="Z186" s="60">
        <f t="shared" si="44"/>
        <v>534520.3802604566</v>
      </c>
      <c r="AA186" s="60">
        <f>AA184-AA185</f>
        <v>589099.3384100099</v>
      </c>
      <c r="AB186" s="60">
        <f>AB184-AB185</f>
        <v>649282.7640984391</v>
      </c>
      <c r="AC186" s="60">
        <f>AC184-AC185</f>
        <v>715645.1103752891</v>
      </c>
      <c r="AD186" s="60">
        <f>AD184-AD185</f>
        <v>788819.6385304332</v>
      </c>
    </row>
    <row r="187" spans="6:25" ht="12.75">
      <c r="F187" s="33"/>
      <c r="Y187" s="33"/>
    </row>
    <row r="188" spans="1:30" ht="12.75">
      <c r="A188" s="59" t="s">
        <v>129</v>
      </c>
      <c r="B188" s="52"/>
      <c r="C188" s="60">
        <f aca="true" t="shared" si="45" ref="C188:AD188">C186+C135</f>
        <v>-126318.06476467199</v>
      </c>
      <c r="D188" s="60">
        <f t="shared" si="45"/>
        <v>-67830.67920269523</v>
      </c>
      <c r="E188" s="60">
        <f t="shared" si="45"/>
        <v>0</v>
      </c>
      <c r="F188" s="60">
        <f t="shared" si="45"/>
        <v>10717.581501874607</v>
      </c>
      <c r="G188" s="60">
        <f t="shared" si="45"/>
        <v>28454.13969227972</v>
      </c>
      <c r="H188" s="60">
        <f t="shared" si="45"/>
        <v>50117.38641295765</v>
      </c>
      <c r="I188" s="60">
        <f t="shared" si="45"/>
        <v>70308.48566397405</v>
      </c>
      <c r="J188" s="60">
        <f t="shared" si="45"/>
        <v>37206.90878196352</v>
      </c>
      <c r="K188" s="60">
        <f t="shared" si="45"/>
        <v>48302.39248436694</v>
      </c>
      <c r="L188" s="60">
        <f t="shared" si="45"/>
        <v>64783.75145887709</v>
      </c>
      <c r="M188" s="60">
        <f t="shared" si="45"/>
        <v>82943.8923389155</v>
      </c>
      <c r="N188" s="60">
        <f t="shared" si="45"/>
        <v>102991.49595733607</v>
      </c>
      <c r="O188" s="60">
        <f t="shared" si="45"/>
        <v>125161.10981857653</v>
      </c>
      <c r="P188" s="60">
        <f t="shared" si="45"/>
        <v>147811.67039447738</v>
      </c>
      <c r="Q188" s="60">
        <f t="shared" si="45"/>
        <v>172694.06104911704</v>
      </c>
      <c r="R188" s="60">
        <f t="shared" si="45"/>
        <v>200061.44920423732</v>
      </c>
      <c r="S188" s="60">
        <f t="shared" si="45"/>
        <v>230195.65875597298</v>
      </c>
      <c r="T188" s="60">
        <f t="shared" si="45"/>
        <v>298706.519266368</v>
      </c>
      <c r="U188" s="60">
        <f t="shared" si="45"/>
        <v>329056.5630874359</v>
      </c>
      <c r="V188" s="60">
        <f t="shared" si="45"/>
        <v>362526.639955972</v>
      </c>
      <c r="W188" s="60">
        <f t="shared" si="45"/>
        <v>399436.7957962565</v>
      </c>
      <c r="X188" s="60">
        <f t="shared" si="45"/>
        <v>440139.8575599473</v>
      </c>
      <c r="Y188" s="60">
        <f t="shared" si="45"/>
        <v>485024.787472673</v>
      </c>
      <c r="Z188" s="60">
        <f t="shared" si="45"/>
        <v>534520.3802604566</v>
      </c>
      <c r="AA188" s="60">
        <f t="shared" si="45"/>
        <v>589099.3384100099</v>
      </c>
      <c r="AB188" s="60">
        <f t="shared" si="45"/>
        <v>649282.7640984391</v>
      </c>
      <c r="AC188" s="60">
        <f t="shared" si="45"/>
        <v>715645.1103752891</v>
      </c>
      <c r="AD188" s="60">
        <f t="shared" si="45"/>
        <v>788819.6385304332</v>
      </c>
    </row>
    <row r="190" spans="1:30" ht="12.75">
      <c r="A190" s="59" t="s">
        <v>130</v>
      </c>
      <c r="B190" s="52"/>
      <c r="C190" s="52"/>
      <c r="D190" s="52"/>
      <c r="E190" s="52"/>
      <c r="F190" s="61">
        <f aca="true" t="shared" si="46" ref="F190:AD190">IF(F135&gt;0,"",-F186/F135)</f>
        <v>1.2640414522148056</v>
      </c>
      <c r="G190" s="61">
        <f t="shared" si="46"/>
        <v>1.7010044537154554</v>
      </c>
      <c r="H190" s="61">
        <f t="shared" si="46"/>
        <v>2.23470649487231</v>
      </c>
      <c r="I190" s="61">
        <f t="shared" si="46"/>
        <v>2.732140283187253</v>
      </c>
      <c r="J190" s="61">
        <f t="shared" si="46"/>
        <v>1.4902959297048446</v>
      </c>
      <c r="K190" s="61">
        <f t="shared" si="46"/>
        <v>1.6724769256018432</v>
      </c>
      <c r="L190" s="61">
        <f t="shared" si="46"/>
        <v>1.9559562629226406</v>
      </c>
      <c r="M190" s="61">
        <f t="shared" si="46"/>
        <v>2.301908204265125</v>
      </c>
      <c r="N190" s="61">
        <f t="shared" si="46"/>
        <v>2.7265844290790526</v>
      </c>
      <c r="O190" s="61">
        <f t="shared" si="46"/>
        <v>3.2514484391697644</v>
      </c>
      <c r="P190" s="61">
        <f t="shared" si="46"/>
        <v>3.8683294196646782</v>
      </c>
      <c r="Q190" s="61">
        <f t="shared" si="46"/>
        <v>4.637711695338262</v>
      </c>
      <c r="R190" s="61">
        <f t="shared" si="46"/>
        <v>5.608201460442316</v>
      </c>
      <c r="S190" s="61">
        <f t="shared" si="46"/>
        <v>6.849185839247072</v>
      </c>
      <c r="T190" s="61">
        <f t="shared" si="46"/>
        <v>1.7849526697058013E+17</v>
      </c>
      <c r="U190" s="61">
        <f t="shared" si="46"/>
        <v>1.9663125940795798E+17</v>
      </c>
      <c r="V190" s="61">
        <f t="shared" si="46"/>
        <v>2.1663166087508406E+17</v>
      </c>
      <c r="W190" s="61">
        <f t="shared" si="46"/>
        <v>2.3868771822802813E+17</v>
      </c>
      <c r="X190" s="61">
        <f t="shared" si="46"/>
        <v>2.630102669754535E+17</v>
      </c>
      <c r="Y190" s="61">
        <f t="shared" si="46"/>
        <v>2.8983173564444954E+17</v>
      </c>
      <c r="Z190" s="61">
        <f t="shared" si="46"/>
        <v>3.194083550976202E+17</v>
      </c>
      <c r="AA190" s="61">
        <f t="shared" si="46"/>
        <v>3.5202259374834496E+17</v>
      </c>
      <c r="AB190" s="61">
        <f t="shared" si="46"/>
        <v>3.87985841761291E+17</v>
      </c>
      <c r="AC190" s="61">
        <f t="shared" si="46"/>
        <v>4.2764136968405946E+17</v>
      </c>
      <c r="AD190" s="61">
        <f t="shared" si="46"/>
        <v>4.713675895555829E+17</v>
      </c>
    </row>
    <row r="192" ht="12.75">
      <c r="A192" s="29" t="s">
        <v>0</v>
      </c>
    </row>
    <row r="193" spans="1:2" ht="12.75">
      <c r="A193" s="62" t="s">
        <v>140</v>
      </c>
      <c r="B193" s="63">
        <f>IRR(C186:AD186)</f>
        <v>0.2032236005974254</v>
      </c>
    </row>
    <row r="194" spans="1:2" ht="12.75">
      <c r="A194" s="62" t="s">
        <v>141</v>
      </c>
      <c r="B194" s="64">
        <f>IRR(C188:AD188)</f>
        <v>0.24644493415091845</v>
      </c>
    </row>
    <row r="196" spans="1:2" ht="12.75">
      <c r="A196" s="29" t="s">
        <v>142</v>
      </c>
      <c r="B196" s="54">
        <f>NPV(C67,D188:AD188)+C188</f>
        <v>109158.78997828232</v>
      </c>
    </row>
    <row r="201" spans="3:30" ht="12.75"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ht="12.75">
      <c r="A202" s="29" t="s">
        <v>143</v>
      </c>
    </row>
    <row r="203" ht="12.75">
      <c r="A203" s="29"/>
    </row>
    <row r="204" spans="1:8" ht="12.75">
      <c r="A204" s="29" t="s">
        <v>5</v>
      </c>
      <c r="C204" s="85" t="s">
        <v>144</v>
      </c>
      <c r="D204" s="85"/>
      <c r="E204" s="85"/>
      <c r="F204" s="85"/>
      <c r="G204" s="85"/>
      <c r="H204" s="85"/>
    </row>
    <row r="205" spans="3:8" ht="13.5" thickBot="1">
      <c r="C205" s="34">
        <v>0.03</v>
      </c>
      <c r="D205" s="34">
        <v>0.05</v>
      </c>
      <c r="E205" s="34">
        <v>0.07</v>
      </c>
      <c r="F205" s="34">
        <v>0.09</v>
      </c>
      <c r="G205" s="34">
        <v>0.11</v>
      </c>
      <c r="H205" s="65">
        <v>11.070670308783633</v>
      </c>
    </row>
    <row r="206" spans="1:8" ht="12.75">
      <c r="A206" s="27" t="s">
        <v>145</v>
      </c>
      <c r="B206" s="33">
        <f>B196</f>
        <v>109158.78997828232</v>
      </c>
      <c r="C206" s="66">
        <f t="dataTable" ref="C206:H208" dt2D="0" dtr="1" r1="C3"/>
        <v>120498.80203736952</v>
      </c>
      <c r="D206" s="67">
        <v>114557.41213506548</v>
      </c>
      <c r="E206" s="67">
        <v>109158.78997828232</v>
      </c>
      <c r="F206" s="67">
        <v>104147.16206910028</v>
      </c>
      <c r="G206" s="67">
        <v>99549.85880281034</v>
      </c>
      <c r="H206" s="68">
        <v>-9.594077710062265E-08</v>
      </c>
    </row>
    <row r="207" spans="1:8" ht="12.75">
      <c r="A207" s="27" t="s">
        <v>146</v>
      </c>
      <c r="B207" s="69">
        <f>$B$194</f>
        <v>0.24644493415091845</v>
      </c>
      <c r="C207" s="70">
        <v>0.20701128226247356</v>
      </c>
      <c r="D207" s="71">
        <v>0.22654853661523222</v>
      </c>
      <c r="E207" s="71">
        <v>0.24644493415091845</v>
      </c>
      <c r="F207" s="71">
        <v>0.26660293075548575</v>
      </c>
      <c r="G207" s="71">
        <v>0.2870252532799293</v>
      </c>
      <c r="H207" s="72">
        <v>12.537200346299077</v>
      </c>
    </row>
    <row r="208" spans="1:8" ht="13.5" thickBot="1">
      <c r="A208" s="27" t="s">
        <v>147</v>
      </c>
      <c r="B208" s="43">
        <f>(1+B194)/(1+C3)-1</f>
        <v>0.1649018076176807</v>
      </c>
      <c r="C208" s="73">
        <v>0.1718556138470615</v>
      </c>
      <c r="D208" s="74">
        <v>0.16814146344307823</v>
      </c>
      <c r="E208" s="74">
        <v>0.1649018076176807</v>
      </c>
      <c r="F208" s="74">
        <v>0.1620210373903539</v>
      </c>
      <c r="G208" s="74">
        <v>0.1594822101620983</v>
      </c>
      <c r="H208" s="75">
        <v>0.12149532710277677</v>
      </c>
    </row>
    <row r="210" spans="1:8" ht="12.75">
      <c r="A210" s="29" t="s">
        <v>78</v>
      </c>
      <c r="C210" s="85" t="s">
        <v>148</v>
      </c>
      <c r="D210" s="85"/>
      <c r="E210" s="85"/>
      <c r="F210" s="85"/>
      <c r="G210" s="85"/>
      <c r="H210" s="85"/>
    </row>
    <row r="211" spans="3:8" ht="13.5" thickBot="1">
      <c r="C211" s="27">
        <v>10</v>
      </c>
      <c r="D211" s="27">
        <v>12</v>
      </c>
      <c r="E211" s="27">
        <v>14</v>
      </c>
      <c r="F211" s="27">
        <v>16</v>
      </c>
      <c r="G211" s="27">
        <v>18</v>
      </c>
      <c r="H211" s="76">
        <v>20.150382607059317</v>
      </c>
    </row>
    <row r="212" spans="1:8" ht="12.75">
      <c r="A212" s="27" t="s">
        <v>145</v>
      </c>
      <c r="B212" s="33">
        <f>$B$196</f>
        <v>109158.78997828232</v>
      </c>
      <c r="C212" s="66">
        <f t="dataTable" ref="C212:H213" dt2D="0" dtr="1" r1="C17"/>
        <v>191086.5505669278</v>
      </c>
      <c r="D212" s="67">
        <v>153955.15415266267</v>
      </c>
      <c r="E212" s="67">
        <v>116675.8815041723</v>
      </c>
      <c r="F212" s="67">
        <v>78979.34716106398</v>
      </c>
      <c r="G212" s="67">
        <v>41047.84290453655</v>
      </c>
      <c r="H212" s="68">
        <v>0</v>
      </c>
    </row>
    <row r="213" spans="1:8" ht="13.5" thickBot="1">
      <c r="A213" s="27" t="s">
        <v>146</v>
      </c>
      <c r="B213" s="69">
        <f>$B$194</f>
        <v>0.24644493415091845</v>
      </c>
      <c r="C213" s="73">
        <v>0.3043806671166385</v>
      </c>
      <c r="D213" s="74">
        <v>0.27431046670520015</v>
      </c>
      <c r="E213" s="74">
        <v>0.25063254500934873</v>
      </c>
      <c r="F213" s="74">
        <v>0.23119665364207026</v>
      </c>
      <c r="G213" s="74">
        <v>0.21490831773064403</v>
      </c>
      <c r="H213" s="75">
        <v>0.1999999999999999</v>
      </c>
    </row>
    <row r="215" spans="1:8" ht="12.75">
      <c r="A215" s="29" t="s">
        <v>149</v>
      </c>
      <c r="C215" s="85" t="s">
        <v>150</v>
      </c>
      <c r="D215" s="85"/>
      <c r="E215" s="85"/>
      <c r="F215" s="85"/>
      <c r="G215" s="85"/>
      <c r="H215" s="85"/>
    </row>
    <row r="216" spans="3:8" ht="13.5" thickBot="1">
      <c r="C216" s="34">
        <v>0.02</v>
      </c>
      <c r="D216" s="69">
        <v>0.035</v>
      </c>
      <c r="E216" s="34">
        <v>0.04</v>
      </c>
      <c r="F216" s="34">
        <v>0.05</v>
      </c>
      <c r="G216" s="34">
        <v>0.06</v>
      </c>
      <c r="H216" s="77">
        <v>0.14628424755569086</v>
      </c>
    </row>
    <row r="217" spans="1:8" ht="12.75">
      <c r="A217" s="27" t="s">
        <v>145</v>
      </c>
      <c r="B217" s="33">
        <f>$B$196</f>
        <v>109158.78997828232</v>
      </c>
      <c r="C217" s="66">
        <f t="dataTable" ref="C217:H218" dt2D="0" dtr="1" r1="C52"/>
        <v>121955.52059673442</v>
      </c>
      <c r="D217" s="67">
        <v>109158.78997828232</v>
      </c>
      <c r="E217" s="67">
        <v>104753.69139922695</v>
      </c>
      <c r="F217" s="67">
        <v>95864.4065076772</v>
      </c>
      <c r="G217" s="67">
        <v>86869.31635123986</v>
      </c>
      <c r="H217" s="68">
        <v>-4.425222869031131E-06</v>
      </c>
    </row>
    <row r="218" spans="1:8" ht="13.5" thickBot="1">
      <c r="A218" s="27" t="s">
        <v>146</v>
      </c>
      <c r="B218" s="69">
        <f>$B$194</f>
        <v>0.24644493415091845</v>
      </c>
      <c r="C218" s="73">
        <v>0.2527241327013772</v>
      </c>
      <c r="D218" s="74">
        <v>0.24644493415091845</v>
      </c>
      <c r="E218" s="74">
        <v>0.2443174496568741</v>
      </c>
      <c r="F218" s="74">
        <v>0.24009042813513506</v>
      </c>
      <c r="G218" s="74">
        <v>0.2359031872286132</v>
      </c>
      <c r="H218" s="75">
        <v>0.19999999999837417</v>
      </c>
    </row>
    <row r="220" spans="1:8" ht="12.75">
      <c r="A220" s="29" t="s">
        <v>151</v>
      </c>
      <c r="C220" s="85" t="s">
        <v>152</v>
      </c>
      <c r="D220" s="85"/>
      <c r="E220" s="85"/>
      <c r="F220" s="85"/>
      <c r="G220" s="85"/>
      <c r="H220" s="85"/>
    </row>
    <row r="221" spans="3:8" ht="13.5" thickBot="1">
      <c r="C221" s="27">
        <v>60</v>
      </c>
      <c r="D221" s="27">
        <v>50</v>
      </c>
      <c r="E221" s="27">
        <v>40</v>
      </c>
      <c r="F221" s="27">
        <v>30</v>
      </c>
      <c r="G221" s="78">
        <v>29.811039690820298</v>
      </c>
      <c r="H221" s="79">
        <v>25</v>
      </c>
    </row>
    <row r="222" spans="1:8" ht="12.75">
      <c r="A222" s="27" t="s">
        <v>145</v>
      </c>
      <c r="B222" s="33">
        <f>$B$196</f>
        <v>109158.78997828232</v>
      </c>
      <c r="C222" s="66">
        <f t="dataTable" ref="C222:H223" dt2D="0" dtr="1" r1="C57"/>
        <v>318332.231691374</v>
      </c>
      <c r="D222" s="67">
        <v>214242.26326063302</v>
      </c>
      <c r="E222" s="67">
        <v>109158.78997828232</v>
      </c>
      <c r="F222" s="67">
        <v>2060.8775530534476</v>
      </c>
      <c r="G222" s="67">
        <v>0</v>
      </c>
      <c r="H222" s="68">
        <v>-53368.202359997435</v>
      </c>
    </row>
    <row r="223" spans="1:8" ht="13.5" thickBot="1">
      <c r="A223" s="27" t="s">
        <v>146</v>
      </c>
      <c r="B223" s="69">
        <f>$B$194</f>
        <v>0.24644493415091845</v>
      </c>
      <c r="C223" s="73">
        <v>0.32057632839833267</v>
      </c>
      <c r="D223" s="74">
        <v>0.2856955951758633</v>
      </c>
      <c r="E223" s="74">
        <v>0.24644493415091845</v>
      </c>
      <c r="F223" s="74">
        <v>0.20094302824605212</v>
      </c>
      <c r="G223" s="74">
        <v>0.19999999999999996</v>
      </c>
      <c r="H223" s="75">
        <v>0.17450215516466408</v>
      </c>
    </row>
    <row r="225" spans="1:8" ht="12.75">
      <c r="A225" s="29" t="s">
        <v>153</v>
      </c>
      <c r="C225" s="85" t="s">
        <v>154</v>
      </c>
      <c r="D225" s="85"/>
      <c r="E225" s="85"/>
      <c r="F225" s="85"/>
      <c r="G225" s="85"/>
      <c r="H225" s="85"/>
    </row>
    <row r="226" spans="3:8" ht="13.5" thickBot="1">
      <c r="C226" s="34">
        <v>0.25</v>
      </c>
      <c r="D226" s="34">
        <v>0.3</v>
      </c>
      <c r="E226" s="34">
        <v>0.35</v>
      </c>
      <c r="F226" s="34">
        <v>0.4</v>
      </c>
      <c r="G226" s="32">
        <v>0.45</v>
      </c>
      <c r="H226" s="77">
        <v>0.46284919118363965</v>
      </c>
    </row>
    <row r="227" spans="1:8" ht="12.75">
      <c r="A227" s="27" t="s">
        <v>145</v>
      </c>
      <c r="B227" s="33">
        <f>$B$196</f>
        <v>109158.78997828232</v>
      </c>
      <c r="C227" s="66">
        <f t="dataTable" ref="C227:H228" dt2D="0" dtr="1" r1="C62"/>
        <v>142154.60128587912</v>
      </c>
      <c r="D227" s="67">
        <v>109158.78997828232</v>
      </c>
      <c r="E227" s="67">
        <v>75891.89883939718</v>
      </c>
      <c r="F227" s="67">
        <v>42430.56274195187</v>
      </c>
      <c r="G227" s="67">
        <v>8762.401250092225</v>
      </c>
      <c r="H227" s="68">
        <v>-4.220055416226387E-10</v>
      </c>
    </row>
    <row r="228" spans="1:8" ht="13.5" thickBot="1">
      <c r="A228" s="27" t="s">
        <v>146</v>
      </c>
      <c r="B228" s="69">
        <f>$B$194</f>
        <v>0.24644493415091845</v>
      </c>
      <c r="C228" s="73">
        <v>0.2590983878356407</v>
      </c>
      <c r="D228" s="74">
        <v>0.24644493415091845</v>
      </c>
      <c r="E228" s="74">
        <v>0.2330800407982173</v>
      </c>
      <c r="F228" s="74">
        <v>0.21897709570103568</v>
      </c>
      <c r="G228" s="74">
        <v>0.20402902550497412</v>
      </c>
      <c r="H228" s="75">
        <v>0.19999999999999976</v>
      </c>
    </row>
    <row r="230" ht="12.75">
      <c r="A230" s="29" t="s">
        <v>155</v>
      </c>
    </row>
    <row r="231" spans="1:30" ht="12.75">
      <c r="A231" s="27" t="s">
        <v>156</v>
      </c>
      <c r="D231" s="32">
        <v>0.06</v>
      </c>
      <c r="E231" s="32">
        <v>0.06</v>
      </c>
      <c r="F231" s="32">
        <v>0.06</v>
      </c>
      <c r="G231" s="32">
        <v>0.06</v>
      </c>
      <c r="H231" s="32">
        <v>0.06</v>
      </c>
      <c r="I231" s="32">
        <v>0.06</v>
      </c>
      <c r="J231" s="32">
        <v>0.06</v>
      </c>
      <c r="K231" s="32">
        <v>0.05</v>
      </c>
      <c r="L231" s="32">
        <v>0.05</v>
      </c>
      <c r="M231" s="32">
        <v>0.05</v>
      </c>
      <c r="N231" s="32">
        <v>0.05</v>
      </c>
      <c r="O231" s="32">
        <v>0.05</v>
      </c>
      <c r="P231" s="32">
        <v>0.04</v>
      </c>
      <c r="Q231" s="32">
        <v>0.04</v>
      </c>
      <c r="R231" s="32">
        <v>0.04</v>
      </c>
      <c r="S231" s="32">
        <v>0.04</v>
      </c>
      <c r="T231" s="32">
        <v>0.04</v>
      </c>
      <c r="U231" s="32">
        <v>0.03</v>
      </c>
      <c r="V231" s="32">
        <v>0.03</v>
      </c>
      <c r="W231" s="32">
        <v>0.03</v>
      </c>
      <c r="X231" s="32">
        <v>0.03</v>
      </c>
      <c r="Y231" s="32">
        <v>0.03</v>
      </c>
      <c r="Z231" s="32">
        <v>0.03</v>
      </c>
      <c r="AA231" s="32">
        <v>0.03</v>
      </c>
      <c r="AB231" s="32">
        <v>0.03</v>
      </c>
      <c r="AC231" s="32">
        <v>0.03</v>
      </c>
      <c r="AD231" s="32">
        <v>0.03</v>
      </c>
    </row>
    <row r="232" spans="1:30" ht="12.75">
      <c r="A232" s="27" t="s">
        <v>157</v>
      </c>
      <c r="B232" s="41">
        <v>0.02</v>
      </c>
      <c r="D232" s="32">
        <f>D$231+$B232</f>
        <v>0.08</v>
      </c>
      <c r="E232" s="32">
        <f aca="true" t="shared" si="47" ref="E232:AD233">E$231+$B232</f>
        <v>0.08</v>
      </c>
      <c r="F232" s="32">
        <f t="shared" si="47"/>
        <v>0.08</v>
      </c>
      <c r="G232" s="32">
        <f t="shared" si="47"/>
        <v>0.08</v>
      </c>
      <c r="H232" s="32">
        <f t="shared" si="47"/>
        <v>0.08</v>
      </c>
      <c r="I232" s="32">
        <f t="shared" si="47"/>
        <v>0.08</v>
      </c>
      <c r="J232" s="32">
        <f t="shared" si="47"/>
        <v>0.08</v>
      </c>
      <c r="K232" s="32">
        <f t="shared" si="47"/>
        <v>0.07</v>
      </c>
      <c r="L232" s="32">
        <f t="shared" si="47"/>
        <v>0.07</v>
      </c>
      <c r="M232" s="32">
        <f t="shared" si="47"/>
        <v>0.07</v>
      </c>
      <c r="N232" s="32">
        <f t="shared" si="47"/>
        <v>0.07</v>
      </c>
      <c r="O232" s="32">
        <f t="shared" si="47"/>
        <v>0.07</v>
      </c>
      <c r="P232" s="32">
        <f t="shared" si="47"/>
        <v>0.06</v>
      </c>
      <c r="Q232" s="32">
        <f t="shared" si="47"/>
        <v>0.06</v>
      </c>
      <c r="R232" s="32">
        <f t="shared" si="47"/>
        <v>0.06</v>
      </c>
      <c r="S232" s="32">
        <f t="shared" si="47"/>
        <v>0.06</v>
      </c>
      <c r="T232" s="32">
        <f t="shared" si="47"/>
        <v>0.06</v>
      </c>
      <c r="U232" s="32">
        <f t="shared" si="47"/>
        <v>0.05</v>
      </c>
      <c r="V232" s="32">
        <f t="shared" si="47"/>
        <v>0.05</v>
      </c>
      <c r="W232" s="32">
        <f t="shared" si="47"/>
        <v>0.05</v>
      </c>
      <c r="X232" s="32">
        <f t="shared" si="47"/>
        <v>0.05</v>
      </c>
      <c r="Y232" s="32">
        <f t="shared" si="47"/>
        <v>0.05</v>
      </c>
      <c r="Z232" s="32">
        <f t="shared" si="47"/>
        <v>0.05</v>
      </c>
      <c r="AA232" s="32">
        <f t="shared" si="47"/>
        <v>0.05</v>
      </c>
      <c r="AB232" s="32">
        <f t="shared" si="47"/>
        <v>0.05</v>
      </c>
      <c r="AC232" s="32">
        <f t="shared" si="47"/>
        <v>0.05</v>
      </c>
      <c r="AD232" s="32">
        <f t="shared" si="47"/>
        <v>0.05</v>
      </c>
    </row>
    <row r="233" spans="1:30" ht="12.75">
      <c r="A233" s="27" t="s">
        <v>158</v>
      </c>
      <c r="B233" s="41">
        <v>-0.02</v>
      </c>
      <c r="D233" s="32">
        <f>D$231+$B233</f>
        <v>0.039999999999999994</v>
      </c>
      <c r="E233" s="32">
        <f t="shared" si="47"/>
        <v>0.039999999999999994</v>
      </c>
      <c r="F233" s="32">
        <f t="shared" si="47"/>
        <v>0.039999999999999994</v>
      </c>
      <c r="G233" s="32">
        <f t="shared" si="47"/>
        <v>0.039999999999999994</v>
      </c>
      <c r="H233" s="32">
        <f t="shared" si="47"/>
        <v>0.039999999999999994</v>
      </c>
      <c r="I233" s="32">
        <f t="shared" si="47"/>
        <v>0.039999999999999994</v>
      </c>
      <c r="J233" s="32">
        <f t="shared" si="47"/>
        <v>0.039999999999999994</v>
      </c>
      <c r="K233" s="32">
        <f t="shared" si="47"/>
        <v>0.030000000000000002</v>
      </c>
      <c r="L233" s="32">
        <f t="shared" si="47"/>
        <v>0.030000000000000002</v>
      </c>
      <c r="M233" s="32">
        <f t="shared" si="47"/>
        <v>0.030000000000000002</v>
      </c>
      <c r="N233" s="32">
        <f t="shared" si="47"/>
        <v>0.030000000000000002</v>
      </c>
      <c r="O233" s="32">
        <f t="shared" si="47"/>
        <v>0.030000000000000002</v>
      </c>
      <c r="P233" s="32">
        <f t="shared" si="47"/>
        <v>0.02</v>
      </c>
      <c r="Q233" s="32">
        <f t="shared" si="47"/>
        <v>0.02</v>
      </c>
      <c r="R233" s="32">
        <f t="shared" si="47"/>
        <v>0.02</v>
      </c>
      <c r="S233" s="32">
        <f t="shared" si="47"/>
        <v>0.02</v>
      </c>
      <c r="T233" s="32">
        <f t="shared" si="47"/>
        <v>0.02</v>
      </c>
      <c r="U233" s="32">
        <f t="shared" si="47"/>
        <v>0.009999999999999998</v>
      </c>
      <c r="V233" s="32">
        <f t="shared" si="47"/>
        <v>0.009999999999999998</v>
      </c>
      <c r="W233" s="32">
        <f t="shared" si="47"/>
        <v>0.009999999999999998</v>
      </c>
      <c r="X233" s="32">
        <f t="shared" si="47"/>
        <v>0.009999999999999998</v>
      </c>
      <c r="Y233" s="32">
        <f t="shared" si="47"/>
        <v>0.009999999999999998</v>
      </c>
      <c r="Z233" s="32">
        <f t="shared" si="47"/>
        <v>0.009999999999999998</v>
      </c>
      <c r="AA233" s="32">
        <f t="shared" si="47"/>
        <v>0.009999999999999998</v>
      </c>
      <c r="AB233" s="32">
        <f t="shared" si="47"/>
        <v>0.009999999999999998</v>
      </c>
      <c r="AC233" s="32">
        <f t="shared" si="47"/>
        <v>0.009999999999999998</v>
      </c>
      <c r="AD233" s="32">
        <f t="shared" si="47"/>
        <v>0.009999999999999998</v>
      </c>
    </row>
    <row r="234" spans="1:2" ht="12.75">
      <c r="A234" s="80" t="s">
        <v>159</v>
      </c>
      <c r="B234" s="27">
        <v>1</v>
      </c>
    </row>
    <row r="235" spans="3:5" ht="13.5" thickBot="1">
      <c r="C235" s="81">
        <v>1</v>
      </c>
      <c r="D235" s="81">
        <v>2</v>
      </c>
      <c r="E235" s="81">
        <v>3</v>
      </c>
    </row>
    <row r="236" spans="1:5" ht="12.75">
      <c r="A236" s="27" t="s">
        <v>145</v>
      </c>
      <c r="B236" s="33">
        <f>$B$196</f>
        <v>109158.78997828232</v>
      </c>
      <c r="C236" s="66">
        <f t="dataTable" ref="C236:E237" dt2D="0" dtr="1" r1="B234"/>
        <v>109158.78997828232</v>
      </c>
      <c r="D236" s="67">
        <v>217413.18344550868</v>
      </c>
      <c r="E236" s="68">
        <v>26463.239704593405</v>
      </c>
    </row>
    <row r="237" spans="1:5" ht="13.5" thickBot="1">
      <c r="A237" s="27" t="s">
        <v>146</v>
      </c>
      <c r="B237" s="69">
        <f>$B$194</f>
        <v>0.24644493415091845</v>
      </c>
      <c r="C237" s="73">
        <v>0.24644493415091845</v>
      </c>
      <c r="D237" s="74">
        <v>0.278273085271476</v>
      </c>
      <c r="E237" s="75">
        <v>0.21320309350162733</v>
      </c>
    </row>
    <row r="239" ht="12.75">
      <c r="A239" s="29" t="s">
        <v>160</v>
      </c>
    </row>
    <row r="240" spans="1:30" ht="12.75">
      <c r="A240" s="27" t="s">
        <v>156</v>
      </c>
      <c r="D240" s="32"/>
      <c r="E240" s="32"/>
      <c r="F240" s="32">
        <v>0.5</v>
      </c>
      <c r="G240" s="32">
        <v>0.4</v>
      </c>
      <c r="H240" s="32">
        <v>0.3</v>
      </c>
      <c r="I240" s="32">
        <v>0.2</v>
      </c>
      <c r="J240" s="32">
        <v>0.2</v>
      </c>
      <c r="K240" s="32">
        <v>0.2</v>
      </c>
      <c r="L240" s="32">
        <v>0.2</v>
      </c>
      <c r="M240" s="32">
        <v>0.2</v>
      </c>
      <c r="N240" s="32">
        <v>0.2</v>
      </c>
      <c r="O240" s="32">
        <v>0.2</v>
      </c>
      <c r="P240" s="32">
        <v>0.2</v>
      </c>
      <c r="Q240" s="32">
        <v>0.2</v>
      </c>
      <c r="R240" s="32">
        <v>0.2</v>
      </c>
      <c r="S240" s="32">
        <v>0.2</v>
      </c>
      <c r="T240" s="32">
        <v>0.2</v>
      </c>
      <c r="U240" s="32">
        <v>0.2</v>
      </c>
      <c r="V240" s="32">
        <v>0.2</v>
      </c>
      <c r="W240" s="32">
        <v>0.2</v>
      </c>
      <c r="X240" s="32">
        <v>0.2</v>
      </c>
      <c r="Y240" s="32">
        <v>0.2</v>
      </c>
      <c r="Z240" s="32">
        <v>0.2</v>
      </c>
      <c r="AA240" s="32">
        <v>0.2</v>
      </c>
      <c r="AB240" s="32">
        <v>0.2</v>
      </c>
      <c r="AC240" s="32">
        <v>0.2</v>
      </c>
      <c r="AD240" s="32">
        <v>0.2</v>
      </c>
    </row>
    <row r="241" spans="1:30" ht="12.75">
      <c r="A241" s="27" t="s">
        <v>157</v>
      </c>
      <c r="B241" s="41">
        <v>-0.1</v>
      </c>
      <c r="D241" s="32"/>
      <c r="E241" s="32"/>
      <c r="F241" s="32">
        <f aca="true" t="shared" si="48" ref="F241:H242">F$240+$B241</f>
        <v>0.4</v>
      </c>
      <c r="G241" s="32">
        <f t="shared" si="48"/>
        <v>0.30000000000000004</v>
      </c>
      <c r="H241" s="32">
        <f t="shared" si="48"/>
        <v>0.19999999999999998</v>
      </c>
      <c r="I241" s="32">
        <v>0.2</v>
      </c>
      <c r="J241" s="32">
        <v>0.2</v>
      </c>
      <c r="K241" s="32">
        <v>0.2</v>
      </c>
      <c r="L241" s="32">
        <v>0.2</v>
      </c>
      <c r="M241" s="32">
        <v>0.2</v>
      </c>
      <c r="N241" s="32">
        <v>0.2</v>
      </c>
      <c r="O241" s="32">
        <v>0.2</v>
      </c>
      <c r="P241" s="32">
        <v>0.2</v>
      </c>
      <c r="Q241" s="32">
        <v>0.2</v>
      </c>
      <c r="R241" s="32">
        <v>0.2</v>
      </c>
      <c r="S241" s="32">
        <v>0.2</v>
      </c>
      <c r="T241" s="32">
        <v>0.2</v>
      </c>
      <c r="U241" s="32">
        <v>0.2</v>
      </c>
      <c r="V241" s="32">
        <v>0.2</v>
      </c>
      <c r="W241" s="32">
        <v>0.2</v>
      </c>
      <c r="X241" s="32">
        <v>0.2</v>
      </c>
      <c r="Y241" s="32">
        <v>0.2</v>
      </c>
      <c r="Z241" s="32">
        <v>0.2</v>
      </c>
      <c r="AA241" s="32">
        <v>0.2</v>
      </c>
      <c r="AB241" s="32">
        <v>0.2</v>
      </c>
      <c r="AC241" s="32">
        <v>0.2</v>
      </c>
      <c r="AD241" s="32">
        <v>0.2</v>
      </c>
    </row>
    <row r="242" spans="1:30" ht="12.75">
      <c r="A242" s="27" t="s">
        <v>158</v>
      </c>
      <c r="B242" s="41">
        <v>0.15</v>
      </c>
      <c r="D242" s="32"/>
      <c r="E242" s="32"/>
      <c r="F242" s="32">
        <f t="shared" si="48"/>
        <v>0.65</v>
      </c>
      <c r="G242" s="32">
        <f t="shared" si="48"/>
        <v>0.55</v>
      </c>
      <c r="H242" s="32">
        <f t="shared" si="48"/>
        <v>0.44999999999999996</v>
      </c>
      <c r="I242" s="32">
        <f>I$240+$B242</f>
        <v>0.35</v>
      </c>
      <c r="J242" s="32">
        <v>0.3</v>
      </c>
      <c r="K242" s="32">
        <v>0.25</v>
      </c>
      <c r="L242" s="32">
        <v>0.2</v>
      </c>
      <c r="M242" s="32">
        <v>0.2</v>
      </c>
      <c r="N242" s="32">
        <v>0.2</v>
      </c>
      <c r="O242" s="32">
        <v>0.2</v>
      </c>
      <c r="P242" s="32">
        <v>0.2</v>
      </c>
      <c r="Q242" s="32">
        <v>0.2</v>
      </c>
      <c r="R242" s="32">
        <v>0.2</v>
      </c>
      <c r="S242" s="32">
        <v>0.2</v>
      </c>
      <c r="T242" s="32">
        <v>0.2</v>
      </c>
      <c r="U242" s="32">
        <v>0.2</v>
      </c>
      <c r="V242" s="32">
        <v>0.2</v>
      </c>
      <c r="W242" s="32">
        <v>0.2</v>
      </c>
      <c r="X242" s="32">
        <v>0.2</v>
      </c>
      <c r="Y242" s="32">
        <v>0.2</v>
      </c>
      <c r="Z242" s="32">
        <v>0.2</v>
      </c>
      <c r="AA242" s="32">
        <v>0.2</v>
      </c>
      <c r="AB242" s="32">
        <v>0.2</v>
      </c>
      <c r="AC242" s="32">
        <v>0.2</v>
      </c>
      <c r="AD242" s="32">
        <v>0.2</v>
      </c>
    </row>
    <row r="243" spans="1:2" ht="12.75">
      <c r="A243" s="80" t="s">
        <v>159</v>
      </c>
      <c r="B243" s="27">
        <v>1</v>
      </c>
    </row>
    <row r="244" spans="3:5" ht="13.5" thickBot="1">
      <c r="C244" s="81">
        <v>1</v>
      </c>
      <c r="D244" s="81">
        <v>2</v>
      </c>
      <c r="E244" s="81">
        <v>3</v>
      </c>
    </row>
    <row r="245" spans="1:5" ht="12.75">
      <c r="A245" s="27" t="s">
        <v>145</v>
      </c>
      <c r="B245" s="33">
        <f>$B$196</f>
        <v>109158.78997828232</v>
      </c>
      <c r="C245" s="66">
        <f t="dataTable" ref="C245:E246" dt2D="0" dtr="1" r1="B243"/>
        <v>109158.78997828232</v>
      </c>
      <c r="D245" s="67">
        <v>122803.39602717629</v>
      </c>
      <c r="E245" s="68">
        <v>76725.20229679212</v>
      </c>
    </row>
    <row r="246" spans="1:5" ht="13.5" thickBot="1">
      <c r="A246" s="27" t="s">
        <v>146</v>
      </c>
      <c r="B246" s="69">
        <f>$B$194</f>
        <v>0.24644493415091845</v>
      </c>
      <c r="C246" s="73">
        <v>0.24644493415091845</v>
      </c>
      <c r="D246" s="74">
        <v>0.2537770752300654</v>
      </c>
      <c r="E246" s="75">
        <v>0.23087877310098454</v>
      </c>
    </row>
  </sheetData>
  <sheetProtection/>
  <mergeCells count="5">
    <mergeCell ref="C204:H204"/>
    <mergeCell ref="C210:H210"/>
    <mergeCell ref="C215:H215"/>
    <mergeCell ref="C220:H220"/>
    <mergeCell ref="C225:H22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thanhnx</dc:creator>
  <cp:keywords/>
  <dc:description/>
  <cp:lastModifiedBy> </cp:lastModifiedBy>
  <cp:lastPrinted>2007-03-22T03:01:54Z</cp:lastPrinted>
  <dcterms:created xsi:type="dcterms:W3CDTF">2007-03-19T00:54:01Z</dcterms:created>
  <dcterms:modified xsi:type="dcterms:W3CDTF">2011-07-25T04:50:57Z</dcterms:modified>
  <cp:category/>
  <cp:version/>
  <cp:contentType/>
  <cp:contentStatus/>
</cp:coreProperties>
</file>