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1" activeTab="1"/>
  </bookViews>
  <sheets>
    <sheet name="CB_DATA_" sheetId="1" state="veryHidden" r:id="rId1"/>
    <sheet name="Mo hinh co so - vay VND" sheetId="2" r:id="rId2"/>
    <sheet name="Chi phi von" sheetId="3" r:id="rId3"/>
  </sheets>
  <definedNames>
    <definedName name="CBWorkbookPriority" localSheetId="0" hidden="1">-631338992</definedName>
    <definedName name="solver_adj" localSheetId="1" hidden="1">'Mo hinh co so - vay VND'!#REF!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bd" localSheetId="1" hidden="1">2</definedName>
    <definedName name="solver_itr" localSheetId="1" hidden="1">100</definedName>
    <definedName name="solver_lhs1" localSheetId="1" hidden="1">'Mo hinh co so - vay VND'!#REF!</definedName>
    <definedName name="solver_lin" localSheetId="1" hidden="1">2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2</definedName>
    <definedName name="solver_nod" localSheetId="1" hidden="1">5000</definedName>
    <definedName name="solver_num" localSheetId="1" hidden="1">0</definedName>
    <definedName name="solver_nwt" localSheetId="1" hidden="1">1</definedName>
    <definedName name="solver_ofx" localSheetId="1" hidden="1">2</definedName>
    <definedName name="solver_opt" localSheetId="1" hidden="1">'Mo hinh co so - vay VND'!#REF!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2</definedName>
    <definedName name="solver_reo" localSheetId="1" hidden="1">2</definedName>
    <definedName name="solver_rep" localSheetId="1" hidden="1">2</definedName>
    <definedName name="solver_rhs1" localSheetId="1" hidden="1">'Mo hinh co so - vay VND'!#REF!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1</definedName>
    <definedName name="solver_tim" localSheetId="1" hidden="1">100</definedName>
    <definedName name="solver_tol" localSheetId="1" hidden="1">0.0005</definedName>
    <definedName name="solver_typ" localSheetId="1" hidden="1">3</definedName>
    <definedName name="solver_val" localSheetId="1" hidden="1">0</definedName>
    <definedName name="solver_ver" localSheetId="1" hidden="1">2</definedName>
  </definedNames>
  <calcPr fullCalcOnLoad="1"/>
</workbook>
</file>

<file path=xl/comments2.xml><?xml version="1.0" encoding="utf-8"?>
<comments xmlns="http://schemas.openxmlformats.org/spreadsheetml/2006/main">
  <authors>
    <author>thulth</author>
  </authors>
  <commentList>
    <comment ref="A130" authorId="0">
      <text>
        <r>
          <rPr>
            <b/>
            <sz val="8"/>
            <rFont val="Tahoma"/>
            <family val="2"/>
          </rPr>
          <t>thulth:</t>
        </r>
        <r>
          <rPr>
            <sz val="8"/>
            <rFont val="Tahoma"/>
            <family val="2"/>
          </rPr>
          <t xml:space="preserve">
điều chỉnh theo lượng nước thô lấy về để sx (NCTH trang 4, dòng cuối cùng)</t>
        </r>
      </text>
    </comment>
  </commentList>
</comments>
</file>

<file path=xl/sharedStrings.xml><?xml version="1.0" encoding="utf-8"?>
<sst xmlns="http://schemas.openxmlformats.org/spreadsheetml/2006/main" count="213" uniqueCount="188">
  <si>
    <t>Chi phí vốn</t>
  </si>
  <si>
    <t>Công suất</t>
  </si>
  <si>
    <t>Hóa chất</t>
  </si>
  <si>
    <t>Năng lượng</t>
  </si>
  <si>
    <t>Lao động</t>
  </si>
  <si>
    <t>Bảo trì &amp; chi phí khác</t>
  </si>
  <si>
    <t>Tổng</t>
  </si>
  <si>
    <t>Thuế doanh thu</t>
  </si>
  <si>
    <t>4 năm đầu</t>
  </si>
  <si>
    <t>4 năm tiếp theo</t>
  </si>
  <si>
    <t>Chi phí đầu tư</t>
  </si>
  <si>
    <t>Xây dựng</t>
  </si>
  <si>
    <t>Máy móc thiết bị</t>
  </si>
  <si>
    <t>Chi phí liên quan đến dự án</t>
  </si>
  <si>
    <t>Chi phí liên quan đến xây dựng</t>
  </si>
  <si>
    <t>Nợ vay</t>
  </si>
  <si>
    <t>Khấu hao</t>
  </si>
  <si>
    <t>Đầu tư thay thế máy móc thiết bị</t>
  </si>
  <si>
    <t>Khấu hao chi phí nhận đất, chi phí liên quan tới dự án và XD</t>
  </si>
  <si>
    <t>Số ngày hoạt động trong năm</t>
  </si>
  <si>
    <t>Bảo trì và chi phí khác</t>
  </si>
  <si>
    <t>Khấu hao công trình xây dựng</t>
  </si>
  <si>
    <t>Khấu hao thay thế MMTB năm 2003</t>
  </si>
  <si>
    <t>Khấu hao tài sản máy móc thiết bị (MMTB ) ban đầu</t>
  </si>
  <si>
    <t>Khấu hao thay thế MMTB năm 2007</t>
  </si>
  <si>
    <t>Khấu hao thay thế MMTB năm 2010</t>
  </si>
  <si>
    <t>Khấu hao thay thế MMTB năm 2011</t>
  </si>
  <si>
    <t>Khấu hao thay thế MMTB năm 2015</t>
  </si>
  <si>
    <t>Khấu hao thay thế MMTB năm 2017</t>
  </si>
  <si>
    <t>Khấu hao tài sản khác</t>
  </si>
  <si>
    <t>Chi phí đất đai</t>
  </si>
  <si>
    <t>Doanh thu từ bán nước</t>
  </si>
  <si>
    <t>Doanh thu ròng</t>
  </si>
  <si>
    <t>Chi phí hoạt động</t>
  </si>
  <si>
    <t>Phí quản lý và bảo trì</t>
  </si>
  <si>
    <t>Lợi nhuận trước lãi vay và thuế</t>
  </si>
  <si>
    <t>Chi phí lãi vay</t>
  </si>
  <si>
    <t>Lợi nhuận trước thuế</t>
  </si>
  <si>
    <t>Lợi nhuận sau thuế</t>
  </si>
  <si>
    <t>Tổng chi phí</t>
  </si>
  <si>
    <t>Trả nợ gốc</t>
  </si>
  <si>
    <t>Ngân lưu vào</t>
  </si>
  <si>
    <t>Ngân lưu ra</t>
  </si>
  <si>
    <t>Lịch khấu hao hợp nhất</t>
  </si>
  <si>
    <t>Tài sản cố định ròng đầu kỳ</t>
  </si>
  <si>
    <t>Khấu hao hàng năm</t>
  </si>
  <si>
    <t>Khấu hao lũy tích</t>
  </si>
  <si>
    <t>Đầu tư mới</t>
  </si>
  <si>
    <t>Tài sản cố định ròng cuối kỳ</t>
  </si>
  <si>
    <t>Giải ngân</t>
  </si>
  <si>
    <t>Dư nợ đầu kỳ</t>
  </si>
  <si>
    <t>Dư nợ cuối kỳ</t>
  </si>
  <si>
    <t>Tốc độ tăng giá bán nước</t>
  </si>
  <si>
    <t>Tỷ lệ sản lượng nước bán ra/công suất năm 1</t>
  </si>
  <si>
    <t>Tỷ lệ sản lượng nước bán ra/công suất năm khác</t>
  </si>
  <si>
    <t>Tỷ lệ sản lượng nước SX/công suất</t>
  </si>
  <si>
    <t>Tốc độ tăng chi phí sản xuất trực tiếp</t>
  </si>
  <si>
    <t>Thuế</t>
  </si>
  <si>
    <t>Thuế lợi tức</t>
  </si>
  <si>
    <t>Công suất nhà máy ('000 m3/ngày)</t>
  </si>
  <si>
    <t>Khấu hao (năm)</t>
  </si>
  <si>
    <t>CÔNG TY NƯỚC BÌNH AN</t>
  </si>
  <si>
    <t>BẢNG THÔNG SỐ</t>
  </si>
  <si>
    <t>Chi phí vốn chủ sở hữu</t>
  </si>
  <si>
    <t>Chi phí vốn bình quân trọng số (WACC)</t>
  </si>
  <si>
    <t>LỊCH KHẤU HAO</t>
  </si>
  <si>
    <t>Năm bắt đầu khấu hao</t>
  </si>
  <si>
    <t xml:space="preserve"> Máy móc thiết bị</t>
  </si>
  <si>
    <t>Công trình xây dựng</t>
  </si>
  <si>
    <t>Tài sản khác (xe hơi)</t>
  </si>
  <si>
    <t>Khấu hao vô hình về chi phí đất đai, liên quan tới dự án và xây dựng</t>
  </si>
  <si>
    <t>Trong đó, nghiên cứu khả thi</t>
  </si>
  <si>
    <t>Trả lãi</t>
  </si>
  <si>
    <t>DOANH THU</t>
  </si>
  <si>
    <t>Tỷ lệ sản lượng nước bán ra/công suất</t>
  </si>
  <si>
    <t>Sản lượng nước bán ra ('000 m3/năm)</t>
  </si>
  <si>
    <t>Giá nước</t>
  </si>
  <si>
    <t>Doanh thu bán nước</t>
  </si>
  <si>
    <t>Doanh thu bán nước ('000 USD)</t>
  </si>
  <si>
    <t>CHI PHÍ</t>
  </si>
  <si>
    <t>BÁO CÁO THU NHẬP</t>
  </si>
  <si>
    <t>Chi phí sản xuất và phí quản lý, bảo trì</t>
  </si>
  <si>
    <t>NGÂN LƯU</t>
  </si>
  <si>
    <t>Chi phí hoạt động và phí quản lý, bảo trì</t>
  </si>
  <si>
    <t>Chi đầu tư</t>
  </si>
  <si>
    <t>Ngân lưu nợ vay</t>
  </si>
  <si>
    <t>Cơ cấu vốn</t>
  </si>
  <si>
    <t>Vốn pháp định</t>
  </si>
  <si>
    <t>Vòng đời dự án (năm)</t>
  </si>
  <si>
    <t>Thời gian xây dựng (tháng)</t>
  </si>
  <si>
    <t>Lạm phát USD</t>
  </si>
  <si>
    <t>Tính theo giá thực</t>
  </si>
  <si>
    <t>Lãi suất danh nghĩa</t>
  </si>
  <si>
    <t>Lãi suất thực</t>
  </si>
  <si>
    <t>Thuế lợi nhuận</t>
  </si>
  <si>
    <t>Ngân lưu ròng của dự án</t>
  </si>
  <si>
    <t>Ngân lưu ròng chủ sở hữu</t>
  </si>
  <si>
    <t>Lợi nhuận trước khấu hao, lãi vay và thuế</t>
  </si>
  <si>
    <t>Ngày</t>
  </si>
  <si>
    <t>Lợi suất trái phiếu</t>
  </si>
  <si>
    <t>Hạng mức tín nhiệm</t>
  </si>
  <si>
    <t>Chênh lệch lãi suất tương ứng tính theo điểm cơ bản</t>
  </si>
  <si>
    <t>A1</t>
  </si>
  <si>
    <t>Thị trường Hoa Kỳ</t>
  </si>
  <si>
    <t>Công ty Nước Bình An</t>
  </si>
  <si>
    <t>A2</t>
  </si>
  <si>
    <t>B1</t>
  </si>
  <si>
    <t>A3</t>
  </si>
  <si>
    <t>Lợi suất trái phiếu CPHK 20 năm</t>
  </si>
  <si>
    <t>Aa1</t>
  </si>
  <si>
    <t>Mức bù rủi ro thị trường</t>
  </si>
  <si>
    <t>Aa2</t>
  </si>
  <si>
    <t>Aa3</t>
  </si>
  <si>
    <t>Hệ số beta có vay nợ ngành cấp nước</t>
  </si>
  <si>
    <t>Aaa</t>
  </si>
  <si>
    <t>Nợ/Vốn chủ sở hữu (D/E)</t>
  </si>
  <si>
    <t>Thuế suất thuế thu nhập</t>
  </si>
  <si>
    <t>B2</t>
  </si>
  <si>
    <t>Hệ số beta không vay nợ ngành cấp nước</t>
  </si>
  <si>
    <t>B3</t>
  </si>
  <si>
    <t>Ba1</t>
  </si>
  <si>
    <t>Hệ số beta có vay nợ tính cho Bình An</t>
  </si>
  <si>
    <t>Ba2</t>
  </si>
  <si>
    <t>Danh nghĩa</t>
  </si>
  <si>
    <t>Thực</t>
  </si>
  <si>
    <t>Ba3</t>
  </si>
  <si>
    <t>Suất sinh lợi nợ vay</t>
  </si>
  <si>
    <t>Baa1</t>
  </si>
  <si>
    <t>Suất sinh lợi vốn chủ sở hữu</t>
  </si>
  <si>
    <t>Baa2</t>
  </si>
  <si>
    <t>Baa3</t>
  </si>
  <si>
    <t>Ca</t>
  </si>
  <si>
    <t>Caa</t>
  </si>
  <si>
    <t>Việt Nam</t>
  </si>
  <si>
    <t>Hệ số tín nhiệm vay nợ Moody's</t>
  </si>
  <si>
    <t>Mức bù rủi ro quốc gia</t>
  </si>
  <si>
    <t>Ghi nhớ</t>
  </si>
  <si>
    <t>Thuế suất lợi nhuận hiệu dụng</t>
  </si>
  <si>
    <t>D/E</t>
  </si>
  <si>
    <t>Vốn chủ sở hữu, E</t>
  </si>
  <si>
    <t>Nợ vay, D</t>
  </si>
  <si>
    <t>WACC^</t>
  </si>
  <si>
    <t>Thuế suất TNDN theo luật định</t>
  </si>
  <si>
    <t>Lựa chọn thuế suất TNDN (luật định: 1; hiệu dụng: 2)</t>
  </si>
  <si>
    <t>Lựa chọn tỉ lệ D/E (ban đầu:1; bình quân: 2)</t>
  </si>
  <si>
    <t>Thuế suất TNDN hiệu dụng</t>
  </si>
  <si>
    <t>Tỷ lệ D/E</t>
  </si>
  <si>
    <t>Tỷ lệ E/V</t>
  </si>
  <si>
    <t>Tỷ lệ D/V</t>
  </si>
  <si>
    <r>
      <t>Tỷ lệ phí quản lý và bảo trì/</t>
    </r>
    <r>
      <rPr>
        <strike/>
        <sz val="8"/>
        <rFont val="Angsana New"/>
        <family val="1"/>
      </rPr>
      <t>Doanh thu ròng</t>
    </r>
  </si>
  <si>
    <t>Chỉ số giá USD</t>
  </si>
  <si>
    <t>CHI PHÍ ĐẦU TƯ</t>
  </si>
  <si>
    <t>Giá nước năm 1996 (USD/m3)</t>
  </si>
  <si>
    <t>Chi phí sản xuất năm 1996 (USD/m3)</t>
  </si>
  <si>
    <t>theo lạm phát</t>
  </si>
  <si>
    <t>PHÂN TÍCH</t>
  </si>
  <si>
    <t>Ngân lưu chi phí đầu tư</t>
  </si>
  <si>
    <t>Chi phí vốn chủ sở hữu theo quan điểm chủ quan, 1</t>
  </si>
  <si>
    <t>IRR dự án</t>
  </si>
  <si>
    <t>DSCR (Tỷ lệ an toàn trả nợ)</t>
  </si>
  <si>
    <t>NPV dự án</t>
  </si>
  <si>
    <t>IRR chủ sở hữu</t>
  </si>
  <si>
    <t>Chi phí vốn chủ sở hữu tính khách quan, 2</t>
  </si>
  <si>
    <t>Giải ngân ('tỷ VND)</t>
  </si>
  <si>
    <t>Lạm phát VND</t>
  </si>
  <si>
    <t>Lãi vay trong TG xây dựng không được nhập gốc</t>
  </si>
  <si>
    <t>Kỳ hạn (năm), từ 2000-2007</t>
  </si>
  <si>
    <t>Chỉ số giá VND</t>
  </si>
  <si>
    <t>Tỷ giá</t>
  </si>
  <si>
    <t xml:space="preserve">Tỷ giá hối đoái </t>
  </si>
  <si>
    <t>LỊCH NỢ VAY (tỷ VND )</t>
  </si>
  <si>
    <t>NL nợ vay (tỷ VND)</t>
  </si>
  <si>
    <t>LỊCH NỢ VAY  ( chuyển  '000 USD)</t>
  </si>
  <si>
    <t>NL nợ vay  '000 USD)</t>
  </si>
  <si>
    <t>Thay đổi AR</t>
  </si>
  <si>
    <t>Thay đổi AP</t>
  </si>
  <si>
    <t>Tỷ lệ lượng nước thô lấy vào để SX/công suất</t>
  </si>
  <si>
    <t>Sản lượng nước thô dùng để sản xuất</t>
  </si>
  <si>
    <t>Lãi suất bình quân 4 NHTM</t>
  </si>
  <si>
    <t>NPV chủ sở hữu</t>
  </si>
  <si>
    <t>Chọn chi phí vốn chủ sở hữu</t>
  </si>
  <si>
    <t>VỐN LƯU ĐỘNG</t>
  </si>
  <si>
    <t>Khoản phải thu</t>
  </si>
  <si>
    <t>Khoản phải trả</t>
  </si>
  <si>
    <t>Trả tiền nước chậm của SWC</t>
  </si>
  <si>
    <t>Khoản phải thu/doanh thu</t>
  </si>
  <si>
    <t>Khoản phải trả/ chi phí</t>
  </si>
  <si>
    <t>Lãi suất trả tiền nước chậm của SWA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</si>
</sst>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_(* #,##0.0_);_(* \(#,##0.0\);_(* &quot;-&quot;_);_(@_)"/>
    <numFmt numFmtId="168" formatCode="_(* #,##0.000_);_(* \(#,##0.000\);_(* &quot;-&quot;_);_(@_)"/>
    <numFmt numFmtId="169" formatCode="0_);\(0\)"/>
    <numFmt numFmtId="170" formatCode="_(* #,##0.0000_);_(* \(#,##0.0000\);_(* &quot;-&quot;_);_(@_)"/>
    <numFmt numFmtId="171" formatCode="[$-409]d\-mmm\-yy;@"/>
    <numFmt numFmtId="172" formatCode="_(* #,##0.00_);_(* \(#,##0.00\);_(* &quot;-&quot;_);_(@_)"/>
    <numFmt numFmtId="173" formatCode="_(* #,##0.000_);_(* \(#,##0.000\);_(* &quot;-&quot;???_);_(@_)"/>
    <numFmt numFmtId="174" formatCode="_(* #,##0.00000_);_(* \(#,##0.00000\);_(* &quot;-&quot;_);_(@_)"/>
    <numFmt numFmtId="175" formatCode="0.000%"/>
    <numFmt numFmtId="176" formatCode="0.0000%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_);[Red]\(&quot;$&quot;#,##0.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000000%"/>
    <numFmt numFmtId="189" formatCode="_(* #,##0.0_);_(* \(#,##0.0\);_(* &quot;-&quot;??_);_(@_)"/>
    <numFmt numFmtId="190" formatCode="0.00000%"/>
    <numFmt numFmtId="191" formatCode="0.000000%"/>
    <numFmt numFmtId="192" formatCode="_(* #,##0.0000_);_(* \(#,##0.0000\);_(* &quot;-&quot;??_);_(@_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i/>
      <sz val="8"/>
      <color indexed="55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sz val="2.5"/>
      <color indexed="8"/>
      <name val="VNI-Helve"/>
      <family val="0"/>
    </font>
    <font>
      <sz val="1.5"/>
      <color indexed="8"/>
      <name val="VNI-Helve"/>
      <family val="0"/>
    </font>
    <font>
      <b/>
      <sz val="8"/>
      <color indexed="63"/>
      <name val="Arial"/>
      <family val="2"/>
    </font>
    <font>
      <b/>
      <sz val="8"/>
      <name val="Geneva"/>
      <family val="0"/>
    </font>
    <font>
      <sz val="8"/>
      <color indexed="63"/>
      <name val="Arial"/>
      <family val="2"/>
    </font>
    <font>
      <b/>
      <i/>
      <sz val="8"/>
      <name val="Arial"/>
      <family val="2"/>
    </font>
    <font>
      <strike/>
      <sz val="8"/>
      <name val="Angsana New"/>
      <family val="1"/>
    </font>
    <font>
      <b/>
      <i/>
      <u val="single"/>
      <sz val="8"/>
      <color indexed="23"/>
      <name val="Arial"/>
      <family val="2"/>
    </font>
    <font>
      <sz val="8"/>
      <color indexed="2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.75"/>
      <color indexed="8"/>
      <name val=".Vn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.75"/>
      <color indexed="8"/>
      <name val=".VnArial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1" fontId="3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centerContinuous" vertical="center"/>
    </xf>
    <xf numFmtId="167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59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171" fontId="9" fillId="0" borderId="0" xfId="42" applyNumberFormat="1" applyFont="1" applyFill="1" applyBorder="1" applyAlignment="1">
      <alignment vertical="center"/>
    </xf>
    <xf numFmtId="171" fontId="9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4" fontId="14" fillId="33" borderId="12" xfId="0" applyNumberFormat="1" applyFont="1" applyFill="1" applyBorder="1" applyAlignment="1">
      <alignment wrapText="1"/>
    </xf>
    <xf numFmtId="2" fontId="14" fillId="33" borderId="13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0" fontId="3" fillId="0" borderId="13" xfId="59" applyNumberFormat="1" applyFont="1" applyBorder="1" applyAlignment="1">
      <alignment/>
    </xf>
    <xf numFmtId="175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0" fontId="3" fillId="0" borderId="15" xfId="59" applyNumberFormat="1" applyFont="1" applyBorder="1" applyAlignment="1">
      <alignment/>
    </xf>
    <xf numFmtId="10" fontId="3" fillId="0" borderId="15" xfId="0" applyNumberFormat="1" applyFont="1" applyBorder="1" applyAlignment="1">
      <alignment/>
    </xf>
    <xf numFmtId="187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indent="1"/>
    </xf>
    <xf numFmtId="175" fontId="3" fillId="0" borderId="13" xfId="59" applyNumberFormat="1" applyFont="1" applyBorder="1" applyAlignment="1">
      <alignment/>
    </xf>
    <xf numFmtId="175" fontId="3" fillId="0" borderId="13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2" fontId="3" fillId="0" borderId="15" xfId="0" applyNumberFormat="1" applyFont="1" applyBorder="1" applyAlignment="1">
      <alignment/>
    </xf>
    <xf numFmtId="0" fontId="6" fillId="34" borderId="0" xfId="0" applyFont="1" applyFill="1" applyAlignment="1">
      <alignment/>
    </xf>
    <xf numFmtId="10" fontId="6" fillId="34" borderId="0" xfId="0" applyNumberFormat="1" applyFont="1" applyFill="1" applyAlignment="1">
      <alignment/>
    </xf>
    <xf numFmtId="10" fontId="6" fillId="34" borderId="0" xfId="59" applyNumberFormat="1" applyFont="1" applyFill="1" applyAlignment="1">
      <alignment/>
    </xf>
    <xf numFmtId="10" fontId="3" fillId="0" borderId="0" xfId="59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14" fillId="33" borderId="14" xfId="0" applyNumberFormat="1" applyFont="1" applyFill="1" applyBorder="1" applyAlignment="1">
      <alignment wrapText="1"/>
    </xf>
    <xf numFmtId="2" fontId="14" fillId="33" borderId="15" xfId="0" applyNumberFormat="1" applyFont="1" applyFill="1" applyBorder="1" applyAlignment="1">
      <alignment wrapText="1"/>
    </xf>
    <xf numFmtId="41" fontId="3" fillId="0" borderId="0" xfId="0" applyNumberFormat="1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9" fontId="3" fillId="0" borderId="13" xfId="59" applyFont="1" applyFill="1" applyBorder="1" applyAlignment="1">
      <alignment/>
    </xf>
    <xf numFmtId="10" fontId="3" fillId="0" borderId="13" xfId="59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4" fontId="3" fillId="0" borderId="0" xfId="42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9" fontId="8" fillId="0" borderId="1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 quotePrefix="1">
      <alignment vertical="center"/>
    </xf>
    <xf numFmtId="168" fontId="3" fillId="0" borderId="0" xfId="0" applyNumberFormat="1" applyFont="1" applyFill="1" applyBorder="1" applyAlignment="1">
      <alignment vertical="center"/>
    </xf>
    <xf numFmtId="41" fontId="3" fillId="0" borderId="0" xfId="42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left" vertical="center" indent="2"/>
    </xf>
    <xf numFmtId="41" fontId="3" fillId="0" borderId="0" xfId="0" applyNumberFormat="1" applyFont="1" applyFill="1" applyBorder="1" applyAlignment="1">
      <alignment horizontal="left" vertical="center" indent="1"/>
    </xf>
    <xf numFmtId="14" fontId="3" fillId="0" borderId="0" xfId="0" applyNumberFormat="1" applyFont="1" applyFill="1" applyBorder="1" applyAlignment="1">
      <alignment vertical="center"/>
    </xf>
    <xf numFmtId="43" fontId="3" fillId="0" borderId="0" xfId="42" applyFont="1" applyFill="1" applyBorder="1" applyAlignment="1" quotePrefix="1">
      <alignment vertical="center"/>
    </xf>
    <xf numFmtId="172" fontId="3" fillId="0" borderId="0" xfId="0" applyNumberFormat="1" applyFont="1" applyFill="1" applyBorder="1" applyAlignment="1" quotePrefix="1">
      <alignment vertical="center"/>
    </xf>
    <xf numFmtId="41" fontId="3" fillId="0" borderId="12" xfId="0" applyNumberFormat="1" applyFont="1" applyFill="1" applyBorder="1" applyAlignment="1">
      <alignment horizontal="left" vertical="center"/>
    </xf>
    <xf numFmtId="41" fontId="6" fillId="0" borderId="12" xfId="0" applyNumberFormat="1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43" fontId="3" fillId="0" borderId="0" xfId="42" applyNumberFormat="1" applyFont="1" applyFill="1" applyBorder="1" applyAlignment="1">
      <alignment vertical="center"/>
    </xf>
    <xf numFmtId="43" fontId="15" fillId="0" borderId="0" xfId="42" applyFont="1" applyFill="1" applyBorder="1" applyAlignment="1">
      <alignment vertical="center"/>
    </xf>
    <xf numFmtId="10" fontId="15" fillId="0" borderId="0" xfId="59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left" vertical="center" indent="1"/>
    </xf>
    <xf numFmtId="41" fontId="9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9" fontId="18" fillId="0" borderId="0" xfId="0" applyNumberFormat="1" applyFont="1" applyFill="1" applyBorder="1" applyAlignment="1">
      <alignment vertical="center"/>
    </xf>
    <xf numFmtId="166" fontId="18" fillId="0" borderId="0" xfId="59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10" fontId="3" fillId="0" borderId="0" xfId="59" applyNumberFormat="1" applyFont="1" applyFill="1" applyBorder="1" applyAlignment="1">
      <alignment vertical="center"/>
    </xf>
    <xf numFmtId="10" fontId="3" fillId="0" borderId="0" xfId="59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1" fontId="3" fillId="35" borderId="0" xfId="0" applyNumberFormat="1" applyFont="1" applyFill="1" applyBorder="1" applyAlignment="1">
      <alignment vertical="center"/>
    </xf>
    <xf numFmtId="41" fontId="3" fillId="35" borderId="0" xfId="0" applyNumberFormat="1" applyFont="1" applyFill="1" applyBorder="1" applyAlignment="1" quotePrefix="1">
      <alignment vertical="center"/>
    </xf>
    <xf numFmtId="164" fontId="58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left" vertical="center" indent="1"/>
    </xf>
    <xf numFmtId="41" fontId="3" fillId="36" borderId="0" xfId="0" applyNumberFormat="1" applyFont="1" applyFill="1" applyBorder="1" applyAlignment="1">
      <alignment horizontal="left" vertical="center" indent="1"/>
    </xf>
    <xf numFmtId="13" fontId="3" fillId="36" borderId="0" xfId="0" applyNumberFormat="1" applyFont="1" applyFill="1" applyBorder="1" applyAlignment="1">
      <alignment vertical="center"/>
    </xf>
    <xf numFmtId="9" fontId="3" fillId="36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§é s©u tµi chÝnh M2/GDP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9034308"/>
        <c:axId val="37091045"/>
      </c:line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</c:scaling>
        <c:axPos val="l"/>
        <c:delete val="0"/>
        <c:numFmt formatCode="_(* #,##0_);_(* \(#,##0\);_(* &quot;-&quot;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03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152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6"/>
  <sheetViews>
    <sheetView tabSelected="1" zoomScale="140" zoomScaleNormal="14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9" sqref="B69"/>
    </sheetView>
  </sheetViews>
  <sheetFormatPr defaultColWidth="9.140625" defaultRowHeight="12.75"/>
  <cols>
    <col min="1" max="1" width="37.421875" style="63" customWidth="1"/>
    <col min="2" max="2" width="10.28125" style="63" customWidth="1"/>
    <col min="3" max="4" width="6.8515625" style="63" bestFit="1" customWidth="1"/>
    <col min="5" max="5" width="7.421875" style="63" bestFit="1" customWidth="1"/>
    <col min="6" max="6" width="6.8515625" style="63" bestFit="1" customWidth="1"/>
    <col min="7" max="8" width="7.140625" style="63" bestFit="1" customWidth="1"/>
    <col min="9" max="10" width="9.8515625" style="63" bestFit="1" customWidth="1"/>
    <col min="11" max="14" width="7.140625" style="63" bestFit="1" customWidth="1"/>
    <col min="15" max="26" width="6.8515625" style="63" bestFit="1" customWidth="1"/>
    <col min="27" max="16384" width="9.140625" style="63" customWidth="1"/>
  </cols>
  <sheetData>
    <row r="1" spans="1:11" s="70" customFormat="1" ht="18">
      <c r="A1" s="2" t="s">
        <v>61</v>
      </c>
      <c r="B1" s="2"/>
      <c r="C1" s="2"/>
      <c r="D1" s="2"/>
      <c r="E1" s="2"/>
      <c r="F1" s="2"/>
      <c r="G1" s="2"/>
      <c r="H1" s="2"/>
      <c r="I1" s="2"/>
      <c r="J1" s="69"/>
      <c r="K1" s="69"/>
    </row>
    <row r="2" spans="1:11" s="70" customFormat="1" ht="18">
      <c r="A2" s="2"/>
      <c r="B2" s="2"/>
      <c r="C2" s="2"/>
      <c r="D2" s="2"/>
      <c r="E2" s="2"/>
      <c r="F2" s="2"/>
      <c r="G2" s="2"/>
      <c r="H2" s="2"/>
      <c r="I2" s="2"/>
      <c r="J2" s="69"/>
      <c r="K2" s="69"/>
    </row>
    <row r="3" spans="1:26" ht="11.25">
      <c r="A3" s="71" t="s">
        <v>91</v>
      </c>
      <c r="C3" s="72">
        <v>0</v>
      </c>
      <c r="D3" s="72">
        <v>1</v>
      </c>
      <c r="E3" s="72">
        <v>2</v>
      </c>
      <c r="F3" s="72">
        <v>3</v>
      </c>
      <c r="G3" s="72">
        <v>4</v>
      </c>
      <c r="H3" s="72">
        <v>5</v>
      </c>
      <c r="I3" s="72">
        <v>6</v>
      </c>
      <c r="J3" s="72">
        <v>7</v>
      </c>
      <c r="K3" s="72">
        <v>8</v>
      </c>
      <c r="L3" s="72">
        <v>9</v>
      </c>
      <c r="M3" s="72">
        <v>10</v>
      </c>
      <c r="N3" s="72">
        <v>11</v>
      </c>
      <c r="O3" s="72">
        <v>12</v>
      </c>
      <c r="P3" s="72">
        <v>13</v>
      </c>
      <c r="Q3" s="72">
        <v>14</v>
      </c>
      <c r="R3" s="72">
        <v>15</v>
      </c>
      <c r="S3" s="72">
        <v>16</v>
      </c>
      <c r="T3" s="72">
        <v>17</v>
      </c>
      <c r="U3" s="72">
        <v>18</v>
      </c>
      <c r="V3" s="72">
        <v>19</v>
      </c>
      <c r="W3" s="72">
        <v>20</v>
      </c>
      <c r="X3" s="72">
        <v>21</v>
      </c>
      <c r="Y3" s="72">
        <v>22</v>
      </c>
      <c r="Z3" s="72">
        <v>23</v>
      </c>
    </row>
    <row r="4" spans="3:26" ht="12" thickBot="1">
      <c r="C4" s="73">
        <v>1996</v>
      </c>
      <c r="D4" s="73">
        <v>1997</v>
      </c>
      <c r="E4" s="73">
        <v>1998</v>
      </c>
      <c r="F4" s="73">
        <v>1999</v>
      </c>
      <c r="G4" s="73">
        <v>2000</v>
      </c>
      <c r="H4" s="73">
        <v>2001</v>
      </c>
      <c r="I4" s="73">
        <v>2002</v>
      </c>
      <c r="J4" s="73">
        <v>2003</v>
      </c>
      <c r="K4" s="73">
        <v>2004</v>
      </c>
      <c r="L4" s="73">
        <v>2005</v>
      </c>
      <c r="M4" s="73">
        <v>2006</v>
      </c>
      <c r="N4" s="73">
        <v>2007</v>
      </c>
      <c r="O4" s="73">
        <v>2008</v>
      </c>
      <c r="P4" s="73">
        <v>2009</v>
      </c>
      <c r="Q4" s="73">
        <v>2010</v>
      </c>
      <c r="R4" s="73">
        <v>2011</v>
      </c>
      <c r="S4" s="73">
        <v>2012</v>
      </c>
      <c r="T4" s="73">
        <v>2013</v>
      </c>
      <c r="U4" s="73">
        <v>2014</v>
      </c>
      <c r="V4" s="73">
        <v>2015</v>
      </c>
      <c r="W4" s="73">
        <v>2016</v>
      </c>
      <c r="X4" s="73">
        <v>2017</v>
      </c>
      <c r="Y4" s="73">
        <v>2018</v>
      </c>
      <c r="Z4" s="73">
        <v>2019</v>
      </c>
    </row>
    <row r="5" spans="1:3" s="62" customFormat="1" ht="12" thickTop="1">
      <c r="A5" s="62" t="s">
        <v>62</v>
      </c>
      <c r="B5" s="9"/>
      <c r="C5" s="9"/>
    </row>
    <row r="6" spans="1:3" s="62" customFormat="1" ht="11.25">
      <c r="A6" s="62" t="s">
        <v>90</v>
      </c>
      <c r="B6" s="4">
        <v>0.03</v>
      </c>
      <c r="C6" s="9"/>
    </row>
    <row r="7" spans="1:3" s="62" customFormat="1" ht="11.25">
      <c r="A7" s="62" t="s">
        <v>164</v>
      </c>
      <c r="B7" s="7">
        <v>0.07</v>
      </c>
      <c r="C7" s="9"/>
    </row>
    <row r="8" spans="1:3" s="62" customFormat="1" ht="11.25">
      <c r="A8" s="62" t="s">
        <v>169</v>
      </c>
      <c r="B8" s="68">
        <v>11819</v>
      </c>
      <c r="C8" s="9"/>
    </row>
    <row r="9" spans="1:3" s="62" customFormat="1" ht="11.25">
      <c r="A9" s="62" t="s">
        <v>88</v>
      </c>
      <c r="B9" s="15">
        <v>20</v>
      </c>
      <c r="C9" s="9"/>
    </row>
    <row r="10" spans="1:3" s="62" customFormat="1" ht="11.25">
      <c r="A10" s="62" t="s">
        <v>89</v>
      </c>
      <c r="B10" s="15">
        <v>30</v>
      </c>
      <c r="C10" s="9"/>
    </row>
    <row r="11" spans="1:2" ht="11.25">
      <c r="A11" s="62" t="s">
        <v>152</v>
      </c>
      <c r="B11" s="3">
        <v>0.2</v>
      </c>
    </row>
    <row r="12" spans="1:5" ht="11.25">
      <c r="A12" s="56" t="s">
        <v>52</v>
      </c>
      <c r="B12" s="4" t="s">
        <v>154</v>
      </c>
      <c r="E12" s="4"/>
    </row>
    <row r="13" spans="1:3" ht="11.25">
      <c r="A13" s="62" t="s">
        <v>59</v>
      </c>
      <c r="B13" s="63">
        <v>100</v>
      </c>
      <c r="C13" s="74"/>
    </row>
    <row r="14" spans="1:6" ht="11.25">
      <c r="A14" s="56" t="s">
        <v>53</v>
      </c>
      <c r="B14" s="4">
        <v>0.95</v>
      </c>
      <c r="F14" s="75"/>
    </row>
    <row r="15" spans="1:6" ht="11.25">
      <c r="A15" s="56" t="s">
        <v>54</v>
      </c>
      <c r="B15" s="4">
        <v>1</v>
      </c>
      <c r="F15" s="75"/>
    </row>
    <row r="16" spans="1:25" ht="11.25">
      <c r="A16" s="56" t="s">
        <v>55</v>
      </c>
      <c r="B16" s="4">
        <v>1.1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25" ht="11.25">
      <c r="A17" s="56" t="s">
        <v>176</v>
      </c>
      <c r="B17" s="4">
        <v>1.15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1.25">
      <c r="A18" s="62" t="s">
        <v>153</v>
      </c>
    </row>
    <row r="19" spans="1:2" ht="11.25">
      <c r="A19" s="56" t="s">
        <v>2</v>
      </c>
      <c r="B19" s="5">
        <v>0.0043</v>
      </c>
    </row>
    <row r="20" spans="1:2" ht="11.25">
      <c r="A20" s="56" t="s">
        <v>3</v>
      </c>
      <c r="B20" s="5">
        <v>0.0374</v>
      </c>
    </row>
    <row r="21" spans="1:2" ht="11.25">
      <c r="A21" s="56" t="s">
        <v>4</v>
      </c>
      <c r="B21" s="5">
        <v>0.0013</v>
      </c>
    </row>
    <row r="22" spans="1:2" ht="11.25">
      <c r="A22" s="56" t="s">
        <v>5</v>
      </c>
      <c r="B22" s="5">
        <v>0.0011</v>
      </c>
    </row>
    <row r="23" spans="1:2" ht="11.25">
      <c r="A23" s="56" t="s">
        <v>6</v>
      </c>
      <c r="B23" s="5">
        <f>SUM(B19:B22)</f>
        <v>0.0441</v>
      </c>
    </row>
    <row r="24" spans="1:2" ht="11.25">
      <c r="A24" s="56" t="s">
        <v>56</v>
      </c>
      <c r="B24" s="4" t="s">
        <v>154</v>
      </c>
    </row>
    <row r="25" spans="1:3" ht="12.75">
      <c r="A25" s="56" t="s">
        <v>149</v>
      </c>
      <c r="B25" s="7">
        <v>0.05</v>
      </c>
      <c r="C25" s="3"/>
    </row>
    <row r="26" spans="1:3" ht="11.25">
      <c r="A26" s="77" t="s">
        <v>57</v>
      </c>
      <c r="B26" s="7"/>
      <c r="C26" s="3"/>
    </row>
    <row r="27" spans="1:2" ht="11.25">
      <c r="A27" s="56" t="s">
        <v>7</v>
      </c>
      <c r="B27" s="4">
        <v>0.01</v>
      </c>
    </row>
    <row r="28" spans="1:2" ht="11.25">
      <c r="A28" s="56" t="s">
        <v>58</v>
      </c>
      <c r="B28" s="6">
        <v>0.1</v>
      </c>
    </row>
    <row r="29" spans="1:2" ht="11.25">
      <c r="A29" s="78" t="s">
        <v>8</v>
      </c>
      <c r="B29" s="7">
        <v>0</v>
      </c>
    </row>
    <row r="30" spans="1:2" ht="11.25">
      <c r="A30" s="78" t="s">
        <v>9</v>
      </c>
      <c r="B30" s="7">
        <v>0.05</v>
      </c>
    </row>
    <row r="31" spans="1:3" ht="11.25">
      <c r="A31" s="62" t="s">
        <v>10</v>
      </c>
      <c r="C31" s="74"/>
    </row>
    <row r="32" spans="1:5" ht="11.25">
      <c r="A32" s="56" t="s">
        <v>11</v>
      </c>
      <c r="C32" s="74"/>
      <c r="D32" s="63">
        <v>4140</v>
      </c>
      <c r="E32" s="63">
        <v>9660</v>
      </c>
    </row>
    <row r="33" spans="1:26" ht="11.25">
      <c r="A33" s="56" t="s">
        <v>12</v>
      </c>
      <c r="C33" s="74"/>
      <c r="D33" s="63">
        <v>1371</v>
      </c>
      <c r="E33" s="63">
        <v>9660</v>
      </c>
      <c r="F33" s="63">
        <v>2372</v>
      </c>
      <c r="G33" s="63">
        <v>330</v>
      </c>
      <c r="H33" s="63">
        <v>0</v>
      </c>
      <c r="I33" s="63">
        <v>0</v>
      </c>
      <c r="J33" s="63">
        <v>125</v>
      </c>
      <c r="K33" s="63">
        <v>0</v>
      </c>
      <c r="L33" s="63">
        <v>0</v>
      </c>
      <c r="M33" s="63">
        <v>0</v>
      </c>
      <c r="N33" s="63">
        <v>815</v>
      </c>
      <c r="O33" s="63">
        <v>0</v>
      </c>
      <c r="P33" s="63">
        <v>0</v>
      </c>
      <c r="Q33" s="63">
        <v>765</v>
      </c>
      <c r="R33" s="63">
        <v>125</v>
      </c>
      <c r="S33" s="63">
        <v>0</v>
      </c>
      <c r="T33" s="63">
        <v>0</v>
      </c>
      <c r="U33" s="63">
        <v>0</v>
      </c>
      <c r="V33" s="63">
        <v>2450</v>
      </c>
      <c r="W33" s="63">
        <v>0</v>
      </c>
      <c r="X33" s="63">
        <v>125</v>
      </c>
      <c r="Y33" s="63">
        <v>0</v>
      </c>
      <c r="Z33" s="63">
        <v>0</v>
      </c>
    </row>
    <row r="34" spans="1:15" ht="11.25">
      <c r="A34" s="56" t="s">
        <v>69</v>
      </c>
      <c r="C34" s="74">
        <v>60</v>
      </c>
      <c r="D34" s="63">
        <v>40</v>
      </c>
      <c r="O34" s="63">
        <v>100</v>
      </c>
    </row>
    <row r="35" spans="1:4" ht="11.25">
      <c r="A35" s="56" t="s">
        <v>30</v>
      </c>
      <c r="C35" s="74">
        <v>400</v>
      </c>
      <c r="D35" s="63">
        <v>100</v>
      </c>
    </row>
    <row r="36" spans="1:6" ht="11.25">
      <c r="A36" s="56" t="s">
        <v>13</v>
      </c>
      <c r="C36" s="74">
        <v>800</v>
      </c>
      <c r="D36" s="63">
        <v>900</v>
      </c>
      <c r="E36" s="63">
        <v>990</v>
      </c>
      <c r="F36" s="63">
        <v>500</v>
      </c>
    </row>
    <row r="37" spans="1:3" ht="11.25">
      <c r="A37" s="78" t="s">
        <v>71</v>
      </c>
      <c r="C37" s="74">
        <v>400</v>
      </c>
    </row>
    <row r="38" spans="1:6" ht="11.25">
      <c r="A38" s="56" t="s">
        <v>14</v>
      </c>
      <c r="C38" s="74">
        <v>300</v>
      </c>
      <c r="D38" s="63">
        <v>1395</v>
      </c>
      <c r="E38" s="63">
        <v>3300</v>
      </c>
      <c r="F38" s="63">
        <v>1162</v>
      </c>
    </row>
    <row r="39" ht="11.25">
      <c r="A39" s="62" t="s">
        <v>60</v>
      </c>
    </row>
    <row r="40" spans="1:2" ht="11.25">
      <c r="A40" s="56" t="s">
        <v>66</v>
      </c>
      <c r="B40" s="16">
        <v>1999</v>
      </c>
    </row>
    <row r="41" spans="1:2" ht="11.25">
      <c r="A41" s="56" t="s">
        <v>68</v>
      </c>
      <c r="B41" s="63">
        <v>20</v>
      </c>
    </row>
    <row r="42" spans="1:2" ht="11.25">
      <c r="A42" s="56" t="s">
        <v>67</v>
      </c>
      <c r="B42" s="63">
        <v>7</v>
      </c>
    </row>
    <row r="43" spans="1:2" ht="11.25">
      <c r="A43" s="56" t="s">
        <v>17</v>
      </c>
      <c r="B43" s="63">
        <v>7</v>
      </c>
    </row>
    <row r="44" spans="1:2" ht="11.25">
      <c r="A44" s="56" t="s">
        <v>69</v>
      </c>
      <c r="B44" s="63">
        <v>6</v>
      </c>
    </row>
    <row r="45" spans="1:2" ht="11.25">
      <c r="A45" s="56" t="s">
        <v>18</v>
      </c>
      <c r="B45" s="63">
        <v>20</v>
      </c>
    </row>
    <row r="46" spans="1:3" ht="11.25">
      <c r="A46" s="77" t="s">
        <v>15</v>
      </c>
      <c r="C46" s="74"/>
    </row>
    <row r="47" spans="1:6" ht="11.25">
      <c r="A47" s="56" t="s">
        <v>163</v>
      </c>
      <c r="C47" s="74"/>
      <c r="E47" s="63">
        <v>230</v>
      </c>
      <c r="F47" s="63">
        <v>32</v>
      </c>
    </row>
    <row r="48" spans="1:3" ht="11.25">
      <c r="A48" s="79" t="s">
        <v>178</v>
      </c>
      <c r="B48" s="8">
        <v>0.075</v>
      </c>
      <c r="C48" s="74"/>
    </row>
    <row r="49" spans="1:3" ht="11.25">
      <c r="A49" s="56" t="s">
        <v>92</v>
      </c>
      <c r="B49" s="8">
        <f>(1+B50)*(1+B7)-1</f>
        <v>0.125</v>
      </c>
      <c r="C49" s="74"/>
    </row>
    <row r="50" spans="1:3" ht="11.25">
      <c r="A50" s="56" t="s">
        <v>93</v>
      </c>
      <c r="B50" s="8">
        <f>(1+B48+5%)/(1+B7)-1</f>
        <v>0.051401869158878455</v>
      </c>
      <c r="C50" s="74"/>
    </row>
    <row r="51" spans="1:3" ht="11.25">
      <c r="A51" s="56" t="s">
        <v>166</v>
      </c>
      <c r="B51" s="63">
        <v>8</v>
      </c>
      <c r="C51" s="74"/>
    </row>
    <row r="52" spans="1:3" ht="11.25">
      <c r="A52" s="56" t="s">
        <v>165</v>
      </c>
      <c r="C52" s="74"/>
    </row>
    <row r="53" spans="1:3" ht="11.25">
      <c r="A53" s="56"/>
      <c r="B53" s="3"/>
      <c r="C53" s="74"/>
    </row>
    <row r="54" spans="1:6" ht="11.25">
      <c r="A54" s="109" t="s">
        <v>185</v>
      </c>
      <c r="B54" s="110">
        <v>0.08333333333333333</v>
      </c>
      <c r="C54" s="10"/>
      <c r="D54" s="11"/>
      <c r="E54" s="10"/>
      <c r="F54" s="11"/>
    </row>
    <row r="55" spans="1:8" ht="11.25">
      <c r="A55" s="109" t="s">
        <v>186</v>
      </c>
      <c r="B55" s="110">
        <v>0.08333333333333333</v>
      </c>
      <c r="C55" s="74"/>
      <c r="E55" s="80"/>
      <c r="F55" s="80"/>
      <c r="G55" s="80"/>
      <c r="H55" s="80"/>
    </row>
    <row r="56" spans="1:3" ht="11.25">
      <c r="A56" s="109" t="s">
        <v>187</v>
      </c>
      <c r="B56" s="111">
        <v>0.1</v>
      </c>
      <c r="C56" s="74"/>
    </row>
    <row r="57" spans="1:3" ht="11.25">
      <c r="A57" s="107"/>
      <c r="C57" s="74"/>
    </row>
    <row r="58" spans="1:3" ht="11.25">
      <c r="A58" s="77" t="s">
        <v>86</v>
      </c>
      <c r="C58" s="74"/>
    </row>
    <row r="59" spans="1:6" ht="11.25">
      <c r="A59" s="1" t="s">
        <v>87</v>
      </c>
      <c r="B59" s="104">
        <f>SUM(C59:E59)</f>
        <v>11100</v>
      </c>
      <c r="C59" s="105">
        <v>5000</v>
      </c>
      <c r="D59" s="104">
        <v>5800</v>
      </c>
      <c r="E59" s="104">
        <v>300</v>
      </c>
      <c r="F59" s="104"/>
    </row>
    <row r="60" spans="1:6" ht="11.25">
      <c r="A60" s="1" t="s">
        <v>15</v>
      </c>
      <c r="B60" s="104">
        <f>SUM(E60:H60)</f>
        <v>19773.379413806855</v>
      </c>
      <c r="C60" s="105"/>
      <c r="D60" s="104"/>
      <c r="E60" s="104"/>
      <c r="F60" s="104">
        <f>F118</f>
        <v>19773.379413806855</v>
      </c>
    </row>
    <row r="61" spans="1:3" ht="11.25">
      <c r="A61" s="56"/>
      <c r="C61" s="74"/>
    </row>
    <row r="62" spans="1:3" ht="11.25">
      <c r="A62" s="77" t="s">
        <v>155</v>
      </c>
      <c r="C62" s="74"/>
    </row>
    <row r="63" spans="1:3" ht="11.25">
      <c r="A63" s="56"/>
      <c r="C63" s="74"/>
    </row>
    <row r="64" spans="1:3" ht="11.25">
      <c r="A64" s="62" t="s">
        <v>0</v>
      </c>
      <c r="C64" s="74"/>
    </row>
    <row r="65" spans="1:3" ht="11.25">
      <c r="A65" s="101" t="s">
        <v>180</v>
      </c>
      <c r="B65" s="63">
        <v>1</v>
      </c>
      <c r="C65" s="74"/>
    </row>
    <row r="66" spans="1:3" ht="11.25">
      <c r="A66" s="79" t="s">
        <v>157</v>
      </c>
      <c r="B66" s="8">
        <v>0.15</v>
      </c>
      <c r="C66" s="74"/>
    </row>
    <row r="67" spans="1:3" ht="11.25">
      <c r="A67" s="56" t="s">
        <v>162</v>
      </c>
      <c r="B67" s="8">
        <f>'Chi phi von'!E16</f>
        <v>0.1674215200295629</v>
      </c>
      <c r="C67" s="74"/>
    </row>
    <row r="68" spans="1:3" ht="11.25">
      <c r="A68" s="1" t="s">
        <v>63</v>
      </c>
      <c r="B68" s="8">
        <f>IF(B65=1,B66,B67)</f>
        <v>0.15</v>
      </c>
      <c r="C68" s="74"/>
    </row>
    <row r="69" spans="1:3" ht="11.25">
      <c r="A69" s="1" t="s">
        <v>64</v>
      </c>
      <c r="B69" s="8">
        <f>IF(B65=1,B66*'Chi phi von'!E9+'Chi phi von'!E10*'Mo hinh co so - vay VND'!B49,'Chi phi von'!E17)</f>
        <v>0.13398832603585664</v>
      </c>
      <c r="C69" s="74"/>
    </row>
    <row r="70" spans="1:3" ht="11.25">
      <c r="A70" s="56"/>
      <c r="B70" s="8"/>
      <c r="C70" s="74"/>
    </row>
    <row r="71" spans="1:26" ht="11.25">
      <c r="A71" s="77" t="s">
        <v>167</v>
      </c>
      <c r="B71" s="106"/>
      <c r="C71" s="81">
        <f>(1+$B$7)^C3</f>
        <v>1</v>
      </c>
      <c r="D71" s="81">
        <f aca="true" t="shared" si="0" ref="D71:Z71">(1+$B$7)^D3</f>
        <v>1.07</v>
      </c>
      <c r="E71" s="81">
        <f t="shared" si="0"/>
        <v>1.1449</v>
      </c>
      <c r="F71" s="81">
        <f>(1+$B$7)^F3</f>
        <v>1.225043</v>
      </c>
      <c r="G71" s="81">
        <f t="shared" si="0"/>
        <v>1.31079601</v>
      </c>
      <c r="H71" s="81">
        <f t="shared" si="0"/>
        <v>1.4025517307000002</v>
      </c>
      <c r="I71" s="81">
        <f t="shared" si="0"/>
        <v>1.500730351849</v>
      </c>
      <c r="J71" s="81">
        <f t="shared" si="0"/>
        <v>1.6057814764784302</v>
      </c>
      <c r="K71" s="81">
        <f t="shared" si="0"/>
        <v>1.7181861798319202</v>
      </c>
      <c r="L71" s="81">
        <f t="shared" si="0"/>
        <v>1.8384592124201549</v>
      </c>
      <c r="M71" s="81">
        <f t="shared" si="0"/>
        <v>1.9671513572895656</v>
      </c>
      <c r="N71" s="81">
        <f t="shared" si="0"/>
        <v>2.1048519522998355</v>
      </c>
      <c r="O71" s="81">
        <f t="shared" si="0"/>
        <v>2.2521915889608235</v>
      </c>
      <c r="P71" s="81">
        <f t="shared" si="0"/>
        <v>2.4098450001880813</v>
      </c>
      <c r="Q71" s="81">
        <f t="shared" si="0"/>
        <v>2.578534150201247</v>
      </c>
      <c r="R71" s="81">
        <f t="shared" si="0"/>
        <v>2.7590315407153345</v>
      </c>
      <c r="S71" s="81">
        <f t="shared" si="0"/>
        <v>2.9521637485654075</v>
      </c>
      <c r="T71" s="81">
        <f t="shared" si="0"/>
        <v>3.158815210964986</v>
      </c>
      <c r="U71" s="81">
        <f t="shared" si="0"/>
        <v>3.379932275732535</v>
      </c>
      <c r="V71" s="81">
        <f t="shared" si="0"/>
        <v>3.616527535033813</v>
      </c>
      <c r="W71" s="81">
        <f t="shared" si="0"/>
        <v>3.8696844624861795</v>
      </c>
      <c r="X71" s="81">
        <f t="shared" si="0"/>
        <v>4.140562374860212</v>
      </c>
      <c r="Y71" s="81">
        <f t="shared" si="0"/>
        <v>4.430401741100427</v>
      </c>
      <c r="Z71" s="81">
        <f t="shared" si="0"/>
        <v>4.740529862977457</v>
      </c>
    </row>
    <row r="72" spans="1:26" ht="11.25">
      <c r="A72" s="77" t="s">
        <v>150</v>
      </c>
      <c r="B72" s="106"/>
      <c r="C72" s="82">
        <v>1</v>
      </c>
      <c r="D72" s="67">
        <f>C72*(1+$B$6)</f>
        <v>1.03</v>
      </c>
      <c r="E72" s="67">
        <f aca="true" t="shared" si="1" ref="E72:Z72">D72*(1+$B$6)</f>
        <v>1.0609</v>
      </c>
      <c r="F72" s="67">
        <f>E72*(1+$B$6)</f>
        <v>1.092727</v>
      </c>
      <c r="G72" s="67">
        <f t="shared" si="1"/>
        <v>1.1255088100000001</v>
      </c>
      <c r="H72" s="67">
        <f t="shared" si="1"/>
        <v>1.1592740743</v>
      </c>
      <c r="I72" s="67">
        <f t="shared" si="1"/>
        <v>1.1940522965290001</v>
      </c>
      <c r="J72" s="67">
        <f t="shared" si="1"/>
        <v>1.2298738654248702</v>
      </c>
      <c r="K72" s="67">
        <f t="shared" si="1"/>
        <v>1.2667700813876164</v>
      </c>
      <c r="L72" s="67">
        <f t="shared" si="1"/>
        <v>1.304773183829245</v>
      </c>
      <c r="M72" s="67">
        <f t="shared" si="1"/>
        <v>1.3439163793441222</v>
      </c>
      <c r="N72" s="67">
        <f t="shared" si="1"/>
        <v>1.384233870724446</v>
      </c>
      <c r="O72" s="67">
        <f t="shared" si="1"/>
        <v>1.4257608868461793</v>
      </c>
      <c r="P72" s="67">
        <f t="shared" si="1"/>
        <v>1.4685337134515648</v>
      </c>
      <c r="Q72" s="67">
        <f t="shared" si="1"/>
        <v>1.512589724855112</v>
      </c>
      <c r="R72" s="67">
        <f t="shared" si="1"/>
        <v>1.5579674166007653</v>
      </c>
      <c r="S72" s="67">
        <f t="shared" si="1"/>
        <v>1.6047064390987884</v>
      </c>
      <c r="T72" s="67">
        <f t="shared" si="1"/>
        <v>1.652847632271752</v>
      </c>
      <c r="U72" s="67">
        <f t="shared" si="1"/>
        <v>1.7024330612399046</v>
      </c>
      <c r="V72" s="67">
        <f t="shared" si="1"/>
        <v>1.7535060530771018</v>
      </c>
      <c r="W72" s="67">
        <f t="shared" si="1"/>
        <v>1.806111234669415</v>
      </c>
      <c r="X72" s="67">
        <f t="shared" si="1"/>
        <v>1.8602945717094976</v>
      </c>
      <c r="Y72" s="67">
        <f t="shared" si="1"/>
        <v>1.9161034088607827</v>
      </c>
      <c r="Z72" s="67">
        <f t="shared" si="1"/>
        <v>1.9735865111266062</v>
      </c>
    </row>
    <row r="73" spans="1:26" ht="11.25">
      <c r="A73" s="62" t="s">
        <v>168</v>
      </c>
      <c r="B73" s="106"/>
      <c r="C73" s="74">
        <f>$B$8</f>
        <v>11819</v>
      </c>
      <c r="D73" s="68">
        <f>$C$73*D71/D72</f>
        <v>12277.990291262135</v>
      </c>
      <c r="E73" s="63">
        <f aca="true" t="shared" si="2" ref="E73:Z73">$C$73*E71/E72</f>
        <v>12754.805448204355</v>
      </c>
      <c r="F73" s="63">
        <f>$C$73*F71/F72</f>
        <v>13250.13769862006</v>
      </c>
      <c r="G73" s="63">
        <f t="shared" si="2"/>
        <v>13764.706152935398</v>
      </c>
      <c r="H73" s="63">
        <f t="shared" si="2"/>
        <v>14299.257848195028</v>
      </c>
      <c r="I73" s="63">
        <f t="shared" si="2"/>
        <v>14854.56883259095</v>
      </c>
      <c r="J73" s="63">
        <f t="shared" si="2"/>
        <v>15431.445292109045</v>
      </c>
      <c r="K73" s="63">
        <f t="shared" si="2"/>
        <v>16030.724720928813</v>
      </c>
      <c r="L73" s="63">
        <f t="shared" si="2"/>
        <v>16653.277137275563</v>
      </c>
      <c r="M73" s="63">
        <f t="shared" si="2"/>
        <v>17300.006346490147</v>
      </c>
      <c r="N73" s="63">
        <f t="shared" si="2"/>
        <v>17971.851253149962</v>
      </c>
      <c r="O73" s="63">
        <f t="shared" si="2"/>
        <v>18669.787224146075</v>
      </c>
      <c r="P73" s="63">
        <f t="shared" si="2"/>
        <v>19394.827504695437</v>
      </c>
      <c r="Q73" s="63">
        <f t="shared" si="2"/>
        <v>20148.024689343798</v>
      </c>
      <c r="R73" s="63">
        <f t="shared" si="2"/>
        <v>20930.472250095016</v>
      </c>
      <c r="S73" s="63">
        <f t="shared" si="2"/>
        <v>21743.306123885108</v>
      </c>
      <c r="T73" s="63">
        <f t="shared" si="2"/>
        <v>22587.70636170589</v>
      </c>
      <c r="U73" s="63">
        <f t="shared" si="2"/>
        <v>23464.898841772138</v>
      </c>
      <c r="V73" s="63">
        <f t="shared" si="2"/>
        <v>24376.1570492196</v>
      </c>
      <c r="W73" s="63">
        <f t="shared" si="2"/>
        <v>25322.803924917447</v>
      </c>
      <c r="X73" s="63">
        <f t="shared" si="2"/>
        <v>26306.213786079286</v>
      </c>
      <c r="Y73" s="63">
        <f t="shared" si="2"/>
        <v>27327.814321461006</v>
      </c>
      <c r="Z73" s="63">
        <f t="shared" si="2"/>
        <v>28389.088664042014</v>
      </c>
    </row>
    <row r="74" spans="1:26" ht="11.25">
      <c r="A74" s="77"/>
      <c r="B74" s="8"/>
      <c r="C74" s="82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3" ht="11.25">
      <c r="A75" s="56"/>
      <c r="B75" s="8"/>
      <c r="C75" s="74"/>
    </row>
    <row r="76" spans="1:3" ht="11.25">
      <c r="A76" s="62" t="s">
        <v>151</v>
      </c>
      <c r="B76" s="8"/>
      <c r="C76" s="74"/>
    </row>
    <row r="77" spans="1:26" ht="11.25">
      <c r="A77" s="1" t="s">
        <v>11</v>
      </c>
      <c r="B77" s="106"/>
      <c r="C77" s="74">
        <f aca="true" t="shared" si="3" ref="C77:Z77">C32*C$72</f>
        <v>0</v>
      </c>
      <c r="D77" s="74">
        <f t="shared" si="3"/>
        <v>4264.2</v>
      </c>
      <c r="E77" s="74">
        <f t="shared" si="3"/>
        <v>10248.294</v>
      </c>
      <c r="F77" s="74">
        <f t="shared" si="3"/>
        <v>0</v>
      </c>
      <c r="G77" s="74">
        <f t="shared" si="3"/>
        <v>0</v>
      </c>
      <c r="H77" s="74">
        <f t="shared" si="3"/>
        <v>0</v>
      </c>
      <c r="I77" s="74">
        <f t="shared" si="3"/>
        <v>0</v>
      </c>
      <c r="J77" s="74">
        <f t="shared" si="3"/>
        <v>0</v>
      </c>
      <c r="K77" s="74">
        <f t="shared" si="3"/>
        <v>0</v>
      </c>
      <c r="L77" s="74">
        <f t="shared" si="3"/>
        <v>0</v>
      </c>
      <c r="M77" s="74">
        <f t="shared" si="3"/>
        <v>0</v>
      </c>
      <c r="N77" s="74">
        <f t="shared" si="3"/>
        <v>0</v>
      </c>
      <c r="O77" s="74">
        <f t="shared" si="3"/>
        <v>0</v>
      </c>
      <c r="P77" s="74">
        <f t="shared" si="3"/>
        <v>0</v>
      </c>
      <c r="Q77" s="74">
        <f t="shared" si="3"/>
        <v>0</v>
      </c>
      <c r="R77" s="74">
        <f t="shared" si="3"/>
        <v>0</v>
      </c>
      <c r="S77" s="74">
        <f t="shared" si="3"/>
        <v>0</v>
      </c>
      <c r="T77" s="74">
        <f t="shared" si="3"/>
        <v>0</v>
      </c>
      <c r="U77" s="74">
        <f t="shared" si="3"/>
        <v>0</v>
      </c>
      <c r="V77" s="74">
        <f t="shared" si="3"/>
        <v>0</v>
      </c>
      <c r="W77" s="74">
        <f t="shared" si="3"/>
        <v>0</v>
      </c>
      <c r="X77" s="74">
        <f t="shared" si="3"/>
        <v>0</v>
      </c>
      <c r="Y77" s="74">
        <f t="shared" si="3"/>
        <v>0</v>
      </c>
      <c r="Z77" s="74">
        <f t="shared" si="3"/>
        <v>0</v>
      </c>
    </row>
    <row r="78" spans="1:26" ht="11.25">
      <c r="A78" s="1" t="s">
        <v>12</v>
      </c>
      <c r="B78" s="106"/>
      <c r="C78" s="74">
        <f aca="true" t="shared" si="4" ref="C78:Z78">C33*C$72</f>
        <v>0</v>
      </c>
      <c r="D78" s="74">
        <f t="shared" si="4"/>
        <v>1412.13</v>
      </c>
      <c r="E78" s="74">
        <f t="shared" si="4"/>
        <v>10248.294</v>
      </c>
      <c r="F78" s="74">
        <f t="shared" si="4"/>
        <v>2591.948444</v>
      </c>
      <c r="G78" s="74">
        <f t="shared" si="4"/>
        <v>371.4179073</v>
      </c>
      <c r="H78" s="74">
        <f t="shared" si="4"/>
        <v>0</v>
      </c>
      <c r="I78" s="74">
        <f t="shared" si="4"/>
        <v>0</v>
      </c>
      <c r="J78" s="74">
        <f t="shared" si="4"/>
        <v>153.73423317810878</v>
      </c>
      <c r="K78" s="74">
        <f t="shared" si="4"/>
        <v>0</v>
      </c>
      <c r="L78" s="74">
        <f t="shared" si="4"/>
        <v>0</v>
      </c>
      <c r="M78" s="74">
        <f t="shared" si="4"/>
        <v>0</v>
      </c>
      <c r="N78" s="74">
        <f t="shared" si="4"/>
        <v>1128.1506046404234</v>
      </c>
      <c r="O78" s="74">
        <f t="shared" si="4"/>
        <v>0</v>
      </c>
      <c r="P78" s="74">
        <f t="shared" si="4"/>
        <v>0</v>
      </c>
      <c r="Q78" s="74">
        <f t="shared" si="4"/>
        <v>1157.1311395141606</v>
      </c>
      <c r="R78" s="74">
        <f t="shared" si="4"/>
        <v>194.74592707509566</v>
      </c>
      <c r="S78" s="74">
        <f t="shared" si="4"/>
        <v>0</v>
      </c>
      <c r="T78" s="74">
        <f t="shared" si="4"/>
        <v>0</v>
      </c>
      <c r="U78" s="74">
        <f t="shared" si="4"/>
        <v>0</v>
      </c>
      <c r="V78" s="74">
        <f t="shared" si="4"/>
        <v>4296.0898300389</v>
      </c>
      <c r="W78" s="74">
        <f t="shared" si="4"/>
        <v>0</v>
      </c>
      <c r="X78" s="74">
        <f t="shared" si="4"/>
        <v>232.5368214636872</v>
      </c>
      <c r="Y78" s="74">
        <f t="shared" si="4"/>
        <v>0</v>
      </c>
      <c r="Z78" s="74">
        <f t="shared" si="4"/>
        <v>0</v>
      </c>
    </row>
    <row r="79" spans="1:26" ht="11.25">
      <c r="A79" s="1" t="s">
        <v>69</v>
      </c>
      <c r="B79" s="106"/>
      <c r="C79" s="74">
        <f aca="true" t="shared" si="5" ref="C79:Z79">C34*C$72</f>
        <v>60</v>
      </c>
      <c r="D79" s="74">
        <f t="shared" si="5"/>
        <v>41.2</v>
      </c>
      <c r="E79" s="74">
        <f t="shared" si="5"/>
        <v>0</v>
      </c>
      <c r="F79" s="74">
        <f t="shared" si="5"/>
        <v>0</v>
      </c>
      <c r="G79" s="74">
        <f t="shared" si="5"/>
        <v>0</v>
      </c>
      <c r="H79" s="74">
        <f t="shared" si="5"/>
        <v>0</v>
      </c>
      <c r="I79" s="74">
        <f t="shared" si="5"/>
        <v>0</v>
      </c>
      <c r="J79" s="74">
        <f t="shared" si="5"/>
        <v>0</v>
      </c>
      <c r="K79" s="74">
        <f t="shared" si="5"/>
        <v>0</v>
      </c>
      <c r="L79" s="74">
        <f t="shared" si="5"/>
        <v>0</v>
      </c>
      <c r="M79" s="74">
        <f t="shared" si="5"/>
        <v>0</v>
      </c>
      <c r="N79" s="74">
        <f t="shared" si="5"/>
        <v>0</v>
      </c>
      <c r="O79" s="74">
        <f t="shared" si="5"/>
        <v>142.57608868461793</v>
      </c>
      <c r="P79" s="74">
        <f t="shared" si="5"/>
        <v>0</v>
      </c>
      <c r="Q79" s="74">
        <f t="shared" si="5"/>
        <v>0</v>
      </c>
      <c r="R79" s="74">
        <f t="shared" si="5"/>
        <v>0</v>
      </c>
      <c r="S79" s="74">
        <f t="shared" si="5"/>
        <v>0</v>
      </c>
      <c r="T79" s="74">
        <f t="shared" si="5"/>
        <v>0</v>
      </c>
      <c r="U79" s="74">
        <f t="shared" si="5"/>
        <v>0</v>
      </c>
      <c r="V79" s="74">
        <f t="shared" si="5"/>
        <v>0</v>
      </c>
      <c r="W79" s="74">
        <f t="shared" si="5"/>
        <v>0</v>
      </c>
      <c r="X79" s="74">
        <f t="shared" si="5"/>
        <v>0</v>
      </c>
      <c r="Y79" s="74">
        <f t="shared" si="5"/>
        <v>0</v>
      </c>
      <c r="Z79" s="74">
        <f t="shared" si="5"/>
        <v>0</v>
      </c>
    </row>
    <row r="80" spans="1:26" ht="11.25">
      <c r="A80" s="1" t="s">
        <v>30</v>
      </c>
      <c r="B80" s="106"/>
      <c r="C80" s="74">
        <f aca="true" t="shared" si="6" ref="C80:Z80">C35*C$72</f>
        <v>400</v>
      </c>
      <c r="D80" s="74">
        <f t="shared" si="6"/>
        <v>103</v>
      </c>
      <c r="E80" s="74">
        <f t="shared" si="6"/>
        <v>0</v>
      </c>
      <c r="F80" s="74">
        <f t="shared" si="6"/>
        <v>0</v>
      </c>
      <c r="G80" s="74">
        <f t="shared" si="6"/>
        <v>0</v>
      </c>
      <c r="H80" s="74">
        <f t="shared" si="6"/>
        <v>0</v>
      </c>
      <c r="I80" s="74">
        <f t="shared" si="6"/>
        <v>0</v>
      </c>
      <c r="J80" s="74">
        <f t="shared" si="6"/>
        <v>0</v>
      </c>
      <c r="K80" s="74">
        <f t="shared" si="6"/>
        <v>0</v>
      </c>
      <c r="L80" s="74">
        <f t="shared" si="6"/>
        <v>0</v>
      </c>
      <c r="M80" s="74">
        <f t="shared" si="6"/>
        <v>0</v>
      </c>
      <c r="N80" s="74">
        <f t="shared" si="6"/>
        <v>0</v>
      </c>
      <c r="O80" s="74">
        <f t="shared" si="6"/>
        <v>0</v>
      </c>
      <c r="P80" s="74">
        <f t="shared" si="6"/>
        <v>0</v>
      </c>
      <c r="Q80" s="74">
        <f t="shared" si="6"/>
        <v>0</v>
      </c>
      <c r="R80" s="74">
        <f t="shared" si="6"/>
        <v>0</v>
      </c>
      <c r="S80" s="74">
        <f t="shared" si="6"/>
        <v>0</v>
      </c>
      <c r="T80" s="74">
        <f t="shared" si="6"/>
        <v>0</v>
      </c>
      <c r="U80" s="74">
        <f t="shared" si="6"/>
        <v>0</v>
      </c>
      <c r="V80" s="74">
        <f t="shared" si="6"/>
        <v>0</v>
      </c>
      <c r="W80" s="74">
        <f t="shared" si="6"/>
        <v>0</v>
      </c>
      <c r="X80" s="74">
        <f t="shared" si="6"/>
        <v>0</v>
      </c>
      <c r="Y80" s="74">
        <f t="shared" si="6"/>
        <v>0</v>
      </c>
      <c r="Z80" s="74">
        <f t="shared" si="6"/>
        <v>0</v>
      </c>
    </row>
    <row r="81" spans="1:26" ht="11.25">
      <c r="A81" s="1" t="s">
        <v>13</v>
      </c>
      <c r="B81" s="106"/>
      <c r="C81" s="74">
        <f aca="true" t="shared" si="7" ref="C81:Z81">C36*C$72</f>
        <v>800</v>
      </c>
      <c r="D81" s="74">
        <f t="shared" si="7"/>
        <v>927</v>
      </c>
      <c r="E81" s="74">
        <f t="shared" si="7"/>
        <v>1050.291</v>
      </c>
      <c r="F81" s="74">
        <f t="shared" si="7"/>
        <v>546.3635</v>
      </c>
      <c r="G81" s="74">
        <f t="shared" si="7"/>
        <v>0</v>
      </c>
      <c r="H81" s="74">
        <f t="shared" si="7"/>
        <v>0</v>
      </c>
      <c r="I81" s="74">
        <f t="shared" si="7"/>
        <v>0</v>
      </c>
      <c r="J81" s="74">
        <f t="shared" si="7"/>
        <v>0</v>
      </c>
      <c r="K81" s="74">
        <f t="shared" si="7"/>
        <v>0</v>
      </c>
      <c r="L81" s="74">
        <f t="shared" si="7"/>
        <v>0</v>
      </c>
      <c r="M81" s="74">
        <f t="shared" si="7"/>
        <v>0</v>
      </c>
      <c r="N81" s="74">
        <f t="shared" si="7"/>
        <v>0</v>
      </c>
      <c r="O81" s="74">
        <f t="shared" si="7"/>
        <v>0</v>
      </c>
      <c r="P81" s="74">
        <f t="shared" si="7"/>
        <v>0</v>
      </c>
      <c r="Q81" s="74">
        <f t="shared" si="7"/>
        <v>0</v>
      </c>
      <c r="R81" s="74">
        <f t="shared" si="7"/>
        <v>0</v>
      </c>
      <c r="S81" s="74">
        <f t="shared" si="7"/>
        <v>0</v>
      </c>
      <c r="T81" s="74">
        <f t="shared" si="7"/>
        <v>0</v>
      </c>
      <c r="U81" s="74">
        <f t="shared" si="7"/>
        <v>0</v>
      </c>
      <c r="V81" s="74">
        <f t="shared" si="7"/>
        <v>0</v>
      </c>
      <c r="W81" s="74">
        <f t="shared" si="7"/>
        <v>0</v>
      </c>
      <c r="X81" s="74">
        <f t="shared" si="7"/>
        <v>0</v>
      </c>
      <c r="Y81" s="74">
        <f t="shared" si="7"/>
        <v>0</v>
      </c>
      <c r="Z81" s="74">
        <f t="shared" si="7"/>
        <v>0</v>
      </c>
    </row>
    <row r="82" spans="1:26" ht="11.25">
      <c r="A82" s="56" t="s">
        <v>71</v>
      </c>
      <c r="B82" s="106"/>
      <c r="C82" s="74">
        <f aca="true" t="shared" si="8" ref="C82:Z82">C37*C$72</f>
        <v>400</v>
      </c>
      <c r="D82" s="74">
        <f t="shared" si="8"/>
        <v>0</v>
      </c>
      <c r="E82" s="74">
        <f t="shared" si="8"/>
        <v>0</v>
      </c>
      <c r="F82" s="74">
        <f t="shared" si="8"/>
        <v>0</v>
      </c>
      <c r="G82" s="74">
        <f t="shared" si="8"/>
        <v>0</v>
      </c>
      <c r="H82" s="74">
        <f t="shared" si="8"/>
        <v>0</v>
      </c>
      <c r="I82" s="74">
        <f t="shared" si="8"/>
        <v>0</v>
      </c>
      <c r="J82" s="74">
        <f t="shared" si="8"/>
        <v>0</v>
      </c>
      <c r="K82" s="74">
        <f t="shared" si="8"/>
        <v>0</v>
      </c>
      <c r="L82" s="74">
        <f t="shared" si="8"/>
        <v>0</v>
      </c>
      <c r="M82" s="74">
        <f t="shared" si="8"/>
        <v>0</v>
      </c>
      <c r="N82" s="74">
        <f t="shared" si="8"/>
        <v>0</v>
      </c>
      <c r="O82" s="74">
        <f t="shared" si="8"/>
        <v>0</v>
      </c>
      <c r="P82" s="74">
        <f t="shared" si="8"/>
        <v>0</v>
      </c>
      <c r="Q82" s="74">
        <f t="shared" si="8"/>
        <v>0</v>
      </c>
      <c r="R82" s="74">
        <f t="shared" si="8"/>
        <v>0</v>
      </c>
      <c r="S82" s="74">
        <f t="shared" si="8"/>
        <v>0</v>
      </c>
      <c r="T82" s="74">
        <f t="shared" si="8"/>
        <v>0</v>
      </c>
      <c r="U82" s="74">
        <f t="shared" si="8"/>
        <v>0</v>
      </c>
      <c r="V82" s="74">
        <f t="shared" si="8"/>
        <v>0</v>
      </c>
      <c r="W82" s="74">
        <f t="shared" si="8"/>
        <v>0</v>
      </c>
      <c r="X82" s="74">
        <f t="shared" si="8"/>
        <v>0</v>
      </c>
      <c r="Y82" s="74">
        <f t="shared" si="8"/>
        <v>0</v>
      </c>
      <c r="Z82" s="74">
        <f t="shared" si="8"/>
        <v>0</v>
      </c>
    </row>
    <row r="83" spans="1:26" ht="11.25">
      <c r="A83" s="1" t="s">
        <v>14</v>
      </c>
      <c r="B83" s="106"/>
      <c r="C83" s="74">
        <f aca="true" t="shared" si="9" ref="C83:Z83">C38*C$72</f>
        <v>300</v>
      </c>
      <c r="D83" s="74">
        <f t="shared" si="9"/>
        <v>1436.8500000000001</v>
      </c>
      <c r="E83" s="74">
        <f t="shared" si="9"/>
        <v>3500.97</v>
      </c>
      <c r="F83" s="74">
        <f t="shared" si="9"/>
        <v>1269.748774</v>
      </c>
      <c r="G83" s="74">
        <f t="shared" si="9"/>
        <v>0</v>
      </c>
      <c r="H83" s="74">
        <f t="shared" si="9"/>
        <v>0</v>
      </c>
      <c r="I83" s="74">
        <f t="shared" si="9"/>
        <v>0</v>
      </c>
      <c r="J83" s="74">
        <f t="shared" si="9"/>
        <v>0</v>
      </c>
      <c r="K83" s="74">
        <f t="shared" si="9"/>
        <v>0</v>
      </c>
      <c r="L83" s="74">
        <f t="shared" si="9"/>
        <v>0</v>
      </c>
      <c r="M83" s="74">
        <f t="shared" si="9"/>
        <v>0</v>
      </c>
      <c r="N83" s="74">
        <f t="shared" si="9"/>
        <v>0</v>
      </c>
      <c r="O83" s="74">
        <f t="shared" si="9"/>
        <v>0</v>
      </c>
      <c r="P83" s="74">
        <f t="shared" si="9"/>
        <v>0</v>
      </c>
      <c r="Q83" s="74">
        <f t="shared" si="9"/>
        <v>0</v>
      </c>
      <c r="R83" s="74">
        <f t="shared" si="9"/>
        <v>0</v>
      </c>
      <c r="S83" s="74">
        <f t="shared" si="9"/>
        <v>0</v>
      </c>
      <c r="T83" s="74">
        <f t="shared" si="9"/>
        <v>0</v>
      </c>
      <c r="U83" s="74">
        <f t="shared" si="9"/>
        <v>0</v>
      </c>
      <c r="V83" s="74">
        <f t="shared" si="9"/>
        <v>0</v>
      </c>
      <c r="W83" s="74">
        <f t="shared" si="9"/>
        <v>0</v>
      </c>
      <c r="X83" s="74">
        <f t="shared" si="9"/>
        <v>0</v>
      </c>
      <c r="Y83" s="74">
        <f t="shared" si="9"/>
        <v>0</v>
      </c>
      <c r="Z83" s="74">
        <f t="shared" si="9"/>
        <v>0</v>
      </c>
    </row>
    <row r="84" spans="1:26" ht="11.25">
      <c r="A84" s="63" t="s">
        <v>156</v>
      </c>
      <c r="B84" s="106"/>
      <c r="C84" s="63">
        <f>(C77+C78+C79+C80+C81-C82+C83)</f>
        <v>1160</v>
      </c>
      <c r="D84" s="63">
        <f aca="true" t="shared" si="10" ref="D84:Z84">(D77+D78+D79+D80+D81-D82+D83)</f>
        <v>8184.38</v>
      </c>
      <c r="E84" s="63">
        <f t="shared" si="10"/>
        <v>25047.849000000002</v>
      </c>
      <c r="F84" s="63">
        <f t="shared" si="10"/>
        <v>4408.060718</v>
      </c>
      <c r="G84" s="63">
        <f t="shared" si="10"/>
        <v>371.4179073</v>
      </c>
      <c r="H84" s="63">
        <f t="shared" si="10"/>
        <v>0</v>
      </c>
      <c r="I84" s="63">
        <f t="shared" si="10"/>
        <v>0</v>
      </c>
      <c r="J84" s="63">
        <f t="shared" si="10"/>
        <v>153.73423317810878</v>
      </c>
      <c r="K84" s="63">
        <f t="shared" si="10"/>
        <v>0</v>
      </c>
      <c r="L84" s="63">
        <f t="shared" si="10"/>
        <v>0</v>
      </c>
      <c r="M84" s="63">
        <f t="shared" si="10"/>
        <v>0</v>
      </c>
      <c r="N84" s="63">
        <f t="shared" si="10"/>
        <v>1128.1506046404234</v>
      </c>
      <c r="O84" s="63">
        <f t="shared" si="10"/>
        <v>142.57608868461793</v>
      </c>
      <c r="P84" s="63">
        <f t="shared" si="10"/>
        <v>0</v>
      </c>
      <c r="Q84" s="63">
        <f t="shared" si="10"/>
        <v>1157.1311395141606</v>
      </c>
      <c r="R84" s="63">
        <f t="shared" si="10"/>
        <v>194.74592707509566</v>
      </c>
      <c r="S84" s="63">
        <f t="shared" si="10"/>
        <v>0</v>
      </c>
      <c r="T84" s="63">
        <f t="shared" si="10"/>
        <v>0</v>
      </c>
      <c r="U84" s="63">
        <f t="shared" si="10"/>
        <v>0</v>
      </c>
      <c r="V84" s="63">
        <f t="shared" si="10"/>
        <v>4296.0898300389</v>
      </c>
      <c r="W84" s="63">
        <f t="shared" si="10"/>
        <v>0</v>
      </c>
      <c r="X84" s="63">
        <f t="shared" si="10"/>
        <v>232.5368214636872</v>
      </c>
      <c r="Y84" s="63">
        <f t="shared" si="10"/>
        <v>0</v>
      </c>
      <c r="Z84" s="63">
        <f t="shared" si="10"/>
        <v>0</v>
      </c>
    </row>
    <row r="85" ht="11.25"/>
    <row r="86" ht="11.25">
      <c r="A86" s="62" t="s">
        <v>65</v>
      </c>
    </row>
    <row r="87" spans="1:25" ht="11.25">
      <c r="A87" s="83" t="s">
        <v>21</v>
      </c>
      <c r="B87" s="106"/>
      <c r="F87" s="63">
        <f>SUM($C77:E77)/$B$41</f>
        <v>725.6247</v>
      </c>
      <c r="G87" s="63">
        <f>SUM($C77:F77)/$B$41</f>
        <v>725.6247</v>
      </c>
      <c r="H87" s="63">
        <f>SUM($C77:$G$77)/$B$41</f>
        <v>725.6247</v>
      </c>
      <c r="I87" s="63">
        <f>SUM($C77:$G$77)/$B$41</f>
        <v>725.6247</v>
      </c>
      <c r="J87" s="63">
        <f>SUM($C77:$G$77)/$B$41</f>
        <v>725.6247</v>
      </c>
      <c r="K87" s="63">
        <f>SUM($C77:$G$77)/$B$41</f>
        <v>725.6247</v>
      </c>
      <c r="L87" s="63">
        <f>SUM($C77:$G$77)/$B$41</f>
        <v>725.6247</v>
      </c>
      <c r="M87" s="63">
        <f>SUM($C77:$G$77)/$B$41</f>
        <v>725.6247</v>
      </c>
      <c r="N87" s="63">
        <f>SUM($C77:$G$77)/$B$41</f>
        <v>725.6247</v>
      </c>
      <c r="O87" s="63">
        <f>SUM($C77:$G$77)/$B$41</f>
        <v>725.6247</v>
      </c>
      <c r="P87" s="63">
        <f>SUM($C77:$G$77)/$B$41</f>
        <v>725.6247</v>
      </c>
      <c r="Q87" s="63">
        <f>SUM($C77:$G$77)/$B$41</f>
        <v>725.6247</v>
      </c>
      <c r="R87" s="63">
        <f>SUM($C77:$G$77)/$B$41</f>
        <v>725.6247</v>
      </c>
      <c r="S87" s="63">
        <f>SUM($C77:$G$77)/$B$41</f>
        <v>725.6247</v>
      </c>
      <c r="T87" s="63">
        <f>SUM($C77:$G$77)/$B$41</f>
        <v>725.6247</v>
      </c>
      <c r="U87" s="63">
        <f>SUM($C77:$G$77)/$B$41</f>
        <v>725.6247</v>
      </c>
      <c r="V87" s="63">
        <f>SUM($C77:$G$77)/$B$41</f>
        <v>725.6247</v>
      </c>
      <c r="W87" s="63">
        <f>SUM($C77:$G$77)/$B$41</f>
        <v>725.6247</v>
      </c>
      <c r="X87" s="63">
        <f>SUM($C77:$G$77)/$B$41</f>
        <v>725.6247</v>
      </c>
      <c r="Y87" s="63">
        <f>SUM($C77:$G$77)/$B$41</f>
        <v>725.6247</v>
      </c>
    </row>
    <row r="88" spans="1:14" ht="11.25">
      <c r="A88" s="83" t="s">
        <v>23</v>
      </c>
      <c r="B88" s="106"/>
      <c r="F88" s="63">
        <f>SUM($C78:E78)/$B$42</f>
        <v>1665.774857142857</v>
      </c>
      <c r="G88" s="63">
        <f>SUM($C78:F78)/$B$42</f>
        <v>2036.0532062857142</v>
      </c>
      <c r="H88" s="63">
        <f>SUM($C78:$G$78)/$B$42</f>
        <v>2089.112907328571</v>
      </c>
      <c r="I88" s="63">
        <f>SUM($C78:$G$78)/$B$42</f>
        <v>2089.112907328571</v>
      </c>
      <c r="J88" s="63">
        <f>SUM($C78:$G$78)/$B$42</f>
        <v>2089.112907328571</v>
      </c>
      <c r="K88" s="63">
        <f>SUM($C78:$G$78)/$B$42</f>
        <v>2089.112907328571</v>
      </c>
      <c r="L88" s="63">
        <f>SUM($C78:$G$78)/$B$42</f>
        <v>2089.112907328571</v>
      </c>
      <c r="M88" s="63">
        <f>SUM($F78:$G$78)/$B$42</f>
        <v>423.3380501857143</v>
      </c>
      <c r="N88" s="63">
        <f>SUM($G78:$G$78)/$B$42</f>
        <v>53.05970104285715</v>
      </c>
    </row>
    <row r="89" spans="1:17" ht="11.25">
      <c r="A89" s="83" t="s">
        <v>22</v>
      </c>
      <c r="B89" s="106"/>
      <c r="K89" s="63">
        <f aca="true" t="shared" si="11" ref="K89:Q89">$J$78/$B$43</f>
        <v>21.962033311158397</v>
      </c>
      <c r="L89" s="63">
        <f t="shared" si="11"/>
        <v>21.962033311158397</v>
      </c>
      <c r="M89" s="63">
        <f t="shared" si="11"/>
        <v>21.962033311158397</v>
      </c>
      <c r="N89" s="63">
        <f t="shared" si="11"/>
        <v>21.962033311158397</v>
      </c>
      <c r="O89" s="63">
        <f t="shared" si="11"/>
        <v>21.962033311158397</v>
      </c>
      <c r="P89" s="63">
        <f t="shared" si="11"/>
        <v>21.962033311158397</v>
      </c>
      <c r="Q89" s="63">
        <f t="shared" si="11"/>
        <v>21.962033311158397</v>
      </c>
    </row>
    <row r="90" spans="1:21" ht="11.25">
      <c r="A90" s="83" t="s">
        <v>24</v>
      </c>
      <c r="B90" s="106"/>
      <c r="O90" s="63">
        <f aca="true" t="shared" si="12" ref="O90:U90">$N$78/$B$43</f>
        <v>161.16437209148904</v>
      </c>
      <c r="P90" s="63">
        <f t="shared" si="12"/>
        <v>161.16437209148904</v>
      </c>
      <c r="Q90" s="63">
        <f t="shared" si="12"/>
        <v>161.16437209148904</v>
      </c>
      <c r="R90" s="63">
        <f t="shared" si="12"/>
        <v>161.16437209148904</v>
      </c>
      <c r="S90" s="63">
        <f t="shared" si="12"/>
        <v>161.16437209148904</v>
      </c>
      <c r="T90" s="63">
        <f t="shared" si="12"/>
        <v>161.16437209148904</v>
      </c>
      <c r="U90" s="63">
        <f t="shared" si="12"/>
        <v>161.16437209148904</v>
      </c>
    </row>
    <row r="91" spans="1:24" ht="11.25">
      <c r="A91" s="83" t="s">
        <v>25</v>
      </c>
      <c r="B91" s="106"/>
      <c r="R91" s="63">
        <f aca="true" t="shared" si="13" ref="R91:X91">$Q$78/$B$43</f>
        <v>165.30444850202295</v>
      </c>
      <c r="S91" s="63">
        <f t="shared" si="13"/>
        <v>165.30444850202295</v>
      </c>
      <c r="T91" s="63">
        <f t="shared" si="13"/>
        <v>165.30444850202295</v>
      </c>
      <c r="U91" s="63">
        <f t="shared" si="13"/>
        <v>165.30444850202295</v>
      </c>
      <c r="V91" s="63">
        <f t="shared" si="13"/>
        <v>165.30444850202295</v>
      </c>
      <c r="W91" s="63">
        <f t="shared" si="13"/>
        <v>165.30444850202295</v>
      </c>
      <c r="X91" s="63">
        <f t="shared" si="13"/>
        <v>165.30444850202295</v>
      </c>
    </row>
    <row r="92" spans="1:25" ht="11.25">
      <c r="A92" s="83" t="s">
        <v>26</v>
      </c>
      <c r="B92" s="106"/>
      <c r="S92" s="63">
        <f aca="true" t="shared" si="14" ref="S92:Y92">$R$78/$B$43</f>
        <v>27.820846725013666</v>
      </c>
      <c r="T92" s="63">
        <f t="shared" si="14"/>
        <v>27.820846725013666</v>
      </c>
      <c r="U92" s="63">
        <f t="shared" si="14"/>
        <v>27.820846725013666</v>
      </c>
      <c r="V92" s="63">
        <f t="shared" si="14"/>
        <v>27.820846725013666</v>
      </c>
      <c r="W92" s="63">
        <f t="shared" si="14"/>
        <v>27.820846725013666</v>
      </c>
      <c r="X92" s="63">
        <f t="shared" si="14"/>
        <v>27.820846725013666</v>
      </c>
      <c r="Y92" s="63">
        <f t="shared" si="14"/>
        <v>27.820846725013666</v>
      </c>
    </row>
    <row r="93" spans="1:26" ht="11.25">
      <c r="A93" s="83" t="s">
        <v>27</v>
      </c>
      <c r="B93" s="106"/>
      <c r="W93" s="63">
        <f>$V$78/$B$43</f>
        <v>613.7271185769857</v>
      </c>
      <c r="X93" s="63">
        <f>$V$78/$B$43</f>
        <v>613.7271185769857</v>
      </c>
      <c r="Y93" s="63">
        <f>$V$78/$B$43</f>
        <v>613.7271185769857</v>
      </c>
      <c r="Z93" s="63">
        <f>$V$78/$B$43</f>
        <v>613.7271185769857</v>
      </c>
    </row>
    <row r="94" spans="1:26" ht="11.25">
      <c r="A94" s="83" t="s">
        <v>28</v>
      </c>
      <c r="B94" s="106"/>
      <c r="Y94" s="63">
        <f>$X$78/$B$43</f>
        <v>33.21954592338388</v>
      </c>
      <c r="Z94" s="63">
        <f>$X$78/$B$43</f>
        <v>33.21954592338388</v>
      </c>
    </row>
    <row r="95" spans="1:21" ht="11.25">
      <c r="A95" s="83" t="s">
        <v>29</v>
      </c>
      <c r="B95" s="106"/>
      <c r="F95" s="63">
        <f>SUM($C$79:E79)/$B$44</f>
        <v>16.866666666666667</v>
      </c>
      <c r="G95" s="63">
        <f>SUM($C$79:F79)/$B$44</f>
        <v>16.866666666666667</v>
      </c>
      <c r="H95" s="63">
        <f>SUM($C$79:$G$79)/$B$44</f>
        <v>16.866666666666667</v>
      </c>
      <c r="I95" s="63">
        <f>SUM($C$79:$G$79)/$B$44</f>
        <v>16.866666666666667</v>
      </c>
      <c r="J95" s="63">
        <f>SUM($C$79:$G$79)/$B$44</f>
        <v>16.866666666666667</v>
      </c>
      <c r="K95" s="63">
        <f>SUM($C$79:$G$79)/$B$44</f>
        <v>16.866666666666667</v>
      </c>
      <c r="P95" s="63">
        <f aca="true" t="shared" si="15" ref="P95:U95">$O$79/$B$44</f>
        <v>23.76268144743632</v>
      </c>
      <c r="Q95" s="63">
        <f t="shared" si="15"/>
        <v>23.76268144743632</v>
      </c>
      <c r="R95" s="63">
        <f t="shared" si="15"/>
        <v>23.76268144743632</v>
      </c>
      <c r="S95" s="63">
        <f t="shared" si="15"/>
        <v>23.76268144743632</v>
      </c>
      <c r="T95" s="63">
        <f t="shared" si="15"/>
        <v>23.76268144743632</v>
      </c>
      <c r="U95" s="63">
        <f t="shared" si="15"/>
        <v>23.76268144743632</v>
      </c>
    </row>
    <row r="96" spans="1:26" ht="11.25">
      <c r="A96" s="83" t="s">
        <v>70</v>
      </c>
      <c r="B96" s="106"/>
      <c r="F96" s="63">
        <f>(SUM($C$80:$E$81)+SUM($C$83:$E$83))/$B$45</f>
        <v>425.90555000000006</v>
      </c>
      <c r="G96" s="63">
        <f>(SUM($C$80:$F$81)+SUM($C$83:$F$83))/$B$45</f>
        <v>516.7111637</v>
      </c>
      <c r="H96" s="63">
        <f aca="true" t="shared" si="16" ref="H96:Y96">(SUM($C$80:$G$81)+SUM($C$83:$G$83))/$B$45</f>
        <v>516.7111637</v>
      </c>
      <c r="I96" s="63">
        <f t="shared" si="16"/>
        <v>516.7111637</v>
      </c>
      <c r="J96" s="63">
        <f t="shared" si="16"/>
        <v>516.7111637</v>
      </c>
      <c r="K96" s="63">
        <f t="shared" si="16"/>
        <v>516.7111637</v>
      </c>
      <c r="L96" s="63">
        <f t="shared" si="16"/>
        <v>516.7111637</v>
      </c>
      <c r="M96" s="63">
        <f t="shared" si="16"/>
        <v>516.7111637</v>
      </c>
      <c r="N96" s="63">
        <f t="shared" si="16"/>
        <v>516.7111637</v>
      </c>
      <c r="O96" s="63">
        <f t="shared" si="16"/>
        <v>516.7111637</v>
      </c>
      <c r="P96" s="63">
        <f t="shared" si="16"/>
        <v>516.7111637</v>
      </c>
      <c r="Q96" s="63">
        <f t="shared" si="16"/>
        <v>516.7111637</v>
      </c>
      <c r="R96" s="63">
        <f t="shared" si="16"/>
        <v>516.7111637</v>
      </c>
      <c r="S96" s="63">
        <f t="shared" si="16"/>
        <v>516.7111637</v>
      </c>
      <c r="T96" s="63">
        <f t="shared" si="16"/>
        <v>516.7111637</v>
      </c>
      <c r="U96" s="63">
        <f t="shared" si="16"/>
        <v>516.7111637</v>
      </c>
      <c r="V96" s="63">
        <f t="shared" si="16"/>
        <v>516.7111637</v>
      </c>
      <c r="W96" s="63">
        <f t="shared" si="16"/>
        <v>516.7111637</v>
      </c>
      <c r="X96" s="63">
        <f t="shared" si="16"/>
        <v>516.7111637</v>
      </c>
      <c r="Y96" s="63">
        <f t="shared" si="16"/>
        <v>516.7111637</v>
      </c>
      <c r="Z96" s="63">
        <f>(SUM($F$80:$G$81)+SUM($F$83:$G$83))/$B$45</f>
        <v>90.80561370000001</v>
      </c>
    </row>
    <row r="97" ht="11.25">
      <c r="A97" s="1"/>
    </row>
    <row r="98" ht="11.25">
      <c r="A98" s="84" t="s">
        <v>43</v>
      </c>
    </row>
    <row r="99" spans="1:26" ht="11.25">
      <c r="A99" s="83" t="s">
        <v>44</v>
      </c>
      <c r="C99" s="63">
        <v>0</v>
      </c>
      <c r="D99" s="63">
        <f>C103</f>
        <v>1560</v>
      </c>
      <c r="E99" s="63">
        <f aca="true" t="shared" si="17" ref="E99:Z99">D103</f>
        <v>9744.380000000001</v>
      </c>
      <c r="F99" s="63">
        <f>E103</f>
        <v>34792.22900000001</v>
      </c>
      <c r="G99" s="63">
        <f t="shared" si="17"/>
        <v>36366.11794419048</v>
      </c>
      <c r="H99" s="63">
        <f t="shared" si="17"/>
        <v>33442.2801148381</v>
      </c>
      <c r="I99" s="63">
        <f t="shared" si="17"/>
        <v>30093.96467714286</v>
      </c>
      <c r="J99" s="63">
        <f t="shared" si="17"/>
        <v>26745.649239447623</v>
      </c>
      <c r="K99" s="63">
        <f t="shared" si="17"/>
        <v>23551.068034930493</v>
      </c>
      <c r="L99" s="63">
        <f t="shared" si="17"/>
        <v>20180.790563924096</v>
      </c>
      <c r="M99" s="63">
        <f t="shared" si="17"/>
        <v>16827.379759584368</v>
      </c>
      <c r="N99" s="63">
        <f t="shared" si="17"/>
        <v>15139.743812387496</v>
      </c>
      <c r="O99" s="63">
        <f t="shared" si="17"/>
        <v>14950.536818973904</v>
      </c>
      <c r="P99" s="63">
        <f t="shared" si="17"/>
        <v>13667.650638555875</v>
      </c>
      <c r="Q99" s="63">
        <f t="shared" si="17"/>
        <v>12218.425688005791</v>
      </c>
      <c r="R99" s="63">
        <f t="shared" si="17"/>
        <v>11926.331876969867</v>
      </c>
      <c r="S99" s="63">
        <f t="shared" si="17"/>
        <v>10528.510438304014</v>
      </c>
      <c r="T99" s="63">
        <f t="shared" si="17"/>
        <v>8908.122225838051</v>
      </c>
      <c r="U99" s="63">
        <f t="shared" si="17"/>
        <v>7287.734013372089</v>
      </c>
      <c r="V99" s="63">
        <f t="shared" si="17"/>
        <v>5667.345800906127</v>
      </c>
      <c r="W99" s="63">
        <f t="shared" si="17"/>
        <v>8527.97447201799</v>
      </c>
      <c r="X99" s="63">
        <f t="shared" si="17"/>
        <v>6478.7861945139675</v>
      </c>
      <c r="Y99" s="63">
        <f t="shared" si="17"/>
        <v>4662.134738473633</v>
      </c>
      <c r="Z99" s="63">
        <f t="shared" si="17"/>
        <v>2745.0313635482494</v>
      </c>
    </row>
    <row r="100" spans="1:26" ht="11.25">
      <c r="A100" s="83" t="s">
        <v>45</v>
      </c>
      <c r="C100" s="63">
        <f>SUM(C87:C96)</f>
        <v>0</v>
      </c>
      <c r="D100" s="63">
        <f>SUM(D87:D96)</f>
        <v>0</v>
      </c>
      <c r="E100" s="63">
        <f aca="true" t="shared" si="18" ref="E100:Z100">SUM(E87:E96)</f>
        <v>0</v>
      </c>
      <c r="F100" s="63">
        <f t="shared" si="18"/>
        <v>2834.1717738095235</v>
      </c>
      <c r="G100" s="63">
        <f t="shared" si="18"/>
        <v>3295.2557366523806</v>
      </c>
      <c r="H100" s="63">
        <f t="shared" si="18"/>
        <v>3348.315437695238</v>
      </c>
      <c r="I100" s="63">
        <f t="shared" si="18"/>
        <v>3348.315437695238</v>
      </c>
      <c r="J100" s="63">
        <f t="shared" si="18"/>
        <v>3348.315437695238</v>
      </c>
      <c r="K100" s="63">
        <f t="shared" si="18"/>
        <v>3370.277471006396</v>
      </c>
      <c r="L100" s="63">
        <f t="shared" si="18"/>
        <v>3353.410804339729</v>
      </c>
      <c r="M100" s="63">
        <f t="shared" si="18"/>
        <v>1687.6359471968726</v>
      </c>
      <c r="N100" s="63">
        <f t="shared" si="18"/>
        <v>1317.3575980540154</v>
      </c>
      <c r="O100" s="63">
        <f t="shared" si="18"/>
        <v>1425.4622691026475</v>
      </c>
      <c r="P100" s="63">
        <f t="shared" si="18"/>
        <v>1449.2249505500838</v>
      </c>
      <c r="Q100" s="63">
        <f t="shared" si="18"/>
        <v>1449.2249505500838</v>
      </c>
      <c r="R100" s="63">
        <f t="shared" si="18"/>
        <v>1592.5673657409484</v>
      </c>
      <c r="S100" s="63">
        <f t="shared" si="18"/>
        <v>1620.3882124659622</v>
      </c>
      <c r="T100" s="63">
        <f t="shared" si="18"/>
        <v>1620.3882124659622</v>
      </c>
      <c r="U100" s="63">
        <f t="shared" si="18"/>
        <v>1620.3882124659622</v>
      </c>
      <c r="V100" s="63">
        <f t="shared" si="18"/>
        <v>1435.4611589270366</v>
      </c>
      <c r="W100" s="63">
        <f t="shared" si="18"/>
        <v>2049.188277504022</v>
      </c>
      <c r="X100" s="63">
        <f t="shared" si="18"/>
        <v>2049.188277504022</v>
      </c>
      <c r="Y100" s="63">
        <f t="shared" si="18"/>
        <v>1917.1033749253834</v>
      </c>
      <c r="Z100" s="63">
        <f t="shared" si="18"/>
        <v>737.7522782003696</v>
      </c>
    </row>
    <row r="101" spans="1:26" ht="11.25">
      <c r="A101" s="83" t="s">
        <v>46</v>
      </c>
      <c r="C101" s="63">
        <f>B101+C100</f>
        <v>0</v>
      </c>
      <c r="D101" s="63">
        <f>C101+D100</f>
        <v>0</v>
      </c>
      <c r="E101" s="63">
        <f aca="true" t="shared" si="19" ref="E101:Z101">D101+E100</f>
        <v>0</v>
      </c>
      <c r="F101" s="63">
        <f t="shared" si="19"/>
        <v>2834.1717738095235</v>
      </c>
      <c r="G101" s="63">
        <f t="shared" si="19"/>
        <v>6129.427510461905</v>
      </c>
      <c r="H101" s="63">
        <f t="shared" si="19"/>
        <v>9477.742948157142</v>
      </c>
      <c r="I101" s="63">
        <f t="shared" si="19"/>
        <v>12826.058385852379</v>
      </c>
      <c r="J101" s="63">
        <f t="shared" si="19"/>
        <v>16174.373823547616</v>
      </c>
      <c r="K101" s="63">
        <f t="shared" si="19"/>
        <v>19544.651294554013</v>
      </c>
      <c r="L101" s="63">
        <f t="shared" si="19"/>
        <v>22898.06209889374</v>
      </c>
      <c r="M101" s="63">
        <f t="shared" si="19"/>
        <v>24585.698046090612</v>
      </c>
      <c r="N101" s="63">
        <f t="shared" si="19"/>
        <v>25903.055644144628</v>
      </c>
      <c r="O101" s="63">
        <f t="shared" si="19"/>
        <v>27328.517913247277</v>
      </c>
      <c r="P101" s="63">
        <f t="shared" si="19"/>
        <v>28777.74286379736</v>
      </c>
      <c r="Q101" s="63">
        <f t="shared" si="19"/>
        <v>30226.967814347445</v>
      </c>
      <c r="R101" s="63">
        <f t="shared" si="19"/>
        <v>31819.535180088395</v>
      </c>
      <c r="S101" s="63">
        <f t="shared" si="19"/>
        <v>33439.92339255436</v>
      </c>
      <c r="T101" s="63">
        <f t="shared" si="19"/>
        <v>35060.311605020324</v>
      </c>
      <c r="U101" s="63">
        <f t="shared" si="19"/>
        <v>36680.69981748629</v>
      </c>
      <c r="V101" s="63">
        <f t="shared" si="19"/>
        <v>38116.160976413325</v>
      </c>
      <c r="W101" s="63">
        <f t="shared" si="19"/>
        <v>40165.349253917346</v>
      </c>
      <c r="X101" s="63">
        <f t="shared" si="19"/>
        <v>42214.53753142137</v>
      </c>
      <c r="Y101" s="63">
        <f t="shared" si="19"/>
        <v>44131.64090634675</v>
      </c>
      <c r="Z101" s="63">
        <f t="shared" si="19"/>
        <v>44869.39318454712</v>
      </c>
    </row>
    <row r="102" spans="1:26" ht="11.25">
      <c r="A102" s="83" t="s">
        <v>47</v>
      </c>
      <c r="C102" s="63">
        <f aca="true" t="shared" si="20" ref="C102:Z102">C77+C78+C79+C80+C81+C83</f>
        <v>1560</v>
      </c>
      <c r="D102" s="63">
        <f t="shared" si="20"/>
        <v>8184.38</v>
      </c>
      <c r="E102" s="63">
        <f t="shared" si="20"/>
        <v>25047.849000000002</v>
      </c>
      <c r="F102" s="63">
        <f t="shared" si="20"/>
        <v>4408.060718</v>
      </c>
      <c r="G102" s="63">
        <f t="shared" si="20"/>
        <v>371.4179073</v>
      </c>
      <c r="H102" s="63">
        <f t="shared" si="20"/>
        <v>0</v>
      </c>
      <c r="I102" s="63">
        <f t="shared" si="20"/>
        <v>0</v>
      </c>
      <c r="J102" s="63">
        <f t="shared" si="20"/>
        <v>153.73423317810878</v>
      </c>
      <c r="K102" s="63">
        <f t="shared" si="20"/>
        <v>0</v>
      </c>
      <c r="L102" s="63">
        <f t="shared" si="20"/>
        <v>0</v>
      </c>
      <c r="M102" s="63">
        <f t="shared" si="20"/>
        <v>0</v>
      </c>
      <c r="N102" s="63">
        <f t="shared" si="20"/>
        <v>1128.1506046404234</v>
      </c>
      <c r="O102" s="63">
        <f t="shared" si="20"/>
        <v>142.57608868461793</v>
      </c>
      <c r="P102" s="63">
        <f t="shared" si="20"/>
        <v>0</v>
      </c>
      <c r="Q102" s="63">
        <f t="shared" si="20"/>
        <v>1157.1311395141606</v>
      </c>
      <c r="R102" s="63">
        <f t="shared" si="20"/>
        <v>194.74592707509566</v>
      </c>
      <c r="S102" s="63">
        <f t="shared" si="20"/>
        <v>0</v>
      </c>
      <c r="T102" s="63">
        <f t="shared" si="20"/>
        <v>0</v>
      </c>
      <c r="U102" s="63">
        <f t="shared" si="20"/>
        <v>0</v>
      </c>
      <c r="V102" s="63">
        <f t="shared" si="20"/>
        <v>4296.0898300389</v>
      </c>
      <c r="W102" s="63">
        <f t="shared" si="20"/>
        <v>0</v>
      </c>
      <c r="X102" s="63">
        <f t="shared" si="20"/>
        <v>232.5368214636872</v>
      </c>
      <c r="Y102" s="63">
        <f t="shared" si="20"/>
        <v>0</v>
      </c>
      <c r="Z102" s="63">
        <f t="shared" si="20"/>
        <v>0</v>
      </c>
    </row>
    <row r="103" spans="1:26" ht="11.25">
      <c r="A103" s="83" t="s">
        <v>48</v>
      </c>
      <c r="C103" s="63">
        <f>C99-C100+C102</f>
        <v>1560</v>
      </c>
      <c r="D103" s="63">
        <f>D99-D100+D102</f>
        <v>9744.380000000001</v>
      </c>
      <c r="E103" s="63">
        <f aca="true" t="shared" si="21" ref="E103:Z103">E99-E100+E102</f>
        <v>34792.22900000001</v>
      </c>
      <c r="F103" s="63">
        <f>F99-F100+F102</f>
        <v>36366.11794419048</v>
      </c>
      <c r="G103" s="63">
        <f t="shared" si="21"/>
        <v>33442.2801148381</v>
      </c>
      <c r="H103" s="63">
        <f t="shared" si="21"/>
        <v>30093.96467714286</v>
      </c>
      <c r="I103" s="63">
        <f t="shared" si="21"/>
        <v>26745.649239447623</v>
      </c>
      <c r="J103" s="63">
        <f t="shared" si="21"/>
        <v>23551.068034930493</v>
      </c>
      <c r="K103" s="63">
        <f t="shared" si="21"/>
        <v>20180.790563924096</v>
      </c>
      <c r="L103" s="63">
        <f t="shared" si="21"/>
        <v>16827.379759584368</v>
      </c>
      <c r="M103" s="63">
        <f t="shared" si="21"/>
        <v>15139.743812387496</v>
      </c>
      <c r="N103" s="63">
        <f t="shared" si="21"/>
        <v>14950.536818973904</v>
      </c>
      <c r="O103" s="63">
        <f t="shared" si="21"/>
        <v>13667.650638555875</v>
      </c>
      <c r="P103" s="63">
        <f t="shared" si="21"/>
        <v>12218.425688005791</v>
      </c>
      <c r="Q103" s="63">
        <f t="shared" si="21"/>
        <v>11926.331876969867</v>
      </c>
      <c r="R103" s="63">
        <f t="shared" si="21"/>
        <v>10528.510438304014</v>
      </c>
      <c r="S103" s="63">
        <f t="shared" si="21"/>
        <v>8908.122225838051</v>
      </c>
      <c r="T103" s="63">
        <f t="shared" si="21"/>
        <v>7287.734013372089</v>
      </c>
      <c r="U103" s="63">
        <f t="shared" si="21"/>
        <v>5667.345800906127</v>
      </c>
      <c r="V103" s="63">
        <f t="shared" si="21"/>
        <v>8527.97447201799</v>
      </c>
      <c r="W103" s="63">
        <f t="shared" si="21"/>
        <v>6478.7861945139675</v>
      </c>
      <c r="X103" s="63">
        <f t="shared" si="21"/>
        <v>4662.134738473633</v>
      </c>
      <c r="Y103" s="63">
        <f t="shared" si="21"/>
        <v>2745.0313635482494</v>
      </c>
      <c r="Z103" s="63">
        <f t="shared" si="21"/>
        <v>2007.2790853478798</v>
      </c>
    </row>
    <row r="104" ht="11.25"/>
    <row r="105" spans="1:12" ht="11.25">
      <c r="A105" s="62" t="s">
        <v>170</v>
      </c>
      <c r="E105" s="85"/>
      <c r="F105" s="85"/>
      <c r="G105" s="85"/>
      <c r="H105" s="85"/>
      <c r="I105" s="85"/>
      <c r="J105" s="85"/>
      <c r="K105" s="85"/>
      <c r="L105" s="85"/>
    </row>
    <row r="106" spans="1:14" s="86" customFormat="1" ht="11.25">
      <c r="A106" s="86" t="s">
        <v>50</v>
      </c>
      <c r="B106" s="106"/>
      <c r="C106" s="86">
        <v>0</v>
      </c>
      <c r="D106" s="86">
        <f aca="true" t="shared" si="22" ref="D106:N106">C110</f>
        <v>0</v>
      </c>
      <c r="E106" s="86">
        <f t="shared" si="22"/>
        <v>0</v>
      </c>
      <c r="F106" s="86">
        <f>E110</f>
        <v>230</v>
      </c>
      <c r="G106" s="86">
        <f t="shared" si="22"/>
        <v>262</v>
      </c>
      <c r="H106" s="86">
        <f t="shared" si="22"/>
        <v>229.25</v>
      </c>
      <c r="I106" s="86">
        <f t="shared" si="22"/>
        <v>196.5</v>
      </c>
      <c r="J106" s="86">
        <f t="shared" si="22"/>
        <v>163.75</v>
      </c>
      <c r="K106" s="86">
        <f t="shared" si="22"/>
        <v>131</v>
      </c>
      <c r="L106" s="86">
        <f t="shared" si="22"/>
        <v>98.25</v>
      </c>
      <c r="M106" s="86">
        <f t="shared" si="22"/>
        <v>65.5</v>
      </c>
      <c r="N106" s="86">
        <f t="shared" si="22"/>
        <v>32.75</v>
      </c>
    </row>
    <row r="107" spans="1:14" s="86" customFormat="1" ht="11.25">
      <c r="A107" s="86" t="s">
        <v>49</v>
      </c>
      <c r="B107" s="106"/>
      <c r="C107" s="86">
        <f aca="true" t="shared" si="23" ref="C107:H107">C47</f>
        <v>0</v>
      </c>
      <c r="D107" s="86">
        <f t="shared" si="23"/>
        <v>0</v>
      </c>
      <c r="E107" s="86">
        <f t="shared" si="23"/>
        <v>230</v>
      </c>
      <c r="F107" s="86">
        <f t="shared" si="23"/>
        <v>32</v>
      </c>
      <c r="G107" s="86">
        <f t="shared" si="23"/>
        <v>0</v>
      </c>
      <c r="H107" s="86">
        <f t="shared" si="23"/>
        <v>0</v>
      </c>
      <c r="I107" s="86">
        <f aca="true" t="shared" si="24" ref="I107:N107">K56</f>
        <v>0</v>
      </c>
      <c r="J107" s="86">
        <f t="shared" si="24"/>
        <v>0</v>
      </c>
      <c r="K107" s="86">
        <f t="shared" si="24"/>
        <v>0</v>
      </c>
      <c r="L107" s="86">
        <f t="shared" si="24"/>
        <v>0</v>
      </c>
      <c r="M107" s="86">
        <f t="shared" si="24"/>
        <v>0</v>
      </c>
      <c r="N107" s="86">
        <f t="shared" si="24"/>
        <v>0</v>
      </c>
    </row>
    <row r="108" spans="1:14" s="86" customFormat="1" ht="11.25">
      <c r="A108" s="86" t="s">
        <v>72</v>
      </c>
      <c r="B108" s="106"/>
      <c r="C108" s="86">
        <f aca="true" t="shared" si="25" ref="C108:N108">C106*$B$49</f>
        <v>0</v>
      </c>
      <c r="D108" s="86">
        <f t="shared" si="25"/>
        <v>0</v>
      </c>
      <c r="E108" s="86">
        <f t="shared" si="25"/>
        <v>0</v>
      </c>
      <c r="F108" s="86">
        <f>F106*$B$49</f>
        <v>28.75</v>
      </c>
      <c r="G108" s="86">
        <f t="shared" si="25"/>
        <v>32.75</v>
      </c>
      <c r="H108" s="86">
        <f t="shared" si="25"/>
        <v>28.65625</v>
      </c>
      <c r="I108" s="86">
        <f t="shared" si="25"/>
        <v>24.5625</v>
      </c>
      <c r="J108" s="86">
        <f t="shared" si="25"/>
        <v>20.46875</v>
      </c>
      <c r="K108" s="86">
        <f t="shared" si="25"/>
        <v>16.375</v>
      </c>
      <c r="L108" s="86">
        <f t="shared" si="25"/>
        <v>12.28125</v>
      </c>
      <c r="M108" s="86">
        <f t="shared" si="25"/>
        <v>8.1875</v>
      </c>
      <c r="N108" s="86">
        <f t="shared" si="25"/>
        <v>4.09375</v>
      </c>
    </row>
    <row r="109" spans="1:14" s="87" customFormat="1" ht="11.25">
      <c r="A109" s="87" t="s">
        <v>40</v>
      </c>
      <c r="B109" s="106"/>
      <c r="C109" s="87">
        <v>0</v>
      </c>
      <c r="D109" s="87">
        <v>0</v>
      </c>
      <c r="E109" s="87">
        <v>0</v>
      </c>
      <c r="F109" s="87">
        <v>0</v>
      </c>
      <c r="G109" s="87">
        <f>$G$106/$B$51</f>
        <v>32.75</v>
      </c>
      <c r="H109" s="87">
        <f aca="true" t="shared" si="26" ref="H109:N109">$G$106/$B$51</f>
        <v>32.75</v>
      </c>
      <c r="I109" s="87">
        <f t="shared" si="26"/>
        <v>32.75</v>
      </c>
      <c r="J109" s="87">
        <f t="shared" si="26"/>
        <v>32.75</v>
      </c>
      <c r="K109" s="87">
        <f t="shared" si="26"/>
        <v>32.75</v>
      </c>
      <c r="L109" s="87">
        <f t="shared" si="26"/>
        <v>32.75</v>
      </c>
      <c r="M109" s="87">
        <f t="shared" si="26"/>
        <v>32.75</v>
      </c>
      <c r="N109" s="87">
        <f t="shared" si="26"/>
        <v>32.75</v>
      </c>
    </row>
    <row r="110" spans="1:14" s="86" customFormat="1" ht="11.25">
      <c r="A110" s="86" t="s">
        <v>51</v>
      </c>
      <c r="B110" s="106"/>
      <c r="C110" s="86">
        <f aca="true" t="shared" si="27" ref="C110:N110">C106+C107-C109</f>
        <v>0</v>
      </c>
      <c r="D110" s="86">
        <f t="shared" si="27"/>
        <v>0</v>
      </c>
      <c r="E110" s="86">
        <f t="shared" si="27"/>
        <v>230</v>
      </c>
      <c r="F110" s="86">
        <f>F106+F107-F109</f>
        <v>262</v>
      </c>
      <c r="G110" s="86">
        <f t="shared" si="27"/>
        <v>229.25</v>
      </c>
      <c r="H110" s="86">
        <f t="shared" si="27"/>
        <v>196.5</v>
      </c>
      <c r="I110" s="86">
        <f t="shared" si="27"/>
        <v>163.75</v>
      </c>
      <c r="J110" s="86">
        <f t="shared" si="27"/>
        <v>131</v>
      </c>
      <c r="K110" s="86">
        <f t="shared" si="27"/>
        <v>98.25</v>
      </c>
      <c r="L110" s="86">
        <f t="shared" si="27"/>
        <v>65.5</v>
      </c>
      <c r="M110" s="86">
        <f t="shared" si="27"/>
        <v>32.75</v>
      </c>
      <c r="N110" s="86">
        <f t="shared" si="27"/>
        <v>0</v>
      </c>
    </row>
    <row r="111" spans="1:14" s="88" customFormat="1" ht="10.5">
      <c r="A111" s="88" t="s">
        <v>171</v>
      </c>
      <c r="B111" s="89">
        <f>IRR(C111:N111)</f>
        <v>0.12499999999999926</v>
      </c>
      <c r="E111" s="88">
        <f>E107-E108-E109</f>
        <v>230</v>
      </c>
      <c r="F111" s="88">
        <f>F107-F108-F109</f>
        <v>3.25</v>
      </c>
      <c r="G111" s="88">
        <f>G107-G108-G109</f>
        <v>-65.5</v>
      </c>
      <c r="H111" s="88">
        <f aca="true" t="shared" si="28" ref="H111:N111">H107-H108-H109</f>
        <v>-61.40625</v>
      </c>
      <c r="I111" s="88">
        <f t="shared" si="28"/>
        <v>-57.3125</v>
      </c>
      <c r="J111" s="88">
        <f t="shared" si="28"/>
        <v>-53.21875</v>
      </c>
      <c r="K111" s="88">
        <f t="shared" si="28"/>
        <v>-49.125</v>
      </c>
      <c r="L111" s="88">
        <f t="shared" si="28"/>
        <v>-45.03125</v>
      </c>
      <c r="M111" s="88">
        <f t="shared" si="28"/>
        <v>-40.9375</v>
      </c>
      <c r="N111" s="88">
        <f t="shared" si="28"/>
        <v>-36.84375</v>
      </c>
    </row>
    <row r="112" ht="11.25"/>
    <row r="113" spans="1:12" ht="11.25">
      <c r="A113" s="62" t="s">
        <v>172</v>
      </c>
      <c r="E113" s="85"/>
      <c r="F113" s="85"/>
      <c r="G113" s="85"/>
      <c r="H113" s="85"/>
      <c r="I113" s="85"/>
      <c r="J113" s="85"/>
      <c r="K113" s="85"/>
      <c r="L113" s="85"/>
    </row>
    <row r="114" spans="1:14" ht="11.25">
      <c r="A114" s="63" t="s">
        <v>50</v>
      </c>
      <c r="C114" s="63">
        <f>(C106/C$73)*10^6</f>
        <v>0</v>
      </c>
      <c r="D114" s="63">
        <f aca="true" t="shared" si="29" ref="D114:N114">(D106/D$73)*10^6</f>
        <v>0</v>
      </c>
      <c r="E114" s="63">
        <f t="shared" si="29"/>
        <v>0</v>
      </c>
      <c r="F114" s="63">
        <f>(F106/F$73)*10^6</f>
        <v>17358.310172425863</v>
      </c>
      <c r="G114" s="63">
        <f t="shared" si="29"/>
        <v>19034.187660019685</v>
      </c>
      <c r="H114" s="63">
        <f t="shared" si="29"/>
        <v>16032.30058746985</v>
      </c>
      <c r="I114" s="63">
        <f t="shared" si="29"/>
        <v>13228.253355215444</v>
      </c>
      <c r="J114" s="63">
        <f t="shared" si="29"/>
        <v>10611.449342579368</v>
      </c>
      <c r="K114" s="63">
        <f t="shared" si="29"/>
        <v>8171.807718023737</v>
      </c>
      <c r="L114" s="63">
        <f t="shared" si="29"/>
        <v>5899.739684274147</v>
      </c>
      <c r="M114" s="63">
        <f t="shared" si="29"/>
        <v>3786.1257786930664</v>
      </c>
      <c r="N114" s="63">
        <f t="shared" si="29"/>
        <v>1822.2941832027373</v>
      </c>
    </row>
    <row r="115" spans="1:14" ht="11.25">
      <c r="A115" s="63" t="s">
        <v>49</v>
      </c>
      <c r="B115" s="106"/>
      <c r="C115" s="63">
        <f aca="true" t="shared" si="30" ref="C115:N119">(C107/C$73)*10^6</f>
        <v>0</v>
      </c>
      <c r="D115" s="63">
        <f t="shared" si="30"/>
        <v>0</v>
      </c>
      <c r="E115" s="63">
        <f t="shared" si="30"/>
        <v>18032.419305335607</v>
      </c>
      <c r="F115" s="63">
        <f t="shared" si="30"/>
        <v>2415.0692413809898</v>
      </c>
      <c r="G115" s="63">
        <f t="shared" si="30"/>
        <v>0</v>
      </c>
      <c r="H115" s="63">
        <f t="shared" si="30"/>
        <v>0</v>
      </c>
      <c r="I115" s="63">
        <f t="shared" si="30"/>
        <v>0</v>
      </c>
      <c r="J115" s="63">
        <f t="shared" si="30"/>
        <v>0</v>
      </c>
      <c r="K115" s="63">
        <f t="shared" si="30"/>
        <v>0</v>
      </c>
      <c r="L115" s="63">
        <f t="shared" si="30"/>
        <v>0</v>
      </c>
      <c r="M115" s="63">
        <f t="shared" si="30"/>
        <v>0</v>
      </c>
      <c r="N115" s="63">
        <f t="shared" si="30"/>
        <v>0</v>
      </c>
    </row>
    <row r="116" spans="1:14" ht="11.25">
      <c r="A116" s="63" t="s">
        <v>72</v>
      </c>
      <c r="B116" s="106"/>
      <c r="C116" s="63">
        <f t="shared" si="30"/>
        <v>0</v>
      </c>
      <c r="D116" s="63">
        <f t="shared" si="30"/>
        <v>0</v>
      </c>
      <c r="E116" s="63">
        <f t="shared" si="30"/>
        <v>0</v>
      </c>
      <c r="F116" s="63">
        <f t="shared" si="30"/>
        <v>2169.788771553233</v>
      </c>
      <c r="G116" s="63">
        <f t="shared" si="30"/>
        <v>2379.2734575024606</v>
      </c>
      <c r="H116" s="63">
        <f t="shared" si="30"/>
        <v>2004.0375734337313</v>
      </c>
      <c r="I116" s="63">
        <f t="shared" si="30"/>
        <v>1653.5316694019305</v>
      </c>
      <c r="J116" s="63">
        <f t="shared" si="30"/>
        <v>1326.431167822421</v>
      </c>
      <c r="K116" s="63">
        <f t="shared" si="30"/>
        <v>1021.4759647529671</v>
      </c>
      <c r="L116" s="63">
        <f t="shared" si="30"/>
        <v>737.4674605342684</v>
      </c>
      <c r="M116" s="63">
        <f t="shared" si="30"/>
        <v>473.2657223366333</v>
      </c>
      <c r="N116" s="63">
        <f t="shared" si="30"/>
        <v>227.78677290034216</v>
      </c>
    </row>
    <row r="117" spans="1:14" ht="11.25">
      <c r="A117" s="63" t="s">
        <v>40</v>
      </c>
      <c r="B117" s="106"/>
      <c r="C117" s="63">
        <f t="shared" si="30"/>
        <v>0</v>
      </c>
      <c r="D117" s="63">
        <f t="shared" si="30"/>
        <v>0</v>
      </c>
      <c r="E117" s="63">
        <f t="shared" si="30"/>
        <v>0</v>
      </c>
      <c r="F117" s="63">
        <f t="shared" si="30"/>
        <v>0</v>
      </c>
      <c r="G117" s="63">
        <f t="shared" si="30"/>
        <v>2379.2734575024606</v>
      </c>
      <c r="H117" s="63">
        <f t="shared" si="30"/>
        <v>2290.3286553528355</v>
      </c>
      <c r="I117" s="63">
        <f t="shared" si="30"/>
        <v>2204.708892535907</v>
      </c>
      <c r="J117" s="63">
        <f t="shared" si="30"/>
        <v>2122.289868515874</v>
      </c>
      <c r="K117" s="63">
        <f t="shared" si="30"/>
        <v>2042.9519295059342</v>
      </c>
      <c r="L117" s="63">
        <f t="shared" si="30"/>
        <v>1966.5798947580488</v>
      </c>
      <c r="M117" s="63">
        <f t="shared" si="30"/>
        <v>1893.0628893465332</v>
      </c>
      <c r="N117" s="63">
        <f t="shared" si="30"/>
        <v>1822.2941832027373</v>
      </c>
    </row>
    <row r="118" spans="1:14" ht="11.25">
      <c r="A118" s="63" t="s">
        <v>51</v>
      </c>
      <c r="B118" s="106"/>
      <c r="C118" s="63">
        <f t="shared" si="30"/>
        <v>0</v>
      </c>
      <c r="D118" s="63">
        <f t="shared" si="30"/>
        <v>0</v>
      </c>
      <c r="E118" s="63">
        <f t="shared" si="30"/>
        <v>18032.419305335607</v>
      </c>
      <c r="F118" s="63">
        <f>(F110/F$73)*10^6</f>
        <v>19773.379413806855</v>
      </c>
      <c r="G118" s="63">
        <f t="shared" si="30"/>
        <v>16654.914202517226</v>
      </c>
      <c r="H118" s="63">
        <f t="shared" si="30"/>
        <v>13741.971932117014</v>
      </c>
      <c r="I118" s="63">
        <f t="shared" si="30"/>
        <v>11023.544462679536</v>
      </c>
      <c r="J118" s="63">
        <f t="shared" si="30"/>
        <v>8489.159474063496</v>
      </c>
      <c r="K118" s="63">
        <f t="shared" si="30"/>
        <v>6128.855788517803</v>
      </c>
      <c r="L118" s="63">
        <f t="shared" si="30"/>
        <v>3933.1597895160976</v>
      </c>
      <c r="M118" s="63">
        <f t="shared" si="30"/>
        <v>1893.0628893465332</v>
      </c>
      <c r="N118" s="63">
        <f t="shared" si="30"/>
        <v>0</v>
      </c>
    </row>
    <row r="119" spans="1:14" s="90" customFormat="1" ht="11.25">
      <c r="A119" s="90" t="s">
        <v>173</v>
      </c>
      <c r="B119" s="113">
        <f>IRR(C119:N119)</f>
        <v>0.08294392523364902</v>
      </c>
      <c r="C119" s="63">
        <f t="shared" si="30"/>
        <v>0</v>
      </c>
      <c r="D119" s="63">
        <f t="shared" si="30"/>
        <v>0</v>
      </c>
      <c r="E119" s="63">
        <f t="shared" si="30"/>
        <v>18032.419305335607</v>
      </c>
      <c r="F119" s="63">
        <f t="shared" si="30"/>
        <v>245.28046982775678</v>
      </c>
      <c r="G119" s="63">
        <f t="shared" si="30"/>
        <v>-4758.546915004921</v>
      </c>
      <c r="H119" s="63">
        <f t="shared" si="30"/>
        <v>-4294.366228786567</v>
      </c>
      <c r="I119" s="63">
        <f t="shared" si="30"/>
        <v>-3858.240561937838</v>
      </c>
      <c r="J119" s="63">
        <f t="shared" si="30"/>
        <v>-3448.7210363382947</v>
      </c>
      <c r="K119" s="63">
        <f t="shared" si="30"/>
        <v>-3064.4278942589017</v>
      </c>
      <c r="L119" s="63">
        <f t="shared" si="30"/>
        <v>-2704.0473552923177</v>
      </c>
      <c r="M119" s="63">
        <f t="shared" si="30"/>
        <v>-2366.3286116831664</v>
      </c>
      <c r="N119" s="63">
        <f t="shared" si="30"/>
        <v>-2050.080956103079</v>
      </c>
    </row>
    <row r="120" ht="11.25"/>
    <row r="121" ht="11.25">
      <c r="A121" s="62" t="s">
        <v>73</v>
      </c>
    </row>
    <row r="122" spans="1:26" ht="11.25">
      <c r="A122" s="63" t="s">
        <v>1</v>
      </c>
      <c r="B122" s="106"/>
      <c r="F122" s="63">
        <f>$B$13</f>
        <v>100</v>
      </c>
      <c r="G122" s="63">
        <f aca="true" t="shared" si="31" ref="G122:Z122">$B$13</f>
        <v>100</v>
      </c>
      <c r="H122" s="63">
        <f t="shared" si="31"/>
        <v>100</v>
      </c>
      <c r="I122" s="63">
        <f t="shared" si="31"/>
        <v>100</v>
      </c>
      <c r="J122" s="63">
        <f t="shared" si="31"/>
        <v>100</v>
      </c>
      <c r="K122" s="63">
        <f t="shared" si="31"/>
        <v>100</v>
      </c>
      <c r="L122" s="63">
        <f t="shared" si="31"/>
        <v>100</v>
      </c>
      <c r="M122" s="63">
        <f t="shared" si="31"/>
        <v>100</v>
      </c>
      <c r="N122" s="63">
        <f t="shared" si="31"/>
        <v>100</v>
      </c>
      <c r="O122" s="63">
        <f t="shared" si="31"/>
        <v>100</v>
      </c>
      <c r="P122" s="63">
        <f t="shared" si="31"/>
        <v>100</v>
      </c>
      <c r="Q122" s="63">
        <f t="shared" si="31"/>
        <v>100</v>
      </c>
      <c r="R122" s="63">
        <f t="shared" si="31"/>
        <v>100</v>
      </c>
      <c r="S122" s="63">
        <f t="shared" si="31"/>
        <v>100</v>
      </c>
      <c r="T122" s="63">
        <f t="shared" si="31"/>
        <v>100</v>
      </c>
      <c r="U122" s="63">
        <f t="shared" si="31"/>
        <v>100</v>
      </c>
      <c r="V122" s="63">
        <f t="shared" si="31"/>
        <v>100</v>
      </c>
      <c r="W122" s="63">
        <f t="shared" si="31"/>
        <v>100</v>
      </c>
      <c r="X122" s="63">
        <f t="shared" si="31"/>
        <v>100</v>
      </c>
      <c r="Y122" s="63">
        <f t="shared" si="31"/>
        <v>100</v>
      </c>
      <c r="Z122" s="63">
        <f t="shared" si="31"/>
        <v>100</v>
      </c>
    </row>
    <row r="123" spans="1:26" ht="11.25">
      <c r="A123" s="1" t="s">
        <v>74</v>
      </c>
      <c r="B123" s="106"/>
      <c r="C123" s="4"/>
      <c r="D123" s="4"/>
      <c r="E123" s="4"/>
      <c r="F123" s="4">
        <f>$B$14</f>
        <v>0.95</v>
      </c>
      <c r="G123" s="4">
        <f>$B$15</f>
        <v>1</v>
      </c>
      <c r="H123" s="4">
        <f aca="true" t="shared" si="32" ref="H123:Z123">$B$15</f>
        <v>1</v>
      </c>
      <c r="I123" s="4">
        <f t="shared" si="32"/>
        <v>1</v>
      </c>
      <c r="J123" s="4">
        <f t="shared" si="32"/>
        <v>1</v>
      </c>
      <c r="K123" s="4">
        <f t="shared" si="32"/>
        <v>1</v>
      </c>
      <c r="L123" s="4">
        <f t="shared" si="32"/>
        <v>1</v>
      </c>
      <c r="M123" s="4">
        <f t="shared" si="32"/>
        <v>1</v>
      </c>
      <c r="N123" s="4">
        <f t="shared" si="32"/>
        <v>1</v>
      </c>
      <c r="O123" s="4">
        <f t="shared" si="32"/>
        <v>1</v>
      </c>
      <c r="P123" s="4">
        <f t="shared" si="32"/>
        <v>1</v>
      </c>
      <c r="Q123" s="4">
        <f t="shared" si="32"/>
        <v>1</v>
      </c>
      <c r="R123" s="4">
        <f t="shared" si="32"/>
        <v>1</v>
      </c>
      <c r="S123" s="4">
        <f t="shared" si="32"/>
        <v>1</v>
      </c>
      <c r="T123" s="4">
        <f t="shared" si="32"/>
        <v>1</v>
      </c>
      <c r="U123" s="4">
        <f t="shared" si="32"/>
        <v>1</v>
      </c>
      <c r="V123" s="4">
        <f t="shared" si="32"/>
        <v>1</v>
      </c>
      <c r="W123" s="4">
        <f t="shared" si="32"/>
        <v>1</v>
      </c>
      <c r="X123" s="4">
        <f t="shared" si="32"/>
        <v>1</v>
      </c>
      <c r="Y123" s="4">
        <f t="shared" si="32"/>
        <v>1</v>
      </c>
      <c r="Z123" s="4">
        <f t="shared" si="32"/>
        <v>1</v>
      </c>
    </row>
    <row r="124" spans="1:26" ht="11.25">
      <c r="A124" s="63" t="s">
        <v>19</v>
      </c>
      <c r="B124" s="106"/>
      <c r="F124" s="63">
        <f>IF(MOD(F4,4)=0,366,365)-31-28</f>
        <v>306</v>
      </c>
      <c r="G124" s="63">
        <f>IF(MOD(G4,4)=0,366,365)</f>
        <v>366</v>
      </c>
      <c r="H124" s="63">
        <f aca="true" t="shared" si="33" ref="H124:Y124">IF(MOD(H4,4)=0,366,365)</f>
        <v>365</v>
      </c>
      <c r="I124" s="63">
        <f t="shared" si="33"/>
        <v>365</v>
      </c>
      <c r="J124" s="63">
        <f t="shared" si="33"/>
        <v>365</v>
      </c>
      <c r="K124" s="63">
        <f t="shared" si="33"/>
        <v>366</v>
      </c>
      <c r="L124" s="63">
        <f t="shared" si="33"/>
        <v>365</v>
      </c>
      <c r="M124" s="63">
        <f t="shared" si="33"/>
        <v>365</v>
      </c>
      <c r="N124" s="63">
        <f t="shared" si="33"/>
        <v>365</v>
      </c>
      <c r="O124" s="63">
        <f t="shared" si="33"/>
        <v>366</v>
      </c>
      <c r="P124" s="63">
        <f t="shared" si="33"/>
        <v>365</v>
      </c>
      <c r="Q124" s="63">
        <f t="shared" si="33"/>
        <v>365</v>
      </c>
      <c r="R124" s="63">
        <f t="shared" si="33"/>
        <v>365</v>
      </c>
      <c r="S124" s="63">
        <f t="shared" si="33"/>
        <v>366</v>
      </c>
      <c r="T124" s="63">
        <f t="shared" si="33"/>
        <v>365</v>
      </c>
      <c r="U124" s="63">
        <f t="shared" si="33"/>
        <v>365</v>
      </c>
      <c r="V124" s="63">
        <f t="shared" si="33"/>
        <v>365</v>
      </c>
      <c r="W124" s="63">
        <f t="shared" si="33"/>
        <v>366</v>
      </c>
      <c r="X124" s="63">
        <f t="shared" si="33"/>
        <v>365</v>
      </c>
      <c r="Y124" s="63">
        <f t="shared" si="33"/>
        <v>365</v>
      </c>
      <c r="Z124" s="63">
        <f>31+28</f>
        <v>59</v>
      </c>
    </row>
    <row r="125" spans="1:26" ht="11.25">
      <c r="A125" s="63" t="s">
        <v>75</v>
      </c>
      <c r="B125" s="106"/>
      <c r="F125" s="63">
        <f>F124*F122*F123</f>
        <v>29070</v>
      </c>
      <c r="G125" s="63">
        <f aca="true" t="shared" si="34" ref="G125:Z125">G124*G122*G123</f>
        <v>36600</v>
      </c>
      <c r="H125" s="63">
        <f t="shared" si="34"/>
        <v>36500</v>
      </c>
      <c r="I125" s="63">
        <f t="shared" si="34"/>
        <v>36500</v>
      </c>
      <c r="J125" s="63">
        <f t="shared" si="34"/>
        <v>36500</v>
      </c>
      <c r="K125" s="63">
        <f t="shared" si="34"/>
        <v>36600</v>
      </c>
      <c r="L125" s="63">
        <f t="shared" si="34"/>
        <v>36500</v>
      </c>
      <c r="M125" s="63">
        <f t="shared" si="34"/>
        <v>36500</v>
      </c>
      <c r="N125" s="63">
        <f t="shared" si="34"/>
        <v>36500</v>
      </c>
      <c r="O125" s="63">
        <f t="shared" si="34"/>
        <v>36600</v>
      </c>
      <c r="P125" s="63">
        <f t="shared" si="34"/>
        <v>36500</v>
      </c>
      <c r="Q125" s="63">
        <f t="shared" si="34"/>
        <v>36500</v>
      </c>
      <c r="R125" s="63">
        <f t="shared" si="34"/>
        <v>36500</v>
      </c>
      <c r="S125" s="63">
        <f t="shared" si="34"/>
        <v>36600</v>
      </c>
      <c r="T125" s="63">
        <f t="shared" si="34"/>
        <v>36500</v>
      </c>
      <c r="U125" s="63">
        <f t="shared" si="34"/>
        <v>36500</v>
      </c>
      <c r="V125" s="63">
        <f t="shared" si="34"/>
        <v>36500</v>
      </c>
      <c r="W125" s="63">
        <f t="shared" si="34"/>
        <v>36600</v>
      </c>
      <c r="X125" s="63">
        <f t="shared" si="34"/>
        <v>36500</v>
      </c>
      <c r="Y125" s="63">
        <f t="shared" si="34"/>
        <v>36500</v>
      </c>
      <c r="Z125" s="63">
        <f t="shared" si="34"/>
        <v>5900</v>
      </c>
    </row>
    <row r="126" spans="1:26" ht="11.25">
      <c r="A126" s="63" t="s">
        <v>76</v>
      </c>
      <c r="B126" s="106"/>
      <c r="F126" s="75">
        <f>$B$11*F72</f>
        <v>0.2185454</v>
      </c>
      <c r="G126" s="75">
        <f aca="true" t="shared" si="35" ref="G126:Z126">$B$11*G72</f>
        <v>0.22510176200000004</v>
      </c>
      <c r="H126" s="75">
        <f t="shared" si="35"/>
        <v>0.23185481486000004</v>
      </c>
      <c r="I126" s="75">
        <f t="shared" si="35"/>
        <v>0.23881045930580003</v>
      </c>
      <c r="J126" s="75">
        <f t="shared" si="35"/>
        <v>0.24597477308497406</v>
      </c>
      <c r="K126" s="75">
        <f t="shared" si="35"/>
        <v>0.2533540162775233</v>
      </c>
      <c r="L126" s="75">
        <f t="shared" si="35"/>
        <v>0.260954636765849</v>
      </c>
      <c r="M126" s="75">
        <f t="shared" si="35"/>
        <v>0.26878327586882444</v>
      </c>
      <c r="N126" s="75">
        <f t="shared" si="35"/>
        <v>0.2768467741448892</v>
      </c>
      <c r="O126" s="75">
        <f t="shared" si="35"/>
        <v>0.28515217736923587</v>
      </c>
      <c r="P126" s="75">
        <f t="shared" si="35"/>
        <v>0.293706742690313</v>
      </c>
      <c r="Q126" s="75">
        <f t="shared" si="35"/>
        <v>0.3025179449710224</v>
      </c>
      <c r="R126" s="75">
        <f t="shared" si="35"/>
        <v>0.3115934833201531</v>
      </c>
      <c r="S126" s="75">
        <f t="shared" si="35"/>
        <v>0.3209412878197577</v>
      </c>
      <c r="T126" s="75">
        <f t="shared" si="35"/>
        <v>0.33056952645435045</v>
      </c>
      <c r="U126" s="75">
        <f t="shared" si="35"/>
        <v>0.34048661224798094</v>
      </c>
      <c r="V126" s="75">
        <f t="shared" si="35"/>
        <v>0.35070121061542037</v>
      </c>
      <c r="W126" s="75">
        <f t="shared" si="35"/>
        <v>0.36122224693388305</v>
      </c>
      <c r="X126" s="75">
        <f t="shared" si="35"/>
        <v>0.3720589143418995</v>
      </c>
      <c r="Y126" s="75">
        <f t="shared" si="35"/>
        <v>0.38322068177215657</v>
      </c>
      <c r="Z126" s="75">
        <f t="shared" si="35"/>
        <v>0.39471730222532125</v>
      </c>
    </row>
    <row r="127" spans="1:26" ht="11.25">
      <c r="A127" s="63" t="s">
        <v>78</v>
      </c>
      <c r="B127" s="106"/>
      <c r="F127" s="63">
        <f>F126*F125</f>
        <v>6353.114778</v>
      </c>
      <c r="G127" s="63">
        <f aca="true" t="shared" si="36" ref="G127:Z127">G126*G125</f>
        <v>8238.724489200002</v>
      </c>
      <c r="H127" s="63">
        <f t="shared" si="36"/>
        <v>8462.700742390001</v>
      </c>
      <c r="I127" s="63">
        <f t="shared" si="36"/>
        <v>8716.581764661702</v>
      </c>
      <c r="J127" s="63">
        <f t="shared" si="36"/>
        <v>8978.079217601553</v>
      </c>
      <c r="K127" s="63">
        <f t="shared" si="36"/>
        <v>9272.756995757352</v>
      </c>
      <c r="L127" s="63">
        <f t="shared" si="36"/>
        <v>9524.84424195349</v>
      </c>
      <c r="M127" s="63">
        <f t="shared" si="36"/>
        <v>9810.589569212092</v>
      </c>
      <c r="N127" s="63">
        <f t="shared" si="36"/>
        <v>10104.907256288456</v>
      </c>
      <c r="O127" s="63">
        <f t="shared" si="36"/>
        <v>10436.569691714032</v>
      </c>
      <c r="P127" s="63">
        <f t="shared" si="36"/>
        <v>10720.296108196424</v>
      </c>
      <c r="Q127" s="63">
        <f t="shared" si="36"/>
        <v>11041.904991442318</v>
      </c>
      <c r="R127" s="63">
        <f t="shared" si="36"/>
        <v>11373.162141185587</v>
      </c>
      <c r="S127" s="63">
        <f t="shared" si="36"/>
        <v>11746.451134203133</v>
      </c>
      <c r="T127" s="63">
        <f t="shared" si="36"/>
        <v>12065.78771558379</v>
      </c>
      <c r="U127" s="63">
        <f t="shared" si="36"/>
        <v>12427.761347051304</v>
      </c>
      <c r="V127" s="63">
        <f t="shared" si="36"/>
        <v>12800.594187462844</v>
      </c>
      <c r="W127" s="63">
        <f t="shared" si="36"/>
        <v>13220.73423778012</v>
      </c>
      <c r="X127" s="63">
        <f t="shared" si="36"/>
        <v>13580.150373479333</v>
      </c>
      <c r="Y127" s="63">
        <f t="shared" si="36"/>
        <v>13987.554884683715</v>
      </c>
      <c r="Z127" s="63">
        <f t="shared" si="36"/>
        <v>2328.8320831293954</v>
      </c>
    </row>
    <row r="128" ht="11.25"/>
    <row r="129" ht="11.25">
      <c r="A129" s="62" t="s">
        <v>79</v>
      </c>
    </row>
    <row r="130" spans="1:26" s="107" customFormat="1" ht="11.25">
      <c r="A130" s="107" t="s">
        <v>177</v>
      </c>
      <c r="B130" s="112"/>
      <c r="F130" s="107">
        <f>F125*$B$16</f>
        <v>31977.000000000004</v>
      </c>
      <c r="G130" s="107">
        <f aca="true" t="shared" si="37" ref="G130:Z130">G125*$B$16</f>
        <v>40260</v>
      </c>
      <c r="H130" s="107">
        <f t="shared" si="37"/>
        <v>40150</v>
      </c>
      <c r="I130" s="107">
        <f t="shared" si="37"/>
        <v>40150</v>
      </c>
      <c r="J130" s="107">
        <f t="shared" si="37"/>
        <v>40150</v>
      </c>
      <c r="K130" s="107">
        <f t="shared" si="37"/>
        <v>40260</v>
      </c>
      <c r="L130" s="107">
        <f t="shared" si="37"/>
        <v>40150</v>
      </c>
      <c r="M130" s="107">
        <f t="shared" si="37"/>
        <v>40150</v>
      </c>
      <c r="N130" s="107">
        <f t="shared" si="37"/>
        <v>40150</v>
      </c>
      <c r="O130" s="107">
        <f t="shared" si="37"/>
        <v>40260</v>
      </c>
      <c r="P130" s="107">
        <f t="shared" si="37"/>
        <v>40150</v>
      </c>
      <c r="Q130" s="107">
        <f t="shared" si="37"/>
        <v>40150</v>
      </c>
      <c r="R130" s="107">
        <f t="shared" si="37"/>
        <v>40150</v>
      </c>
      <c r="S130" s="107">
        <f t="shared" si="37"/>
        <v>40260</v>
      </c>
      <c r="T130" s="107">
        <f t="shared" si="37"/>
        <v>40150</v>
      </c>
      <c r="U130" s="107">
        <f t="shared" si="37"/>
        <v>40150</v>
      </c>
      <c r="V130" s="107">
        <f t="shared" si="37"/>
        <v>40150</v>
      </c>
      <c r="W130" s="107">
        <f t="shared" si="37"/>
        <v>40260</v>
      </c>
      <c r="X130" s="107">
        <f t="shared" si="37"/>
        <v>40150</v>
      </c>
      <c r="Y130" s="107">
        <f t="shared" si="37"/>
        <v>40150</v>
      </c>
      <c r="Z130" s="107">
        <f t="shared" si="37"/>
        <v>6490.000000000001</v>
      </c>
    </row>
    <row r="131" spans="1:26" ht="11.25">
      <c r="A131" s="83" t="s">
        <v>2</v>
      </c>
      <c r="B131" s="106"/>
      <c r="F131" s="63">
        <f>F$130*$B19*F$72</f>
        <v>150.2511644997</v>
      </c>
      <c r="G131" s="63">
        <f>G$130*$B19*G$72</f>
        <v>194.84583416958003</v>
      </c>
      <c r="H131" s="63">
        <f>H$130*$B19*H$72</f>
        <v>200.14287255752353</v>
      </c>
      <c r="I131" s="63">
        <f>I$130*$B19*I$72</f>
        <v>206.14715873424925</v>
      </c>
      <c r="J131" s="63">
        <f>J$130*$B19*J$72</f>
        <v>212.33157349627672</v>
      </c>
      <c r="K131" s="63">
        <f>K$130*$B19*K$72</f>
        <v>219.30070294966137</v>
      </c>
      <c r="L131" s="63">
        <f>L$130*$B19*L$72</f>
        <v>225.2625663222</v>
      </c>
      <c r="M131" s="63">
        <f>M$130*$B19*M$72</f>
        <v>232.020443311866</v>
      </c>
      <c r="N131" s="63">
        <f>N$130*$B19*N$72</f>
        <v>238.981056611222</v>
      </c>
      <c r="O131" s="63">
        <f>O$130*$B19*O$72</f>
        <v>246.82487320903687</v>
      </c>
      <c r="P131" s="63">
        <f>P$130*$B19*P$72</f>
        <v>253.5350029588454</v>
      </c>
      <c r="Q131" s="63">
        <f>Q$130*$B19*Q$72</f>
        <v>261.1410530476108</v>
      </c>
      <c r="R131" s="63">
        <f>R$130*$B19*R$72</f>
        <v>268.97528463903916</v>
      </c>
      <c r="S131" s="63">
        <f>S$130*$B19*S$72</f>
        <v>277.80356932390407</v>
      </c>
      <c r="T131" s="63">
        <f>T$130*$B19*T$72</f>
        <v>285.3558794735566</v>
      </c>
      <c r="U131" s="63">
        <f>U$130*$B19*U$72</f>
        <v>293.91655585776334</v>
      </c>
      <c r="V131" s="63">
        <f>V$130*$B19*V$72</f>
        <v>302.73405253349625</v>
      </c>
      <c r="W131" s="63">
        <f>W$130*$B19*W$72</f>
        <v>312.6703647234998</v>
      </c>
      <c r="X131" s="63">
        <f>X$130*$B19*X$72</f>
        <v>321.17055633278625</v>
      </c>
      <c r="Y131" s="63">
        <f>Y$130*$B19*Y$72</f>
        <v>330.80567302276984</v>
      </c>
      <c r="Z131" s="63">
        <f>Z$130*$B19*Z$72</f>
        <v>55.0768787660102</v>
      </c>
    </row>
    <row r="132" spans="1:26" ht="11.25">
      <c r="A132" s="83" t="s">
        <v>3</v>
      </c>
      <c r="B132" s="106"/>
      <c r="F132" s="63">
        <f>F$130*$B20*F$72</f>
        <v>1306.8357098346003</v>
      </c>
      <c r="G132" s="63">
        <f>G$130*$B20*G$72</f>
        <v>1694.7056274284405</v>
      </c>
      <c r="H132" s="63">
        <f>H$130*$B20*H$72</f>
        <v>1740.7775427096233</v>
      </c>
      <c r="I132" s="63">
        <f>I$130*$B20*I$72</f>
        <v>1793.000868990912</v>
      </c>
      <c r="J132" s="63">
        <f>J$130*$B20*J$72</f>
        <v>1846.7908950606395</v>
      </c>
      <c r="K132" s="63">
        <f>K$130*$B20*K$72</f>
        <v>1907.4061140272875</v>
      </c>
      <c r="L132" s="63">
        <f>L$130*$B20*L$72</f>
        <v>1959.2604605698325</v>
      </c>
      <c r="M132" s="63">
        <f>M$130*$B20*M$72</f>
        <v>2018.0382743869275</v>
      </c>
      <c r="N132" s="63">
        <f>N$130*$B20*N$72</f>
        <v>2078.5794226185353</v>
      </c>
      <c r="O132" s="63">
        <f>O$130*$B20*O$72</f>
        <v>2146.8023855855768</v>
      </c>
      <c r="P132" s="63">
        <f>P$130*$B20*P$72</f>
        <v>2205.1649094560044</v>
      </c>
      <c r="Q132" s="63">
        <f>Q$130*$B20*Q$72</f>
        <v>2271.319856739685</v>
      </c>
      <c r="R132" s="63">
        <f>R$130*$B20*R$72</f>
        <v>2339.4594524418753</v>
      </c>
      <c r="S132" s="63">
        <f>S$130*$B20*S$72</f>
        <v>2416.2449983055844</v>
      </c>
      <c r="T132" s="63">
        <f>T$130*$B20*T$72</f>
        <v>2481.9325330955858</v>
      </c>
      <c r="U132" s="63">
        <f>U$130*$B20*U$72</f>
        <v>2556.390509088453</v>
      </c>
      <c r="V132" s="63">
        <f>V$130*$B20*V$72</f>
        <v>2633.082224361107</v>
      </c>
      <c r="W132" s="63">
        <f>W$130*$B20*W$72</f>
        <v>2719.5050327113704</v>
      </c>
      <c r="X132" s="63">
        <f>X$130*$B20*X$72</f>
        <v>2793.436931824699</v>
      </c>
      <c r="Y132" s="63">
        <f>Y$130*$B20*Y$72</f>
        <v>2877.24003977944</v>
      </c>
      <c r="Z132" s="63">
        <f>Z$130*$B20*Z$72</f>
        <v>479.0407594997167</v>
      </c>
    </row>
    <row r="133" spans="1:26" ht="11.25">
      <c r="A133" s="83" t="s">
        <v>4</v>
      </c>
      <c r="B133" s="106"/>
      <c r="F133" s="63">
        <f>F$130*$B21*F$72</f>
        <v>45.424770662700006</v>
      </c>
      <c r="G133" s="63">
        <f>G$130*$B21*G$72</f>
        <v>58.90688009778001</v>
      </c>
      <c r="H133" s="63">
        <f>H$130*$B21*H$72</f>
        <v>60.508310308088504</v>
      </c>
      <c r="I133" s="63">
        <f>I$130*$B21*I$72</f>
        <v>62.32355961733116</v>
      </c>
      <c r="J133" s="63">
        <f>J$130*$B21*J$72</f>
        <v>64.1932664058511</v>
      </c>
      <c r="K133" s="63">
        <f>K$130*$B21*K$72</f>
        <v>66.30021251966507</v>
      </c>
      <c r="L133" s="63">
        <f>L$130*$B21*L$72</f>
        <v>68.10263632996744</v>
      </c>
      <c r="M133" s="63">
        <f>M$130*$B21*M$72</f>
        <v>70.14571541986646</v>
      </c>
      <c r="N133" s="63">
        <f>N$130*$B21*N$72</f>
        <v>72.25008688246245</v>
      </c>
      <c r="O133" s="63">
        <f>O$130*$B21*O$72</f>
        <v>74.62147329575534</v>
      </c>
      <c r="P133" s="63">
        <f>P$130*$B21*P$72</f>
        <v>76.65011717360443</v>
      </c>
      <c r="Q133" s="63">
        <f>Q$130*$B21*Q$72</f>
        <v>78.94962068881257</v>
      </c>
      <c r="R133" s="63">
        <f>R$130*$B21*R$72</f>
        <v>81.31810930947695</v>
      </c>
      <c r="S133" s="63">
        <f>S$130*$B21*S$72</f>
        <v>83.9871256095524</v>
      </c>
      <c r="T133" s="63">
        <f>T$130*$B21*T$72</f>
        <v>86.2703821664241</v>
      </c>
      <c r="U133" s="63">
        <f>U$130*$B21*U$72</f>
        <v>88.85849363141682</v>
      </c>
      <c r="V133" s="63">
        <f>V$130*$B21*V$72</f>
        <v>91.52424844035933</v>
      </c>
      <c r="W133" s="63">
        <f>W$130*$B21*W$72</f>
        <v>94.52824980012785</v>
      </c>
      <c r="X133" s="63">
        <f>X$130*$B21*X$72</f>
        <v>97.09807517037723</v>
      </c>
      <c r="Y133" s="63">
        <f>Y$130*$B21*Y$72</f>
        <v>100.01101742548855</v>
      </c>
      <c r="Z133" s="63">
        <f>Z$130*$B21*Z$72</f>
        <v>16.651149394375178</v>
      </c>
    </row>
    <row r="134" spans="1:26" ht="11.25">
      <c r="A134" s="83" t="s">
        <v>20</v>
      </c>
      <c r="B134" s="106"/>
      <c r="F134" s="63">
        <f>F$130*$B22*F$72</f>
        <v>38.43634440690001</v>
      </c>
      <c r="G134" s="63">
        <f>G$130*$B22*G$72</f>
        <v>49.84428315966001</v>
      </c>
      <c r="H134" s="63">
        <f>H$130*$B22*H$72</f>
        <v>51.199339491459504</v>
      </c>
      <c r="I134" s="63">
        <f>I$130*$B22*I$72</f>
        <v>52.73531967620329</v>
      </c>
      <c r="J134" s="63">
        <f>J$130*$B22*J$72</f>
        <v>54.31737926648939</v>
      </c>
      <c r="K134" s="63">
        <f>K$130*$B22*K$72</f>
        <v>56.10017982433198</v>
      </c>
      <c r="L134" s="63">
        <f>L$130*$B22*L$72</f>
        <v>57.6253076638186</v>
      </c>
      <c r="M134" s="63">
        <f>M$130*$B22*M$72</f>
        <v>59.354066893733155</v>
      </c>
      <c r="N134" s="63">
        <f>N$130*$B22*N$72</f>
        <v>61.13468890054515</v>
      </c>
      <c r="O134" s="63">
        <f>O$130*$B22*O$72</f>
        <v>63.1412466348699</v>
      </c>
      <c r="P134" s="63">
        <f>P$130*$B22*P$72</f>
        <v>64.85779145458835</v>
      </c>
      <c r="Q134" s="63">
        <f>Q$130*$B22*Q$72</f>
        <v>66.80352519822601</v>
      </c>
      <c r="R134" s="63">
        <f>R$130*$B22*R$72</f>
        <v>68.8076309541728</v>
      </c>
      <c r="S134" s="63">
        <f>S$130*$B22*S$72</f>
        <v>71.06602936192894</v>
      </c>
      <c r="T134" s="63">
        <f>T$130*$B22*T$72</f>
        <v>72.99801567928192</v>
      </c>
      <c r="U134" s="63">
        <f>U$130*$B22*U$72</f>
        <v>75.18795614966038</v>
      </c>
      <c r="V134" s="63">
        <f>V$130*$B22*V$72</f>
        <v>77.4435948341502</v>
      </c>
      <c r="W134" s="63">
        <f>W$130*$B22*W$72</f>
        <v>79.98544213856972</v>
      </c>
      <c r="X134" s="63">
        <f>X$130*$B22*X$72</f>
        <v>82.15990975954996</v>
      </c>
      <c r="Y134" s="63">
        <f>Y$130*$B22*Y$72</f>
        <v>84.62470705233646</v>
      </c>
      <c r="Z134" s="63">
        <f>Z$130*$B22*Z$72</f>
        <v>14.089434102932843</v>
      </c>
    </row>
    <row r="135" spans="1:26" ht="11.25">
      <c r="A135" s="83" t="s">
        <v>33</v>
      </c>
      <c r="B135" s="106"/>
      <c r="F135" s="63">
        <f>SUM(F131:F134)</f>
        <v>1540.9479894039002</v>
      </c>
      <c r="G135" s="63">
        <f aca="true" t="shared" si="38" ref="G135:Z135">SUM(G131:G134)</f>
        <v>1998.3026248554606</v>
      </c>
      <c r="H135" s="63">
        <f t="shared" si="38"/>
        <v>2052.628065066695</v>
      </c>
      <c r="I135" s="63">
        <f t="shared" si="38"/>
        <v>2114.206907018696</v>
      </c>
      <c r="J135" s="63">
        <f t="shared" si="38"/>
        <v>2177.633114229257</v>
      </c>
      <c r="K135" s="63">
        <f t="shared" si="38"/>
        <v>2249.1072093209455</v>
      </c>
      <c r="L135" s="63">
        <f t="shared" si="38"/>
        <v>2310.250970885819</v>
      </c>
      <c r="M135" s="63">
        <f t="shared" si="38"/>
        <v>2379.558500012393</v>
      </c>
      <c r="N135" s="63">
        <f t="shared" si="38"/>
        <v>2450.945255012765</v>
      </c>
      <c r="O135" s="63">
        <f t="shared" si="38"/>
        <v>2531.389978725239</v>
      </c>
      <c r="P135" s="63">
        <f t="shared" si="38"/>
        <v>2600.2078210430427</v>
      </c>
      <c r="Q135" s="63">
        <f t="shared" si="38"/>
        <v>2678.2140556743343</v>
      </c>
      <c r="R135" s="63">
        <f t="shared" si="38"/>
        <v>2758.5604773445643</v>
      </c>
      <c r="S135" s="63">
        <f t="shared" si="38"/>
        <v>2849.10172260097</v>
      </c>
      <c r="T135" s="63">
        <f t="shared" si="38"/>
        <v>2926.5568104148483</v>
      </c>
      <c r="U135" s="63">
        <f t="shared" si="38"/>
        <v>3014.3535147272937</v>
      </c>
      <c r="V135" s="63">
        <f t="shared" si="38"/>
        <v>3104.7841201691126</v>
      </c>
      <c r="W135" s="63">
        <f t="shared" si="38"/>
        <v>3206.689089373568</v>
      </c>
      <c r="X135" s="63">
        <f t="shared" si="38"/>
        <v>3293.8654730874127</v>
      </c>
      <c r="Y135" s="63">
        <f t="shared" si="38"/>
        <v>3392.681437280035</v>
      </c>
      <c r="Z135" s="63">
        <f t="shared" si="38"/>
        <v>564.8582217630349</v>
      </c>
    </row>
    <row r="136" spans="1:26" ht="11.25">
      <c r="A136" s="63" t="s">
        <v>34</v>
      </c>
      <c r="B136" s="106"/>
      <c r="F136" s="63">
        <f>F127*(1-$B$27)*$B$25</f>
        <v>314.47918151100004</v>
      </c>
      <c r="G136" s="63">
        <f aca="true" t="shared" si="39" ref="G136:Z136">G127*(1-$B$27)*$B$25</f>
        <v>407.8168622154001</v>
      </c>
      <c r="H136" s="63">
        <f t="shared" si="39"/>
        <v>418.90368674830506</v>
      </c>
      <c r="I136" s="63">
        <f t="shared" si="39"/>
        <v>431.47079735075425</v>
      </c>
      <c r="J136" s="63">
        <f t="shared" si="39"/>
        <v>444.41492127127685</v>
      </c>
      <c r="K136" s="63">
        <f t="shared" si="39"/>
        <v>459.001471289989</v>
      </c>
      <c r="L136" s="63">
        <f t="shared" si="39"/>
        <v>471.4797899766977</v>
      </c>
      <c r="M136" s="63">
        <f t="shared" si="39"/>
        <v>485.6241836759986</v>
      </c>
      <c r="N136" s="63">
        <f t="shared" si="39"/>
        <v>500.1929091862786</v>
      </c>
      <c r="O136" s="63">
        <f t="shared" si="39"/>
        <v>516.6101997398446</v>
      </c>
      <c r="P136" s="63">
        <f t="shared" si="39"/>
        <v>530.654657355723</v>
      </c>
      <c r="Q136" s="63">
        <f t="shared" si="39"/>
        <v>546.5742970763948</v>
      </c>
      <c r="R136" s="63">
        <f t="shared" si="39"/>
        <v>562.9715259886865</v>
      </c>
      <c r="S136" s="63">
        <f t="shared" si="39"/>
        <v>581.449331143055</v>
      </c>
      <c r="T136" s="63">
        <f t="shared" si="39"/>
        <v>597.2564919213977</v>
      </c>
      <c r="U136" s="63">
        <f t="shared" si="39"/>
        <v>615.1741866790396</v>
      </c>
      <c r="V136" s="63">
        <f t="shared" si="39"/>
        <v>633.6294122794109</v>
      </c>
      <c r="W136" s="63">
        <f t="shared" si="39"/>
        <v>654.426344770116</v>
      </c>
      <c r="X136" s="63">
        <f t="shared" si="39"/>
        <v>672.217443487227</v>
      </c>
      <c r="Y136" s="63">
        <f t="shared" si="39"/>
        <v>692.3839667918439</v>
      </c>
      <c r="Z136" s="63">
        <f t="shared" si="39"/>
        <v>115.27718811490507</v>
      </c>
    </row>
    <row r="137" spans="1:26" ht="11.25">
      <c r="A137" s="63" t="s">
        <v>39</v>
      </c>
      <c r="B137" s="106"/>
      <c r="F137" s="63">
        <f>F136+F135</f>
        <v>1855.4271709149002</v>
      </c>
      <c r="G137" s="63">
        <f aca="true" t="shared" si="40" ref="G137:Z137">G136+G135</f>
        <v>2406.1194870708605</v>
      </c>
      <c r="H137" s="63">
        <f t="shared" si="40"/>
        <v>2471.531751815</v>
      </c>
      <c r="I137" s="63">
        <f t="shared" si="40"/>
        <v>2545.67770436945</v>
      </c>
      <c r="J137" s="63">
        <f t="shared" si="40"/>
        <v>2622.048035500534</v>
      </c>
      <c r="K137" s="63">
        <f t="shared" si="40"/>
        <v>2708.1086806109342</v>
      </c>
      <c r="L137" s="63">
        <f t="shared" si="40"/>
        <v>2781.7307608625165</v>
      </c>
      <c r="M137" s="63">
        <f t="shared" si="40"/>
        <v>2865.1826836883915</v>
      </c>
      <c r="N137" s="63">
        <f t="shared" si="40"/>
        <v>2951.1381641990433</v>
      </c>
      <c r="O137" s="63">
        <f t="shared" si="40"/>
        <v>3048.0001784650835</v>
      </c>
      <c r="P137" s="63">
        <f t="shared" si="40"/>
        <v>3130.8624783987657</v>
      </c>
      <c r="Q137" s="63">
        <f t="shared" si="40"/>
        <v>3224.7883527507292</v>
      </c>
      <c r="R137" s="63">
        <f t="shared" si="40"/>
        <v>3321.532003333251</v>
      </c>
      <c r="S137" s="63">
        <f t="shared" si="40"/>
        <v>3430.551053744025</v>
      </c>
      <c r="T137" s="63">
        <f t="shared" si="40"/>
        <v>3523.813302336246</v>
      </c>
      <c r="U137" s="63">
        <f t="shared" si="40"/>
        <v>3629.527701406333</v>
      </c>
      <c r="V137" s="63">
        <f t="shared" si="40"/>
        <v>3738.4135324485233</v>
      </c>
      <c r="W137" s="63">
        <f t="shared" si="40"/>
        <v>3861.115434143684</v>
      </c>
      <c r="X137" s="63">
        <f t="shared" si="40"/>
        <v>3966.08291657464</v>
      </c>
      <c r="Y137" s="63">
        <f t="shared" si="40"/>
        <v>4085.065404071879</v>
      </c>
      <c r="Z137" s="63">
        <f t="shared" si="40"/>
        <v>680.13540987794</v>
      </c>
    </row>
    <row r="138" ht="11.25">
      <c r="B138" s="106"/>
    </row>
    <row r="139" spans="1:2" ht="11.25">
      <c r="A139" s="62" t="s">
        <v>181</v>
      </c>
      <c r="B139" s="106"/>
    </row>
    <row r="140" spans="1:26" ht="11.25">
      <c r="A140" s="107" t="s">
        <v>182</v>
      </c>
      <c r="B140" s="106"/>
      <c r="F140" s="63">
        <f>F127*(1-$B$27)*$B$54</f>
        <v>524.131969185</v>
      </c>
      <c r="G140" s="63">
        <f aca="true" t="shared" si="41" ref="G140:L140">G127*(1-$B$27)*$B$54</f>
        <v>679.6947703590001</v>
      </c>
      <c r="H140" s="63">
        <f t="shared" si="41"/>
        <v>698.1728112471751</v>
      </c>
      <c r="I140" s="63">
        <f t="shared" si="41"/>
        <v>719.1179955845903</v>
      </c>
      <c r="J140" s="63">
        <f t="shared" si="41"/>
        <v>740.691535452128</v>
      </c>
      <c r="K140" s="63">
        <f t="shared" si="41"/>
        <v>765.0024521499815</v>
      </c>
      <c r="L140" s="63">
        <f t="shared" si="41"/>
        <v>785.7996499611628</v>
      </c>
      <c r="M140" s="63">
        <f>M127*(1-$B$27)*$B$54</f>
        <v>809.3736394599975</v>
      </c>
      <c r="N140" s="63">
        <f>N127*(1-$B$27)*$B$54</f>
        <v>833.6548486437975</v>
      </c>
      <c r="O140" s="63">
        <f>O127*(1-$B$27)*$B$54</f>
        <v>861.0169995664075</v>
      </c>
      <c r="P140" s="63">
        <f>P127*(1-$B$27)*$B$54</f>
        <v>884.4244289262049</v>
      </c>
      <c r="Q140" s="63">
        <f aca="true" t="shared" si="42" ref="Q140:Y140">Q127*(1-$B$27)*$B$54</f>
        <v>910.9571617939912</v>
      </c>
      <c r="R140" s="63">
        <f t="shared" si="42"/>
        <v>938.2858766478108</v>
      </c>
      <c r="S140" s="63">
        <f t="shared" si="42"/>
        <v>969.0822185717584</v>
      </c>
      <c r="T140" s="63">
        <f t="shared" si="42"/>
        <v>995.4274865356626</v>
      </c>
      <c r="U140" s="63">
        <f t="shared" si="42"/>
        <v>1025.2903111317326</v>
      </c>
      <c r="V140" s="63">
        <f t="shared" si="42"/>
        <v>1056.0490204656846</v>
      </c>
      <c r="W140" s="63">
        <f t="shared" si="42"/>
        <v>1090.7105746168597</v>
      </c>
      <c r="X140" s="63">
        <f t="shared" si="42"/>
        <v>1120.362405812045</v>
      </c>
      <c r="Y140" s="63">
        <f t="shared" si="42"/>
        <v>1153.9732779864064</v>
      </c>
      <c r="Z140" s="63">
        <v>0</v>
      </c>
    </row>
    <row r="141" spans="1:26" ht="11.25">
      <c r="A141" s="107" t="s">
        <v>174</v>
      </c>
      <c r="B141" s="106"/>
      <c r="F141" s="63">
        <f>F140-E140</f>
        <v>524.131969185</v>
      </c>
      <c r="G141" s="63">
        <f aca="true" t="shared" si="43" ref="G141:L141">G140-F140</f>
        <v>155.56280117400013</v>
      </c>
      <c r="H141" s="63">
        <f t="shared" si="43"/>
        <v>18.478040888174974</v>
      </c>
      <c r="I141" s="63">
        <f t="shared" si="43"/>
        <v>20.945184337415185</v>
      </c>
      <c r="J141" s="63">
        <f t="shared" si="43"/>
        <v>21.57353986753776</v>
      </c>
      <c r="K141" s="63">
        <f t="shared" si="43"/>
        <v>24.310916697853486</v>
      </c>
      <c r="L141" s="63">
        <f t="shared" si="43"/>
        <v>20.797197811181263</v>
      </c>
      <c r="M141" s="63">
        <f aca="true" t="shared" si="44" ref="M141:Z141">M140-L140</f>
        <v>23.57398949883475</v>
      </c>
      <c r="N141" s="63">
        <f t="shared" si="44"/>
        <v>24.2812091838</v>
      </c>
      <c r="O141" s="63">
        <f t="shared" si="44"/>
        <v>27.36215092261</v>
      </c>
      <c r="P141" s="63">
        <f t="shared" si="44"/>
        <v>23.407429359797334</v>
      </c>
      <c r="Q141" s="63">
        <f t="shared" si="44"/>
        <v>26.532732867786308</v>
      </c>
      <c r="R141" s="63">
        <f t="shared" si="44"/>
        <v>27.328714853819633</v>
      </c>
      <c r="S141" s="63">
        <f t="shared" si="44"/>
        <v>30.79634192394758</v>
      </c>
      <c r="T141" s="63">
        <f t="shared" si="44"/>
        <v>26.345267963904234</v>
      </c>
      <c r="U141" s="63">
        <f t="shared" si="44"/>
        <v>29.862824596069913</v>
      </c>
      <c r="V141" s="63">
        <f t="shared" si="44"/>
        <v>30.758709333952083</v>
      </c>
      <c r="W141" s="63">
        <f t="shared" si="44"/>
        <v>34.661554151175096</v>
      </c>
      <c r="X141" s="63">
        <f t="shared" si="44"/>
        <v>29.651831195185196</v>
      </c>
      <c r="Y141" s="63">
        <f t="shared" si="44"/>
        <v>33.610872174361475</v>
      </c>
      <c r="Z141" s="63">
        <f t="shared" si="44"/>
        <v>-1153.9732779864064</v>
      </c>
    </row>
    <row r="142" spans="1:26" ht="11.25">
      <c r="A142" s="107" t="s">
        <v>183</v>
      </c>
      <c r="B142" s="106"/>
      <c r="F142" s="63">
        <f>(F135+F136)*$B$55</f>
        <v>154.618930909575</v>
      </c>
      <c r="G142" s="63">
        <f aca="true" t="shared" si="45" ref="G142:L142">(G135+G136)*$B$55</f>
        <v>200.50995725590502</v>
      </c>
      <c r="H142" s="63">
        <f t="shared" si="45"/>
        <v>205.96097931791667</v>
      </c>
      <c r="I142" s="63">
        <f t="shared" si="45"/>
        <v>212.13980869745416</v>
      </c>
      <c r="J142" s="63">
        <f t="shared" si="45"/>
        <v>218.5040029583778</v>
      </c>
      <c r="K142" s="63">
        <f t="shared" si="45"/>
        <v>225.67572338424452</v>
      </c>
      <c r="L142" s="63">
        <f t="shared" si="45"/>
        <v>231.81089673854302</v>
      </c>
      <c r="M142" s="63">
        <f>(M135+M136)*$B$55</f>
        <v>238.76522364069928</v>
      </c>
      <c r="N142" s="63">
        <f>(N135+N136)*$B$55</f>
        <v>245.92818034992027</v>
      </c>
      <c r="O142" s="63">
        <f>(O135+O136)*$B$55</f>
        <v>254.00001487209028</v>
      </c>
      <c r="P142" s="63">
        <f>(P135+P136)*$B$55</f>
        <v>260.90520653323046</v>
      </c>
      <c r="Q142" s="63">
        <f aca="true" t="shared" si="46" ref="Q142:Y142">(Q135+Q136)*$B$55</f>
        <v>268.7323627292274</v>
      </c>
      <c r="R142" s="63">
        <f t="shared" si="46"/>
        <v>276.7943336111042</v>
      </c>
      <c r="S142" s="63">
        <f t="shared" si="46"/>
        <v>285.8792544786687</v>
      </c>
      <c r="T142" s="63">
        <f t="shared" si="46"/>
        <v>293.6511085280205</v>
      </c>
      <c r="U142" s="63">
        <f t="shared" si="46"/>
        <v>302.4606417838611</v>
      </c>
      <c r="V142" s="63">
        <f t="shared" si="46"/>
        <v>311.5344610373769</v>
      </c>
      <c r="W142" s="63">
        <f t="shared" si="46"/>
        <v>321.75961951197365</v>
      </c>
      <c r="X142" s="63">
        <f t="shared" si="46"/>
        <v>330.50690971455333</v>
      </c>
      <c r="Y142" s="63">
        <f t="shared" si="46"/>
        <v>340.4221170059899</v>
      </c>
      <c r="Z142" s="63">
        <v>0</v>
      </c>
    </row>
    <row r="143" spans="1:26" ht="11.25">
      <c r="A143" s="107" t="s">
        <v>175</v>
      </c>
      <c r="B143" s="106"/>
      <c r="F143" s="63">
        <f>F142-E142</f>
        <v>154.618930909575</v>
      </c>
      <c r="G143" s="63">
        <f aca="true" t="shared" si="47" ref="G143:L143">G142-F142</f>
        <v>45.89102634633002</v>
      </c>
      <c r="H143" s="63">
        <f t="shared" si="47"/>
        <v>5.451022062011646</v>
      </c>
      <c r="I143" s="63">
        <f t="shared" si="47"/>
        <v>6.17882937953749</v>
      </c>
      <c r="J143" s="63">
        <f t="shared" si="47"/>
        <v>6.364194260923654</v>
      </c>
      <c r="K143" s="63">
        <f t="shared" si="47"/>
        <v>7.1717204258667095</v>
      </c>
      <c r="L143" s="63">
        <f t="shared" si="47"/>
        <v>6.135173354298502</v>
      </c>
      <c r="M143" s="63">
        <f aca="true" t="shared" si="48" ref="M143:Z143">M142-L142</f>
        <v>6.954326902156254</v>
      </c>
      <c r="N143" s="63">
        <f t="shared" si="48"/>
        <v>7.1629567092209925</v>
      </c>
      <c r="O143" s="63">
        <f t="shared" si="48"/>
        <v>8.071834522170008</v>
      </c>
      <c r="P143" s="63">
        <f t="shared" si="48"/>
        <v>6.905191661140179</v>
      </c>
      <c r="Q143" s="63">
        <f t="shared" si="48"/>
        <v>7.827156195996963</v>
      </c>
      <c r="R143" s="63">
        <f t="shared" si="48"/>
        <v>8.061970881876789</v>
      </c>
      <c r="S143" s="63">
        <f t="shared" si="48"/>
        <v>9.084920867564506</v>
      </c>
      <c r="T143" s="63">
        <f t="shared" si="48"/>
        <v>7.771854049351759</v>
      </c>
      <c r="U143" s="63">
        <f t="shared" si="48"/>
        <v>8.80953325584062</v>
      </c>
      <c r="V143" s="63">
        <f t="shared" si="48"/>
        <v>9.073819253515808</v>
      </c>
      <c r="W143" s="63">
        <f t="shared" si="48"/>
        <v>10.225158474596753</v>
      </c>
      <c r="X143" s="63">
        <f t="shared" si="48"/>
        <v>8.747290202579677</v>
      </c>
      <c r="Y143" s="63">
        <f t="shared" si="48"/>
        <v>9.915207291436559</v>
      </c>
      <c r="Z143" s="63">
        <f t="shared" si="48"/>
        <v>-340.4221170059899</v>
      </c>
    </row>
    <row r="144" ht="11.25">
      <c r="B144" s="106"/>
    </row>
    <row r="145" ht="11.25">
      <c r="A145" s="62" t="s">
        <v>80</v>
      </c>
    </row>
    <row r="146" spans="1:26" ht="11.25">
      <c r="A146" s="83" t="s">
        <v>31</v>
      </c>
      <c r="B146" s="106"/>
      <c r="F146" s="63">
        <f>F127</f>
        <v>6353.114778</v>
      </c>
      <c r="G146" s="63">
        <f aca="true" t="shared" si="49" ref="G146:Z146">G127</f>
        <v>8238.724489200002</v>
      </c>
      <c r="H146" s="63">
        <f t="shared" si="49"/>
        <v>8462.700742390001</v>
      </c>
      <c r="I146" s="63">
        <f t="shared" si="49"/>
        <v>8716.581764661702</v>
      </c>
      <c r="J146" s="63">
        <f t="shared" si="49"/>
        <v>8978.079217601553</v>
      </c>
      <c r="K146" s="63">
        <f t="shared" si="49"/>
        <v>9272.756995757352</v>
      </c>
      <c r="L146" s="63">
        <f t="shared" si="49"/>
        <v>9524.84424195349</v>
      </c>
      <c r="M146" s="63">
        <f t="shared" si="49"/>
        <v>9810.589569212092</v>
      </c>
      <c r="N146" s="63">
        <f t="shared" si="49"/>
        <v>10104.907256288456</v>
      </c>
      <c r="O146" s="63">
        <f t="shared" si="49"/>
        <v>10436.569691714032</v>
      </c>
      <c r="P146" s="63">
        <f t="shared" si="49"/>
        <v>10720.296108196424</v>
      </c>
      <c r="Q146" s="63">
        <f t="shared" si="49"/>
        <v>11041.904991442318</v>
      </c>
      <c r="R146" s="63">
        <f t="shared" si="49"/>
        <v>11373.162141185587</v>
      </c>
      <c r="S146" s="63">
        <f t="shared" si="49"/>
        <v>11746.451134203133</v>
      </c>
      <c r="T146" s="63">
        <f t="shared" si="49"/>
        <v>12065.78771558379</v>
      </c>
      <c r="U146" s="63">
        <f t="shared" si="49"/>
        <v>12427.761347051304</v>
      </c>
      <c r="V146" s="63">
        <f t="shared" si="49"/>
        <v>12800.594187462844</v>
      </c>
      <c r="W146" s="63">
        <f t="shared" si="49"/>
        <v>13220.73423778012</v>
      </c>
      <c r="X146" s="63">
        <f t="shared" si="49"/>
        <v>13580.150373479333</v>
      </c>
      <c r="Y146" s="63">
        <f t="shared" si="49"/>
        <v>13987.554884683715</v>
      </c>
      <c r="Z146" s="63">
        <f t="shared" si="49"/>
        <v>2328.8320831293954</v>
      </c>
    </row>
    <row r="147" spans="1:26" ht="11.25">
      <c r="A147" s="91" t="s">
        <v>7</v>
      </c>
      <c r="B147" s="106"/>
      <c r="F147" s="103">
        <f>F146*$B$27</f>
        <v>63.531147780000005</v>
      </c>
      <c r="G147" s="63">
        <f aca="true" t="shared" si="50" ref="G147:Z147">G146*$B$27</f>
        <v>82.38724489200001</v>
      </c>
      <c r="H147" s="63">
        <f t="shared" si="50"/>
        <v>84.62700742390001</v>
      </c>
      <c r="I147" s="63">
        <f t="shared" si="50"/>
        <v>87.16581764661701</v>
      </c>
      <c r="J147" s="63">
        <f t="shared" si="50"/>
        <v>89.78079217601554</v>
      </c>
      <c r="K147" s="63">
        <f t="shared" si="50"/>
        <v>92.72756995757352</v>
      </c>
      <c r="L147" s="63">
        <f t="shared" si="50"/>
        <v>95.2484424195349</v>
      </c>
      <c r="M147" s="63">
        <f t="shared" si="50"/>
        <v>98.10589569212092</v>
      </c>
      <c r="N147" s="63">
        <f t="shared" si="50"/>
        <v>101.04907256288456</v>
      </c>
      <c r="O147" s="63">
        <f t="shared" si="50"/>
        <v>104.36569691714033</v>
      </c>
      <c r="P147" s="63">
        <f t="shared" si="50"/>
        <v>107.20296108196425</v>
      </c>
      <c r="Q147" s="63">
        <f t="shared" si="50"/>
        <v>110.41904991442318</v>
      </c>
      <c r="R147" s="63">
        <f t="shared" si="50"/>
        <v>113.73162141185587</v>
      </c>
      <c r="S147" s="63">
        <f t="shared" si="50"/>
        <v>117.46451134203133</v>
      </c>
      <c r="T147" s="63">
        <f t="shared" si="50"/>
        <v>120.65787715583791</v>
      </c>
      <c r="U147" s="63">
        <f t="shared" si="50"/>
        <v>124.27761347051305</v>
      </c>
      <c r="V147" s="63">
        <f t="shared" si="50"/>
        <v>128.00594187462843</v>
      </c>
      <c r="W147" s="63">
        <f t="shared" si="50"/>
        <v>132.2073423778012</v>
      </c>
      <c r="X147" s="63">
        <f t="shared" si="50"/>
        <v>135.80150373479333</v>
      </c>
      <c r="Y147" s="63">
        <f t="shared" si="50"/>
        <v>139.87554884683715</v>
      </c>
      <c r="Z147" s="63">
        <f t="shared" si="50"/>
        <v>23.288320831293955</v>
      </c>
    </row>
    <row r="148" spans="1:26" ht="11.25">
      <c r="A148" s="83" t="s">
        <v>32</v>
      </c>
      <c r="B148" s="106"/>
      <c r="F148" s="63">
        <f>F146-F147</f>
        <v>6289.5836302200005</v>
      </c>
      <c r="G148" s="63">
        <f aca="true" t="shared" si="51" ref="G148:Z148">G146-G147</f>
        <v>8156.337244308002</v>
      </c>
      <c r="H148" s="63">
        <f t="shared" si="51"/>
        <v>8378.073734966101</v>
      </c>
      <c r="I148" s="63">
        <f t="shared" si="51"/>
        <v>8629.415947015084</v>
      </c>
      <c r="J148" s="63">
        <f t="shared" si="51"/>
        <v>8888.298425425537</v>
      </c>
      <c r="K148" s="63">
        <f t="shared" si="51"/>
        <v>9180.02942579978</v>
      </c>
      <c r="L148" s="63">
        <f t="shared" si="51"/>
        <v>9429.595799533954</v>
      </c>
      <c r="M148" s="63">
        <f t="shared" si="51"/>
        <v>9712.483673519971</v>
      </c>
      <c r="N148" s="63">
        <f t="shared" si="51"/>
        <v>10003.858183725572</v>
      </c>
      <c r="O148" s="63">
        <f t="shared" si="51"/>
        <v>10332.203994796891</v>
      </c>
      <c r="P148" s="63">
        <f t="shared" si="51"/>
        <v>10613.09314711446</v>
      </c>
      <c r="Q148" s="63">
        <f t="shared" si="51"/>
        <v>10931.485941527895</v>
      </c>
      <c r="R148" s="63">
        <f t="shared" si="51"/>
        <v>11259.43051977373</v>
      </c>
      <c r="S148" s="63">
        <f t="shared" si="51"/>
        <v>11628.9866228611</v>
      </c>
      <c r="T148" s="63">
        <f t="shared" si="51"/>
        <v>11945.129838427953</v>
      </c>
      <c r="U148" s="63">
        <f t="shared" si="51"/>
        <v>12303.483733580792</v>
      </c>
      <c r="V148" s="63">
        <f t="shared" si="51"/>
        <v>12672.588245588217</v>
      </c>
      <c r="W148" s="63">
        <f t="shared" si="51"/>
        <v>13088.526895402318</v>
      </c>
      <c r="X148" s="63">
        <f t="shared" si="51"/>
        <v>13444.34886974454</v>
      </c>
      <c r="Y148" s="63">
        <f t="shared" si="51"/>
        <v>13847.679335836878</v>
      </c>
      <c r="Z148" s="63">
        <f t="shared" si="51"/>
        <v>2305.5437622981017</v>
      </c>
    </row>
    <row r="149" spans="1:26" ht="11.25">
      <c r="A149" s="91" t="s">
        <v>81</v>
      </c>
      <c r="B149" s="106"/>
      <c r="F149" s="63">
        <f>F137</f>
        <v>1855.4271709149002</v>
      </c>
      <c r="G149" s="63">
        <f aca="true" t="shared" si="52" ref="G149:Z149">G137</f>
        <v>2406.1194870708605</v>
      </c>
      <c r="H149" s="63">
        <f t="shared" si="52"/>
        <v>2471.531751815</v>
      </c>
      <c r="I149" s="63">
        <f t="shared" si="52"/>
        <v>2545.67770436945</v>
      </c>
      <c r="J149" s="63">
        <f t="shared" si="52"/>
        <v>2622.048035500534</v>
      </c>
      <c r="K149" s="63">
        <f t="shared" si="52"/>
        <v>2708.1086806109342</v>
      </c>
      <c r="L149" s="63">
        <f t="shared" si="52"/>
        <v>2781.7307608625165</v>
      </c>
      <c r="M149" s="63">
        <f t="shared" si="52"/>
        <v>2865.1826836883915</v>
      </c>
      <c r="N149" s="63">
        <f t="shared" si="52"/>
        <v>2951.1381641990433</v>
      </c>
      <c r="O149" s="63">
        <f t="shared" si="52"/>
        <v>3048.0001784650835</v>
      </c>
      <c r="P149" s="63">
        <f t="shared" si="52"/>
        <v>3130.8624783987657</v>
      </c>
      <c r="Q149" s="63">
        <f t="shared" si="52"/>
        <v>3224.7883527507292</v>
      </c>
      <c r="R149" s="63">
        <f t="shared" si="52"/>
        <v>3321.532003333251</v>
      </c>
      <c r="S149" s="63">
        <f t="shared" si="52"/>
        <v>3430.551053744025</v>
      </c>
      <c r="T149" s="63">
        <f t="shared" si="52"/>
        <v>3523.813302336246</v>
      </c>
      <c r="U149" s="63">
        <f t="shared" si="52"/>
        <v>3629.527701406333</v>
      </c>
      <c r="V149" s="63">
        <f t="shared" si="52"/>
        <v>3738.4135324485233</v>
      </c>
      <c r="W149" s="63">
        <f t="shared" si="52"/>
        <v>3861.115434143684</v>
      </c>
      <c r="X149" s="63">
        <f t="shared" si="52"/>
        <v>3966.08291657464</v>
      </c>
      <c r="Y149" s="63">
        <f t="shared" si="52"/>
        <v>4085.065404071879</v>
      </c>
      <c r="Z149" s="63">
        <f t="shared" si="52"/>
        <v>680.13540987794</v>
      </c>
    </row>
    <row r="150" spans="1:26" ht="11.25">
      <c r="A150" s="83" t="s">
        <v>97</v>
      </c>
      <c r="B150" s="106"/>
      <c r="F150" s="63">
        <f>F148-F149</f>
        <v>4434.156459305101</v>
      </c>
      <c r="G150" s="63">
        <f aca="true" t="shared" si="53" ref="G150:Z150">G148-G149</f>
        <v>5750.217757237141</v>
      </c>
      <c r="H150" s="63">
        <f t="shared" si="53"/>
        <v>5906.541983151101</v>
      </c>
      <c r="I150" s="63">
        <f t="shared" si="53"/>
        <v>6083.738242645634</v>
      </c>
      <c r="J150" s="63">
        <f t="shared" si="53"/>
        <v>6266.250389925003</v>
      </c>
      <c r="K150" s="63">
        <f t="shared" si="53"/>
        <v>6471.920745188845</v>
      </c>
      <c r="L150" s="63">
        <f t="shared" si="53"/>
        <v>6647.865038671438</v>
      </c>
      <c r="M150" s="63">
        <f t="shared" si="53"/>
        <v>6847.3009898315795</v>
      </c>
      <c r="N150" s="63">
        <f t="shared" si="53"/>
        <v>7052.720019526529</v>
      </c>
      <c r="O150" s="63">
        <f t="shared" si="53"/>
        <v>7284.203816331808</v>
      </c>
      <c r="P150" s="63">
        <f t="shared" si="53"/>
        <v>7482.230668715694</v>
      </c>
      <c r="Q150" s="63">
        <f t="shared" si="53"/>
        <v>7706.697588777166</v>
      </c>
      <c r="R150" s="63">
        <f t="shared" si="53"/>
        <v>7937.898516440479</v>
      </c>
      <c r="S150" s="63">
        <f t="shared" si="53"/>
        <v>8198.435569117075</v>
      </c>
      <c r="T150" s="63">
        <f t="shared" si="53"/>
        <v>8421.316536091706</v>
      </c>
      <c r="U150" s="63">
        <f t="shared" si="53"/>
        <v>8673.956032174458</v>
      </c>
      <c r="V150" s="63">
        <f t="shared" si="53"/>
        <v>8934.174713139693</v>
      </c>
      <c r="W150" s="63">
        <f t="shared" si="53"/>
        <v>9227.411461258635</v>
      </c>
      <c r="X150" s="63">
        <f t="shared" si="53"/>
        <v>9478.2659531699</v>
      </c>
      <c r="Y150" s="63">
        <f t="shared" si="53"/>
        <v>9762.613931764998</v>
      </c>
      <c r="Z150" s="63">
        <f t="shared" si="53"/>
        <v>1625.4083524201617</v>
      </c>
    </row>
    <row r="151" spans="1:26" ht="11.25">
      <c r="A151" s="91" t="s">
        <v>16</v>
      </c>
      <c r="B151" s="106"/>
      <c r="F151" s="63">
        <f>F100</f>
        <v>2834.1717738095235</v>
      </c>
      <c r="G151" s="63">
        <f aca="true" t="shared" si="54" ref="G151:Z151">G100</f>
        <v>3295.2557366523806</v>
      </c>
      <c r="H151" s="63">
        <f t="shared" si="54"/>
        <v>3348.315437695238</v>
      </c>
      <c r="I151" s="63">
        <f t="shared" si="54"/>
        <v>3348.315437695238</v>
      </c>
      <c r="J151" s="63">
        <f t="shared" si="54"/>
        <v>3348.315437695238</v>
      </c>
      <c r="K151" s="63">
        <f t="shared" si="54"/>
        <v>3370.277471006396</v>
      </c>
      <c r="L151" s="63">
        <f t="shared" si="54"/>
        <v>3353.410804339729</v>
      </c>
      <c r="M151" s="63">
        <f t="shared" si="54"/>
        <v>1687.6359471968726</v>
      </c>
      <c r="N151" s="63">
        <f t="shared" si="54"/>
        <v>1317.3575980540154</v>
      </c>
      <c r="O151" s="63">
        <f t="shared" si="54"/>
        <v>1425.4622691026475</v>
      </c>
      <c r="P151" s="63">
        <f t="shared" si="54"/>
        <v>1449.2249505500838</v>
      </c>
      <c r="Q151" s="63">
        <f t="shared" si="54"/>
        <v>1449.2249505500838</v>
      </c>
      <c r="R151" s="63">
        <f t="shared" si="54"/>
        <v>1592.5673657409484</v>
      </c>
      <c r="S151" s="63">
        <f t="shared" si="54"/>
        <v>1620.3882124659622</v>
      </c>
      <c r="T151" s="63">
        <f t="shared" si="54"/>
        <v>1620.3882124659622</v>
      </c>
      <c r="U151" s="63">
        <f t="shared" si="54"/>
        <v>1620.3882124659622</v>
      </c>
      <c r="V151" s="63">
        <f t="shared" si="54"/>
        <v>1435.4611589270366</v>
      </c>
      <c r="W151" s="63">
        <f t="shared" si="54"/>
        <v>2049.188277504022</v>
      </c>
      <c r="X151" s="63">
        <f t="shared" si="54"/>
        <v>2049.188277504022</v>
      </c>
      <c r="Y151" s="63">
        <f t="shared" si="54"/>
        <v>1917.1033749253834</v>
      </c>
      <c r="Z151" s="63">
        <f t="shared" si="54"/>
        <v>737.7522782003696</v>
      </c>
    </row>
    <row r="152" spans="1:26" ht="11.25">
      <c r="A152" s="83" t="s">
        <v>35</v>
      </c>
      <c r="B152" s="106"/>
      <c r="F152" s="63">
        <f>F150-F151</f>
        <v>1599.9846854955772</v>
      </c>
      <c r="G152" s="63">
        <f aca="true" t="shared" si="55" ref="G152:Z152">G150-G151</f>
        <v>2454.9620205847605</v>
      </c>
      <c r="H152" s="63">
        <f t="shared" si="55"/>
        <v>2558.226545455863</v>
      </c>
      <c r="I152" s="63">
        <f t="shared" si="55"/>
        <v>2735.4228049503963</v>
      </c>
      <c r="J152" s="63">
        <f t="shared" si="55"/>
        <v>2917.9349522297653</v>
      </c>
      <c r="K152" s="63">
        <f t="shared" si="55"/>
        <v>3101.643274182449</v>
      </c>
      <c r="L152" s="63">
        <f t="shared" si="55"/>
        <v>3294.454234331709</v>
      </c>
      <c r="M152" s="63">
        <f t="shared" si="55"/>
        <v>5159.665042634707</v>
      </c>
      <c r="N152" s="63">
        <f t="shared" si="55"/>
        <v>5735.362421472513</v>
      </c>
      <c r="O152" s="63">
        <f t="shared" si="55"/>
        <v>5858.741547229161</v>
      </c>
      <c r="P152" s="63">
        <f t="shared" si="55"/>
        <v>6033.00571816561</v>
      </c>
      <c r="Q152" s="63">
        <f t="shared" si="55"/>
        <v>6257.472638227082</v>
      </c>
      <c r="R152" s="63">
        <f t="shared" si="55"/>
        <v>6345.331150699531</v>
      </c>
      <c r="S152" s="63">
        <f t="shared" si="55"/>
        <v>6578.047356651113</v>
      </c>
      <c r="T152" s="63">
        <f t="shared" si="55"/>
        <v>6800.928323625744</v>
      </c>
      <c r="U152" s="63">
        <f t="shared" si="55"/>
        <v>7053.567819708495</v>
      </c>
      <c r="V152" s="63">
        <f>V150-V151</f>
        <v>7498.713554212656</v>
      </c>
      <c r="W152" s="63">
        <f t="shared" si="55"/>
        <v>7178.223183754612</v>
      </c>
      <c r="X152" s="63">
        <f t="shared" si="55"/>
        <v>7429.077675665877</v>
      </c>
      <c r="Y152" s="63">
        <f t="shared" si="55"/>
        <v>7845.510556839614</v>
      </c>
      <c r="Z152" s="63">
        <f t="shared" si="55"/>
        <v>887.6560742197921</v>
      </c>
    </row>
    <row r="153" spans="1:26" ht="11.25">
      <c r="A153" s="108" t="s">
        <v>184</v>
      </c>
      <c r="B153" s="106"/>
      <c r="F153" s="63">
        <f>$B$56*F140</f>
        <v>52.413196918500006</v>
      </c>
      <c r="G153" s="63">
        <f aca="true" t="shared" si="56" ref="G153:Z153">$B$56*G140</f>
        <v>67.96947703590001</v>
      </c>
      <c r="H153" s="63">
        <f t="shared" si="56"/>
        <v>69.81728112471751</v>
      </c>
      <c r="I153" s="63">
        <f t="shared" si="56"/>
        <v>71.91179955845904</v>
      </c>
      <c r="J153" s="63">
        <f t="shared" si="56"/>
        <v>74.06915354521281</v>
      </c>
      <c r="K153" s="63">
        <f t="shared" si="56"/>
        <v>76.50024521499816</v>
      </c>
      <c r="L153" s="63">
        <f t="shared" si="56"/>
        <v>78.57996499611629</v>
      </c>
      <c r="M153" s="63">
        <f t="shared" si="56"/>
        <v>80.93736394599976</v>
      </c>
      <c r="N153" s="63">
        <f t="shared" si="56"/>
        <v>83.36548486437977</v>
      </c>
      <c r="O153" s="63">
        <f t="shared" si="56"/>
        <v>86.10169995664076</v>
      </c>
      <c r="P153" s="63">
        <f t="shared" si="56"/>
        <v>88.44244289262049</v>
      </c>
      <c r="Q153" s="63">
        <f t="shared" si="56"/>
        <v>91.09571617939912</v>
      </c>
      <c r="R153" s="63">
        <f t="shared" si="56"/>
        <v>93.82858766478108</v>
      </c>
      <c r="S153" s="63">
        <f t="shared" si="56"/>
        <v>96.90822185717585</v>
      </c>
      <c r="T153" s="63">
        <f t="shared" si="56"/>
        <v>99.54274865356626</v>
      </c>
      <c r="U153" s="63">
        <f t="shared" si="56"/>
        <v>102.52903111317326</v>
      </c>
      <c r="V153" s="63">
        <f t="shared" si="56"/>
        <v>105.60490204656847</v>
      </c>
      <c r="W153" s="63">
        <f t="shared" si="56"/>
        <v>109.07105746168598</v>
      </c>
      <c r="X153" s="63">
        <f t="shared" si="56"/>
        <v>112.0362405812045</v>
      </c>
      <c r="Y153" s="63">
        <f t="shared" si="56"/>
        <v>115.39732779864065</v>
      </c>
      <c r="Z153" s="63">
        <f t="shared" si="56"/>
        <v>0</v>
      </c>
    </row>
    <row r="154" spans="1:26" ht="11.25">
      <c r="A154" s="91" t="s">
        <v>36</v>
      </c>
      <c r="B154" s="106"/>
      <c r="F154" s="63">
        <f>F116</f>
        <v>2169.788771553233</v>
      </c>
      <c r="G154" s="63">
        <f aca="true" t="shared" si="57" ref="G154:Z154">G116</f>
        <v>2379.2734575024606</v>
      </c>
      <c r="H154" s="63">
        <f t="shared" si="57"/>
        <v>2004.0375734337313</v>
      </c>
      <c r="I154" s="63">
        <f t="shared" si="57"/>
        <v>1653.5316694019305</v>
      </c>
      <c r="J154" s="63">
        <f t="shared" si="57"/>
        <v>1326.431167822421</v>
      </c>
      <c r="K154" s="63">
        <f t="shared" si="57"/>
        <v>1021.4759647529671</v>
      </c>
      <c r="L154" s="63">
        <f t="shared" si="57"/>
        <v>737.4674605342684</v>
      </c>
      <c r="M154" s="63">
        <f t="shared" si="57"/>
        <v>473.2657223366333</v>
      </c>
      <c r="N154" s="63">
        <f t="shared" si="57"/>
        <v>227.78677290034216</v>
      </c>
      <c r="O154" s="63">
        <f t="shared" si="57"/>
        <v>0</v>
      </c>
      <c r="P154" s="63">
        <f t="shared" si="57"/>
        <v>0</v>
      </c>
      <c r="Q154" s="63">
        <f t="shared" si="57"/>
        <v>0</v>
      </c>
      <c r="R154" s="63">
        <f t="shared" si="57"/>
        <v>0</v>
      </c>
      <c r="S154" s="63">
        <f t="shared" si="57"/>
        <v>0</v>
      </c>
      <c r="T154" s="63">
        <f t="shared" si="57"/>
        <v>0</v>
      </c>
      <c r="U154" s="63">
        <f t="shared" si="57"/>
        <v>0</v>
      </c>
      <c r="V154" s="63">
        <f t="shared" si="57"/>
        <v>0</v>
      </c>
      <c r="W154" s="63">
        <f t="shared" si="57"/>
        <v>0</v>
      </c>
      <c r="X154" s="63">
        <f t="shared" si="57"/>
        <v>0</v>
      </c>
      <c r="Y154" s="63">
        <f t="shared" si="57"/>
        <v>0</v>
      </c>
      <c r="Z154" s="63">
        <f t="shared" si="57"/>
        <v>0</v>
      </c>
    </row>
    <row r="155" spans="1:26" ht="11.25">
      <c r="A155" s="83" t="s">
        <v>37</v>
      </c>
      <c r="B155" s="106"/>
      <c r="F155" s="63">
        <f>F152-F154+F153</f>
        <v>-517.3908891391557</v>
      </c>
      <c r="G155" s="63">
        <f aca="true" t="shared" si="58" ref="G155:Z155">G152-G154+G153</f>
        <v>143.6580401181999</v>
      </c>
      <c r="H155" s="63">
        <f t="shared" si="58"/>
        <v>624.0062531468491</v>
      </c>
      <c r="I155" s="63">
        <f t="shared" si="58"/>
        <v>1153.802935106925</v>
      </c>
      <c r="J155" s="63">
        <f t="shared" si="58"/>
        <v>1665.5729379525571</v>
      </c>
      <c r="K155" s="63">
        <f t="shared" si="58"/>
        <v>2156.6675546444803</v>
      </c>
      <c r="L155" s="63">
        <f t="shared" si="58"/>
        <v>2635.566738793557</v>
      </c>
      <c r="M155" s="63">
        <f t="shared" si="58"/>
        <v>4767.336684244074</v>
      </c>
      <c r="N155" s="63">
        <f t="shared" si="58"/>
        <v>5590.941133436551</v>
      </c>
      <c r="O155" s="63">
        <f t="shared" si="58"/>
        <v>5944.843247185802</v>
      </c>
      <c r="P155" s="63">
        <f t="shared" si="58"/>
        <v>6121.448161058231</v>
      </c>
      <c r="Q155" s="63">
        <f t="shared" si="58"/>
        <v>6348.568354406481</v>
      </c>
      <c r="R155" s="63">
        <f t="shared" si="58"/>
        <v>6439.159738364312</v>
      </c>
      <c r="S155" s="63">
        <f t="shared" si="58"/>
        <v>6674.955578508288</v>
      </c>
      <c r="T155" s="63">
        <f t="shared" si="58"/>
        <v>6900.471072279311</v>
      </c>
      <c r="U155" s="63">
        <f t="shared" si="58"/>
        <v>7156.096850821668</v>
      </c>
      <c r="V155" s="63">
        <f t="shared" si="58"/>
        <v>7604.318456259225</v>
      </c>
      <c r="W155" s="63">
        <f t="shared" si="58"/>
        <v>7287.294241216298</v>
      </c>
      <c r="X155" s="63">
        <f t="shared" si="58"/>
        <v>7541.113916247082</v>
      </c>
      <c r="Y155" s="63">
        <f t="shared" si="58"/>
        <v>7960.9078846382545</v>
      </c>
      <c r="Z155" s="63">
        <f t="shared" si="58"/>
        <v>887.6560742197921</v>
      </c>
    </row>
    <row r="156" spans="1:26" ht="11.25">
      <c r="A156" s="91" t="s">
        <v>94</v>
      </c>
      <c r="B156" s="106"/>
      <c r="F156" s="63">
        <f>IF(F155&lt;0,0,F155*$B$29)</f>
        <v>0</v>
      </c>
      <c r="G156" s="63">
        <f>IF(G155&lt;0,0,G155*$B$29)</f>
        <v>0</v>
      </c>
      <c r="H156" s="63">
        <f>IF(H155&lt;0,0,H155*$B$29)</f>
        <v>0</v>
      </c>
      <c r="I156" s="63">
        <f>IF(I155&lt;0,0,I155*$B$29)</f>
        <v>0</v>
      </c>
      <c r="J156" s="63">
        <f>IF(J155&lt;0,0,J155*$B$29)</f>
        <v>0</v>
      </c>
      <c r="K156" s="63">
        <f>K155*$B$30</f>
        <v>107.83337773222402</v>
      </c>
      <c r="L156" s="63">
        <f>L155*$B$30</f>
        <v>131.77833693967784</v>
      </c>
      <c r="M156" s="63">
        <f>M155*$B$30</f>
        <v>238.36683421220368</v>
      </c>
      <c r="N156" s="63">
        <f>N155*$B$30</f>
        <v>279.5470566718276</v>
      </c>
      <c r="O156" s="63">
        <f aca="true" t="shared" si="59" ref="O156:Z156">O155*$B$28</f>
        <v>594.4843247185803</v>
      </c>
      <c r="P156" s="63">
        <f t="shared" si="59"/>
        <v>612.1448161058231</v>
      </c>
      <c r="Q156" s="63">
        <f t="shared" si="59"/>
        <v>634.8568354406482</v>
      </c>
      <c r="R156" s="63">
        <f t="shared" si="59"/>
        <v>643.9159738364312</v>
      </c>
      <c r="S156" s="63">
        <f t="shared" si="59"/>
        <v>667.4955578508288</v>
      </c>
      <c r="T156" s="63">
        <f t="shared" si="59"/>
        <v>690.0471072279311</v>
      </c>
      <c r="U156" s="63">
        <f t="shared" si="59"/>
        <v>715.6096850821668</v>
      </c>
      <c r="V156" s="63">
        <f t="shared" si="59"/>
        <v>760.4318456259225</v>
      </c>
      <c r="W156" s="63">
        <f t="shared" si="59"/>
        <v>728.7294241216299</v>
      </c>
      <c r="X156" s="63">
        <f t="shared" si="59"/>
        <v>754.1113916247082</v>
      </c>
      <c r="Y156" s="63">
        <f t="shared" si="59"/>
        <v>796.0907884638254</v>
      </c>
      <c r="Z156" s="63">
        <f t="shared" si="59"/>
        <v>88.76560742197921</v>
      </c>
    </row>
    <row r="157" spans="1:26" ht="11.25">
      <c r="A157" s="83" t="s">
        <v>38</v>
      </c>
      <c r="B157" s="106"/>
      <c r="F157" s="63">
        <f aca="true" t="shared" si="60" ref="F157:K157">F155-F156</f>
        <v>-517.3908891391557</v>
      </c>
      <c r="G157" s="63">
        <f t="shared" si="60"/>
        <v>143.6580401181999</v>
      </c>
      <c r="H157" s="63">
        <f t="shared" si="60"/>
        <v>624.0062531468491</v>
      </c>
      <c r="I157" s="63">
        <f t="shared" si="60"/>
        <v>1153.802935106925</v>
      </c>
      <c r="J157" s="63">
        <f t="shared" si="60"/>
        <v>1665.5729379525571</v>
      </c>
      <c r="K157" s="63">
        <f t="shared" si="60"/>
        <v>2048.834176912256</v>
      </c>
      <c r="L157" s="63">
        <f>L155-L156</f>
        <v>2503.788401853879</v>
      </c>
      <c r="M157" s="63">
        <f aca="true" t="shared" si="61" ref="M157:Z157">M155-M156</f>
        <v>4528.96985003187</v>
      </c>
      <c r="N157" s="63">
        <f t="shared" si="61"/>
        <v>5311.394076764724</v>
      </c>
      <c r="O157" s="63">
        <f t="shared" si="61"/>
        <v>5350.358922467222</v>
      </c>
      <c r="P157" s="63">
        <f t="shared" si="61"/>
        <v>5509.303344952407</v>
      </c>
      <c r="Q157" s="63">
        <f t="shared" si="61"/>
        <v>5713.711518965833</v>
      </c>
      <c r="R157" s="63">
        <f t="shared" si="61"/>
        <v>5795.243764527881</v>
      </c>
      <c r="S157" s="63">
        <f t="shared" si="61"/>
        <v>6007.46002065746</v>
      </c>
      <c r="T157" s="63">
        <f t="shared" si="61"/>
        <v>6210.423965051379</v>
      </c>
      <c r="U157" s="63">
        <f t="shared" si="61"/>
        <v>6440.4871657395015</v>
      </c>
      <c r="V157" s="63">
        <f t="shared" si="61"/>
        <v>6843.886610633303</v>
      </c>
      <c r="W157" s="63">
        <f t="shared" si="61"/>
        <v>6558.564817094669</v>
      </c>
      <c r="X157" s="63">
        <f t="shared" si="61"/>
        <v>6787.002524622374</v>
      </c>
      <c r="Y157" s="63">
        <f t="shared" si="61"/>
        <v>7164.817096174429</v>
      </c>
      <c r="Z157" s="63">
        <f t="shared" si="61"/>
        <v>798.8904667978129</v>
      </c>
    </row>
    <row r="159" spans="1:2" ht="11.25">
      <c r="A159" s="62" t="s">
        <v>82</v>
      </c>
      <c r="B159" s="14"/>
    </row>
    <row r="160" spans="1:2" ht="11.25">
      <c r="A160" s="62" t="s">
        <v>41</v>
      </c>
      <c r="B160" s="12"/>
    </row>
    <row r="161" spans="1:26" ht="11.25">
      <c r="A161" s="63" t="s">
        <v>77</v>
      </c>
      <c r="B161" s="106"/>
      <c r="C161" s="63">
        <f>C146</f>
        <v>0</v>
      </c>
      <c r="D161" s="63">
        <f aca="true" t="shared" si="62" ref="D161:Z162">D146</f>
        <v>0</v>
      </c>
      <c r="E161" s="63">
        <f t="shared" si="62"/>
        <v>0</v>
      </c>
      <c r="F161" s="63">
        <f t="shared" si="62"/>
        <v>6353.114778</v>
      </c>
      <c r="G161" s="63">
        <f t="shared" si="62"/>
        <v>8238.724489200002</v>
      </c>
      <c r="H161" s="63">
        <f t="shared" si="62"/>
        <v>8462.700742390001</v>
      </c>
      <c r="I161" s="63">
        <f t="shared" si="62"/>
        <v>8716.581764661702</v>
      </c>
      <c r="J161" s="63">
        <f t="shared" si="62"/>
        <v>8978.079217601553</v>
      </c>
      <c r="K161" s="63">
        <f t="shared" si="62"/>
        <v>9272.756995757352</v>
      </c>
      <c r="L161" s="63">
        <f t="shared" si="62"/>
        <v>9524.84424195349</v>
      </c>
      <c r="M161" s="63">
        <f t="shared" si="62"/>
        <v>9810.589569212092</v>
      </c>
      <c r="N161" s="63">
        <f t="shared" si="62"/>
        <v>10104.907256288456</v>
      </c>
      <c r="O161" s="63">
        <f t="shared" si="62"/>
        <v>10436.569691714032</v>
      </c>
      <c r="P161" s="63">
        <f t="shared" si="62"/>
        <v>10720.296108196424</v>
      </c>
      <c r="Q161" s="63">
        <f t="shared" si="62"/>
        <v>11041.904991442318</v>
      </c>
      <c r="R161" s="63">
        <f t="shared" si="62"/>
        <v>11373.162141185587</v>
      </c>
      <c r="S161" s="63">
        <f t="shared" si="62"/>
        <v>11746.451134203133</v>
      </c>
      <c r="T161" s="63">
        <f t="shared" si="62"/>
        <v>12065.78771558379</v>
      </c>
      <c r="U161" s="63">
        <f t="shared" si="62"/>
        <v>12427.761347051304</v>
      </c>
      <c r="V161" s="63">
        <f t="shared" si="62"/>
        <v>12800.594187462844</v>
      </c>
      <c r="W161" s="63">
        <f t="shared" si="62"/>
        <v>13220.73423778012</v>
      </c>
      <c r="X161" s="63">
        <f t="shared" si="62"/>
        <v>13580.150373479333</v>
      </c>
      <c r="Y161" s="63">
        <f t="shared" si="62"/>
        <v>13987.554884683715</v>
      </c>
      <c r="Z161" s="63">
        <f t="shared" si="62"/>
        <v>2328.8320831293954</v>
      </c>
    </row>
    <row r="162" spans="1:26" ht="11.25">
      <c r="A162" s="63" t="s">
        <v>175</v>
      </c>
      <c r="B162" s="106"/>
      <c r="C162" s="63">
        <f>C147</f>
        <v>0</v>
      </c>
      <c r="D162" s="63">
        <f t="shared" si="62"/>
        <v>0</v>
      </c>
      <c r="E162" s="63">
        <f t="shared" si="62"/>
        <v>0</v>
      </c>
      <c r="F162" s="63">
        <f>F143</f>
        <v>154.618930909575</v>
      </c>
      <c r="G162" s="63">
        <f aca="true" t="shared" si="63" ref="G162:Z162">G143</f>
        <v>45.89102634633002</v>
      </c>
      <c r="H162" s="63">
        <f t="shared" si="63"/>
        <v>5.451022062011646</v>
      </c>
      <c r="I162" s="63">
        <f t="shared" si="63"/>
        <v>6.17882937953749</v>
      </c>
      <c r="J162" s="63">
        <f t="shared" si="63"/>
        <v>6.364194260923654</v>
      </c>
      <c r="K162" s="63">
        <f t="shared" si="63"/>
        <v>7.1717204258667095</v>
      </c>
      <c r="L162" s="63">
        <f t="shared" si="63"/>
        <v>6.135173354298502</v>
      </c>
      <c r="M162" s="63">
        <f t="shared" si="63"/>
        <v>6.954326902156254</v>
      </c>
      <c r="N162" s="63">
        <f t="shared" si="63"/>
        <v>7.1629567092209925</v>
      </c>
      <c r="O162" s="63">
        <f t="shared" si="63"/>
        <v>8.071834522170008</v>
      </c>
      <c r="P162" s="63">
        <f t="shared" si="63"/>
        <v>6.905191661140179</v>
      </c>
      <c r="Q162" s="63">
        <f t="shared" si="63"/>
        <v>7.827156195996963</v>
      </c>
      <c r="R162" s="63">
        <f t="shared" si="63"/>
        <v>8.061970881876789</v>
      </c>
      <c r="S162" s="63">
        <f t="shared" si="63"/>
        <v>9.084920867564506</v>
      </c>
      <c r="T162" s="63">
        <f t="shared" si="63"/>
        <v>7.771854049351759</v>
      </c>
      <c r="U162" s="63">
        <f t="shared" si="63"/>
        <v>8.80953325584062</v>
      </c>
      <c r="V162" s="63">
        <f t="shared" si="63"/>
        <v>9.073819253515808</v>
      </c>
      <c r="W162" s="63">
        <f t="shared" si="63"/>
        <v>10.225158474596753</v>
      </c>
      <c r="X162" s="63">
        <f t="shared" si="63"/>
        <v>8.747290202579677</v>
      </c>
      <c r="Y162" s="63">
        <f t="shared" si="63"/>
        <v>9.915207291436559</v>
      </c>
      <c r="Z162" s="63">
        <f t="shared" si="63"/>
        <v>-340.4221170059899</v>
      </c>
    </row>
    <row r="163" spans="1:26" ht="11.25">
      <c r="A163" s="63" t="str">
        <f>A153</f>
        <v>Trả tiền nước chậm của SWC</v>
      </c>
      <c r="B163" s="106"/>
      <c r="F163" s="63">
        <f>F153</f>
        <v>52.413196918500006</v>
      </c>
      <c r="G163" s="63">
        <f aca="true" t="shared" si="64" ref="G163:Z163">G153</f>
        <v>67.96947703590001</v>
      </c>
      <c r="H163" s="63">
        <f t="shared" si="64"/>
        <v>69.81728112471751</v>
      </c>
      <c r="I163" s="63">
        <f t="shared" si="64"/>
        <v>71.91179955845904</v>
      </c>
      <c r="J163" s="63">
        <f t="shared" si="64"/>
        <v>74.06915354521281</v>
      </c>
      <c r="K163" s="63">
        <f t="shared" si="64"/>
        <v>76.50024521499816</v>
      </c>
      <c r="L163" s="63">
        <f t="shared" si="64"/>
        <v>78.57996499611629</v>
      </c>
      <c r="M163" s="63">
        <f t="shared" si="64"/>
        <v>80.93736394599976</v>
      </c>
      <c r="N163" s="63">
        <f t="shared" si="64"/>
        <v>83.36548486437977</v>
      </c>
      <c r="O163" s="63">
        <f t="shared" si="64"/>
        <v>86.10169995664076</v>
      </c>
      <c r="P163" s="63">
        <f t="shared" si="64"/>
        <v>88.44244289262049</v>
      </c>
      <c r="Q163" s="63">
        <f t="shared" si="64"/>
        <v>91.09571617939912</v>
      </c>
      <c r="R163" s="63">
        <f t="shared" si="64"/>
        <v>93.82858766478108</v>
      </c>
      <c r="S163" s="63">
        <f t="shared" si="64"/>
        <v>96.90822185717585</v>
      </c>
      <c r="T163" s="63">
        <f t="shared" si="64"/>
        <v>99.54274865356626</v>
      </c>
      <c r="U163" s="63">
        <f t="shared" si="64"/>
        <v>102.52903111317326</v>
      </c>
      <c r="V163" s="63">
        <f t="shared" si="64"/>
        <v>105.60490204656847</v>
      </c>
      <c r="W163" s="63">
        <f t="shared" si="64"/>
        <v>109.07105746168598</v>
      </c>
      <c r="X163" s="63">
        <f t="shared" si="64"/>
        <v>112.0362405812045</v>
      </c>
      <c r="Y163" s="63">
        <f t="shared" si="64"/>
        <v>115.39732779864065</v>
      </c>
      <c r="Z163" s="63">
        <f t="shared" si="64"/>
        <v>0</v>
      </c>
    </row>
    <row r="164" spans="1:2" ht="11.25">
      <c r="A164" s="62" t="s">
        <v>42</v>
      </c>
      <c r="B164" s="106"/>
    </row>
    <row r="165" spans="1:26" ht="11.25">
      <c r="A165" s="63" t="s">
        <v>83</v>
      </c>
      <c r="B165" s="106"/>
      <c r="C165" s="63">
        <f>C149</f>
        <v>0</v>
      </c>
      <c r="D165" s="63">
        <f aca="true" t="shared" si="65" ref="D165:Z165">D149</f>
        <v>0</v>
      </c>
      <c r="E165" s="63">
        <f t="shared" si="65"/>
        <v>0</v>
      </c>
      <c r="F165" s="63">
        <f t="shared" si="65"/>
        <v>1855.4271709149002</v>
      </c>
      <c r="G165" s="63">
        <f t="shared" si="65"/>
        <v>2406.1194870708605</v>
      </c>
      <c r="H165" s="63">
        <f t="shared" si="65"/>
        <v>2471.531751815</v>
      </c>
      <c r="I165" s="63">
        <f t="shared" si="65"/>
        <v>2545.67770436945</v>
      </c>
      <c r="J165" s="63">
        <f t="shared" si="65"/>
        <v>2622.048035500534</v>
      </c>
      <c r="K165" s="63">
        <f t="shared" si="65"/>
        <v>2708.1086806109342</v>
      </c>
      <c r="L165" s="63">
        <f t="shared" si="65"/>
        <v>2781.7307608625165</v>
      </c>
      <c r="M165" s="63">
        <f t="shared" si="65"/>
        <v>2865.1826836883915</v>
      </c>
      <c r="N165" s="63">
        <f t="shared" si="65"/>
        <v>2951.1381641990433</v>
      </c>
      <c r="O165" s="63">
        <f t="shared" si="65"/>
        <v>3048.0001784650835</v>
      </c>
      <c r="P165" s="63">
        <f t="shared" si="65"/>
        <v>3130.8624783987657</v>
      </c>
      <c r="Q165" s="63">
        <f t="shared" si="65"/>
        <v>3224.7883527507292</v>
      </c>
      <c r="R165" s="63">
        <f t="shared" si="65"/>
        <v>3321.532003333251</v>
      </c>
      <c r="S165" s="63">
        <f t="shared" si="65"/>
        <v>3430.551053744025</v>
      </c>
      <c r="T165" s="63">
        <f t="shared" si="65"/>
        <v>3523.813302336246</v>
      </c>
      <c r="U165" s="63">
        <f t="shared" si="65"/>
        <v>3629.527701406333</v>
      </c>
      <c r="V165" s="63">
        <f t="shared" si="65"/>
        <v>3738.4135324485233</v>
      </c>
      <c r="W165" s="63">
        <f t="shared" si="65"/>
        <v>3861.115434143684</v>
      </c>
      <c r="X165" s="63">
        <f t="shared" si="65"/>
        <v>3966.08291657464</v>
      </c>
      <c r="Y165" s="63">
        <f t="shared" si="65"/>
        <v>4085.065404071879</v>
      </c>
      <c r="Z165" s="63">
        <f t="shared" si="65"/>
        <v>680.13540987794</v>
      </c>
    </row>
    <row r="166" spans="1:26" ht="11.25">
      <c r="A166" s="63" t="s">
        <v>174</v>
      </c>
      <c r="B166" s="106"/>
      <c r="F166" s="63">
        <f>F141</f>
        <v>524.131969185</v>
      </c>
      <c r="G166" s="63">
        <f aca="true" t="shared" si="66" ref="G166:Z166">G141</f>
        <v>155.56280117400013</v>
      </c>
      <c r="H166" s="63">
        <f t="shared" si="66"/>
        <v>18.478040888174974</v>
      </c>
      <c r="I166" s="63">
        <f t="shared" si="66"/>
        <v>20.945184337415185</v>
      </c>
      <c r="J166" s="63">
        <f t="shared" si="66"/>
        <v>21.57353986753776</v>
      </c>
      <c r="K166" s="63">
        <f t="shared" si="66"/>
        <v>24.310916697853486</v>
      </c>
      <c r="L166" s="63">
        <f t="shared" si="66"/>
        <v>20.797197811181263</v>
      </c>
      <c r="M166" s="63">
        <f t="shared" si="66"/>
        <v>23.57398949883475</v>
      </c>
      <c r="N166" s="63">
        <f t="shared" si="66"/>
        <v>24.2812091838</v>
      </c>
      <c r="O166" s="63">
        <f t="shared" si="66"/>
        <v>27.36215092261</v>
      </c>
      <c r="P166" s="63">
        <f t="shared" si="66"/>
        <v>23.407429359797334</v>
      </c>
      <c r="Q166" s="63">
        <f t="shared" si="66"/>
        <v>26.532732867786308</v>
      </c>
      <c r="R166" s="63">
        <f t="shared" si="66"/>
        <v>27.328714853819633</v>
      </c>
      <c r="S166" s="63">
        <f t="shared" si="66"/>
        <v>30.79634192394758</v>
      </c>
      <c r="T166" s="63">
        <f t="shared" si="66"/>
        <v>26.345267963904234</v>
      </c>
      <c r="U166" s="63">
        <f t="shared" si="66"/>
        <v>29.862824596069913</v>
      </c>
      <c r="V166" s="63">
        <f t="shared" si="66"/>
        <v>30.758709333952083</v>
      </c>
      <c r="W166" s="63">
        <f t="shared" si="66"/>
        <v>34.661554151175096</v>
      </c>
      <c r="X166" s="63">
        <f t="shared" si="66"/>
        <v>29.651831195185196</v>
      </c>
      <c r="Y166" s="63">
        <f t="shared" si="66"/>
        <v>33.610872174361475</v>
      </c>
      <c r="Z166" s="63">
        <f t="shared" si="66"/>
        <v>-1153.9732779864064</v>
      </c>
    </row>
    <row r="167" spans="1:26" ht="11.25">
      <c r="A167" s="63" t="s">
        <v>7</v>
      </c>
      <c r="B167" s="106"/>
      <c r="C167" s="63">
        <f>C147</f>
        <v>0</v>
      </c>
      <c r="D167" s="63">
        <f aca="true" t="shared" si="67" ref="D167:Z167">D147</f>
        <v>0</v>
      </c>
      <c r="E167" s="63">
        <f t="shared" si="67"/>
        <v>0</v>
      </c>
      <c r="F167" s="63">
        <f t="shared" si="67"/>
        <v>63.531147780000005</v>
      </c>
      <c r="G167" s="63">
        <f t="shared" si="67"/>
        <v>82.38724489200001</v>
      </c>
      <c r="H167" s="63">
        <f t="shared" si="67"/>
        <v>84.62700742390001</v>
      </c>
      <c r="I167" s="63">
        <f t="shared" si="67"/>
        <v>87.16581764661701</v>
      </c>
      <c r="J167" s="63">
        <f t="shared" si="67"/>
        <v>89.78079217601554</v>
      </c>
      <c r="K167" s="63">
        <f t="shared" si="67"/>
        <v>92.72756995757352</v>
      </c>
      <c r="L167" s="63">
        <f t="shared" si="67"/>
        <v>95.2484424195349</v>
      </c>
      <c r="M167" s="63">
        <f t="shared" si="67"/>
        <v>98.10589569212092</v>
      </c>
      <c r="N167" s="63">
        <f t="shared" si="67"/>
        <v>101.04907256288456</v>
      </c>
      <c r="O167" s="63">
        <f t="shared" si="67"/>
        <v>104.36569691714033</v>
      </c>
      <c r="P167" s="63">
        <f t="shared" si="67"/>
        <v>107.20296108196425</v>
      </c>
      <c r="Q167" s="63">
        <f t="shared" si="67"/>
        <v>110.41904991442318</v>
      </c>
      <c r="R167" s="63">
        <f t="shared" si="67"/>
        <v>113.73162141185587</v>
      </c>
      <c r="S167" s="63">
        <f t="shared" si="67"/>
        <v>117.46451134203133</v>
      </c>
      <c r="T167" s="63">
        <f t="shared" si="67"/>
        <v>120.65787715583791</v>
      </c>
      <c r="U167" s="63">
        <f t="shared" si="67"/>
        <v>124.27761347051305</v>
      </c>
      <c r="V167" s="63">
        <f t="shared" si="67"/>
        <v>128.00594187462843</v>
      </c>
      <c r="W167" s="63">
        <f t="shared" si="67"/>
        <v>132.2073423778012</v>
      </c>
      <c r="X167" s="63">
        <f t="shared" si="67"/>
        <v>135.80150373479333</v>
      </c>
      <c r="Y167" s="63">
        <f t="shared" si="67"/>
        <v>139.87554884683715</v>
      </c>
      <c r="Z167" s="63">
        <f t="shared" si="67"/>
        <v>23.288320831293955</v>
      </c>
    </row>
    <row r="168" spans="1:26" ht="11.25">
      <c r="A168" s="63" t="s">
        <v>58</v>
      </c>
      <c r="B168" s="106"/>
      <c r="C168" s="63">
        <f>C156</f>
        <v>0</v>
      </c>
      <c r="D168" s="63">
        <f aca="true" t="shared" si="68" ref="D168:Z168">D156</f>
        <v>0</v>
      </c>
      <c r="E168" s="63">
        <f t="shared" si="68"/>
        <v>0</v>
      </c>
      <c r="F168" s="63">
        <f t="shared" si="68"/>
        <v>0</v>
      </c>
      <c r="G168" s="63">
        <f t="shared" si="68"/>
        <v>0</v>
      </c>
      <c r="H168" s="63">
        <f t="shared" si="68"/>
        <v>0</v>
      </c>
      <c r="I168" s="63">
        <f t="shared" si="68"/>
        <v>0</v>
      </c>
      <c r="J168" s="63">
        <f t="shared" si="68"/>
        <v>0</v>
      </c>
      <c r="K168" s="63">
        <f t="shared" si="68"/>
        <v>107.83337773222402</v>
      </c>
      <c r="L168" s="63">
        <f t="shared" si="68"/>
        <v>131.77833693967784</v>
      </c>
      <c r="M168" s="63">
        <f t="shared" si="68"/>
        <v>238.36683421220368</v>
      </c>
      <c r="N168" s="63">
        <f t="shared" si="68"/>
        <v>279.5470566718276</v>
      </c>
      <c r="O168" s="63">
        <f t="shared" si="68"/>
        <v>594.4843247185803</v>
      </c>
      <c r="P168" s="63">
        <f t="shared" si="68"/>
        <v>612.1448161058231</v>
      </c>
      <c r="Q168" s="63">
        <f t="shared" si="68"/>
        <v>634.8568354406482</v>
      </c>
      <c r="R168" s="63">
        <f t="shared" si="68"/>
        <v>643.9159738364312</v>
      </c>
      <c r="S168" s="63">
        <f t="shared" si="68"/>
        <v>667.4955578508288</v>
      </c>
      <c r="T168" s="63">
        <f t="shared" si="68"/>
        <v>690.0471072279311</v>
      </c>
      <c r="U168" s="63">
        <f t="shared" si="68"/>
        <v>715.6096850821668</v>
      </c>
      <c r="V168" s="63">
        <f t="shared" si="68"/>
        <v>760.4318456259225</v>
      </c>
      <c r="W168" s="63">
        <f t="shared" si="68"/>
        <v>728.7294241216299</v>
      </c>
      <c r="X168" s="63">
        <f t="shared" si="68"/>
        <v>754.1113916247082</v>
      </c>
      <c r="Y168" s="63">
        <f t="shared" si="68"/>
        <v>796.0907884638254</v>
      </c>
      <c r="Z168" s="63">
        <f t="shared" si="68"/>
        <v>88.76560742197921</v>
      </c>
    </row>
    <row r="169" spans="1:26" ht="11.25">
      <c r="A169" s="63" t="s">
        <v>84</v>
      </c>
      <c r="B169" s="106"/>
      <c r="C169" s="63">
        <f>C84</f>
        <v>1160</v>
      </c>
      <c r="D169" s="63">
        <f aca="true" t="shared" si="69" ref="D169:Z169">D84</f>
        <v>8184.38</v>
      </c>
      <c r="E169" s="63">
        <f t="shared" si="69"/>
        <v>25047.849000000002</v>
      </c>
      <c r="F169" s="63">
        <f t="shared" si="69"/>
        <v>4408.060718</v>
      </c>
      <c r="G169" s="63">
        <f t="shared" si="69"/>
        <v>371.4179073</v>
      </c>
      <c r="H169" s="63">
        <f t="shared" si="69"/>
        <v>0</v>
      </c>
      <c r="I169" s="63">
        <f t="shared" si="69"/>
        <v>0</v>
      </c>
      <c r="J169" s="63">
        <f t="shared" si="69"/>
        <v>153.73423317810878</v>
      </c>
      <c r="K169" s="63">
        <f t="shared" si="69"/>
        <v>0</v>
      </c>
      <c r="L169" s="63">
        <f t="shared" si="69"/>
        <v>0</v>
      </c>
      <c r="M169" s="63">
        <f t="shared" si="69"/>
        <v>0</v>
      </c>
      <c r="N169" s="63">
        <f t="shared" si="69"/>
        <v>1128.1506046404234</v>
      </c>
      <c r="O169" s="63">
        <f t="shared" si="69"/>
        <v>142.57608868461793</v>
      </c>
      <c r="P169" s="63">
        <f t="shared" si="69"/>
        <v>0</v>
      </c>
      <c r="Q169" s="63">
        <f t="shared" si="69"/>
        <v>1157.1311395141606</v>
      </c>
      <c r="R169" s="63">
        <f t="shared" si="69"/>
        <v>194.74592707509566</v>
      </c>
      <c r="S169" s="63">
        <f t="shared" si="69"/>
        <v>0</v>
      </c>
      <c r="T169" s="63">
        <f t="shared" si="69"/>
        <v>0</v>
      </c>
      <c r="U169" s="63">
        <f t="shared" si="69"/>
        <v>0</v>
      </c>
      <c r="V169" s="63">
        <f t="shared" si="69"/>
        <v>4296.0898300389</v>
      </c>
      <c r="W169" s="63">
        <f t="shared" si="69"/>
        <v>0</v>
      </c>
      <c r="X169" s="63">
        <f t="shared" si="69"/>
        <v>232.5368214636872</v>
      </c>
      <c r="Y169" s="63">
        <f t="shared" si="69"/>
        <v>0</v>
      </c>
      <c r="Z169" s="63">
        <f t="shared" si="69"/>
        <v>0</v>
      </c>
    </row>
    <row r="171" spans="1:26" ht="11.25">
      <c r="A171" s="62" t="s">
        <v>95</v>
      </c>
      <c r="B171" s="106"/>
      <c r="C171" s="63">
        <f>C161+C162+C163-SUM(C165:C169)</f>
        <v>-1160</v>
      </c>
      <c r="D171" s="63">
        <f aca="true" t="shared" si="70" ref="D171:Z171">D161+D162+D163-SUM(D165:D169)</f>
        <v>-8184.38</v>
      </c>
      <c r="E171" s="63">
        <f t="shared" si="70"/>
        <v>-25047.849000000002</v>
      </c>
      <c r="F171" s="63">
        <f t="shared" si="70"/>
        <v>-291.004100051824</v>
      </c>
      <c r="G171" s="63">
        <f t="shared" si="70"/>
        <v>5337.097552145371</v>
      </c>
      <c r="H171" s="63">
        <f t="shared" si="70"/>
        <v>5963.332245449656</v>
      </c>
      <c r="I171" s="63">
        <f t="shared" si="70"/>
        <v>6140.883687246215</v>
      </c>
      <c r="J171" s="63">
        <f t="shared" si="70"/>
        <v>6171.375964685493</v>
      </c>
      <c r="K171" s="63">
        <f t="shared" si="70"/>
        <v>6423.448416399633</v>
      </c>
      <c r="L171" s="63">
        <f t="shared" si="70"/>
        <v>6580.004642270992</v>
      </c>
      <c r="M171" s="63">
        <f t="shared" si="70"/>
        <v>6673.251856968696</v>
      </c>
      <c r="N171" s="63">
        <f t="shared" si="70"/>
        <v>5711.269590604077</v>
      </c>
      <c r="O171" s="63">
        <f t="shared" si="70"/>
        <v>6613.95478648481</v>
      </c>
      <c r="P171" s="63">
        <f t="shared" si="70"/>
        <v>6942.026057803836</v>
      </c>
      <c r="Q171" s="63">
        <f t="shared" si="70"/>
        <v>5987.099753329967</v>
      </c>
      <c r="R171" s="63">
        <f t="shared" si="70"/>
        <v>7173.798459221791</v>
      </c>
      <c r="S171" s="63">
        <f t="shared" si="70"/>
        <v>7606.136812067041</v>
      </c>
      <c r="T171" s="63">
        <f t="shared" si="70"/>
        <v>7812.238763602789</v>
      </c>
      <c r="U171" s="63">
        <f t="shared" si="70"/>
        <v>8039.822086865235</v>
      </c>
      <c r="V171" s="63">
        <f t="shared" si="70"/>
        <v>3961.5730494410036</v>
      </c>
      <c r="W171" s="63">
        <f t="shared" si="70"/>
        <v>8583.316698922114</v>
      </c>
      <c r="X171" s="63">
        <f t="shared" si="70"/>
        <v>8582.749439670104</v>
      </c>
      <c r="Y171" s="63">
        <f t="shared" si="70"/>
        <v>9058.224806216891</v>
      </c>
      <c r="Z171" s="63">
        <f t="shared" si="70"/>
        <v>2350.1939059785987</v>
      </c>
    </row>
    <row r="172" spans="1:2" ht="11.25">
      <c r="A172" s="92" t="s">
        <v>160</v>
      </c>
      <c r="B172" s="13">
        <f>NPV(B69,D171:Z171)+C171</f>
        <v>1679.4990857754865</v>
      </c>
    </row>
    <row r="173" spans="1:2" ht="11.25">
      <c r="A173" s="92" t="s">
        <v>158</v>
      </c>
      <c r="B173" s="64">
        <f>IRR(C171:Z171)</f>
        <v>0.14196685528914965</v>
      </c>
    </row>
    <row r="174" spans="1:26" ht="11.25">
      <c r="A174" s="62" t="s">
        <v>85</v>
      </c>
      <c r="B174" s="106"/>
      <c r="C174" s="63">
        <f>C119</f>
        <v>0</v>
      </c>
      <c r="D174" s="63">
        <f aca="true" t="shared" si="71" ref="D174:Z174">D119</f>
        <v>0</v>
      </c>
      <c r="E174" s="63">
        <f>E119</f>
        <v>18032.419305335607</v>
      </c>
      <c r="F174" s="63">
        <f t="shared" si="71"/>
        <v>245.28046982775678</v>
      </c>
      <c r="G174" s="63">
        <f t="shared" si="71"/>
        <v>-4758.546915004921</v>
      </c>
      <c r="H174" s="63">
        <f t="shared" si="71"/>
        <v>-4294.366228786567</v>
      </c>
      <c r="I174" s="63">
        <f t="shared" si="71"/>
        <v>-3858.240561937838</v>
      </c>
      <c r="J174" s="63">
        <f t="shared" si="71"/>
        <v>-3448.7210363382947</v>
      </c>
      <c r="K174" s="63">
        <f t="shared" si="71"/>
        <v>-3064.4278942589017</v>
      </c>
      <c r="L174" s="63">
        <f t="shared" si="71"/>
        <v>-2704.0473552923177</v>
      </c>
      <c r="M174" s="63">
        <f t="shared" si="71"/>
        <v>-2366.3286116831664</v>
      </c>
      <c r="N174" s="63">
        <f t="shared" si="71"/>
        <v>-2050.080956103079</v>
      </c>
      <c r="O174" s="63">
        <f t="shared" si="71"/>
        <v>0</v>
      </c>
      <c r="P174" s="63">
        <f t="shared" si="71"/>
        <v>0</v>
      </c>
      <c r="Q174" s="63">
        <f t="shared" si="71"/>
        <v>0</v>
      </c>
      <c r="R174" s="63">
        <f t="shared" si="71"/>
        <v>0</v>
      </c>
      <c r="S174" s="63">
        <f t="shared" si="71"/>
        <v>0</v>
      </c>
      <c r="T174" s="63">
        <f t="shared" si="71"/>
        <v>0</v>
      </c>
      <c r="U174" s="63">
        <f t="shared" si="71"/>
        <v>0</v>
      </c>
      <c r="V174" s="63">
        <f t="shared" si="71"/>
        <v>0</v>
      </c>
      <c r="W174" s="63">
        <f t="shared" si="71"/>
        <v>0</v>
      </c>
      <c r="X174" s="63">
        <f t="shared" si="71"/>
        <v>0</v>
      </c>
      <c r="Y174" s="63">
        <f t="shared" si="71"/>
        <v>0</v>
      </c>
      <c r="Z174" s="63">
        <f t="shared" si="71"/>
        <v>0</v>
      </c>
    </row>
    <row r="175" spans="1:2" ht="11.25">
      <c r="A175" s="92"/>
      <c r="B175" s="8"/>
    </row>
    <row r="176" spans="1:26" ht="11.25">
      <c r="A176" s="62" t="s">
        <v>96</v>
      </c>
      <c r="B176" s="106"/>
      <c r="C176" s="63">
        <f>C171+C174</f>
        <v>-1160</v>
      </c>
      <c r="D176" s="63">
        <f aca="true" t="shared" si="72" ref="D176:Z176">D171+D174</f>
        <v>-8184.38</v>
      </c>
      <c r="E176" s="63">
        <f t="shared" si="72"/>
        <v>-7015.429694664395</v>
      </c>
      <c r="F176" s="63">
        <f t="shared" si="72"/>
        <v>-45.72363022406725</v>
      </c>
      <c r="G176" s="63">
        <f t="shared" si="72"/>
        <v>578.5506371404499</v>
      </c>
      <c r="H176" s="63">
        <f t="shared" si="72"/>
        <v>1668.9660166630883</v>
      </c>
      <c r="I176" s="63">
        <f t="shared" si="72"/>
        <v>2282.6431253083774</v>
      </c>
      <c r="J176" s="63">
        <f t="shared" si="72"/>
        <v>2722.6549283471986</v>
      </c>
      <c r="K176" s="63">
        <f t="shared" si="72"/>
        <v>3359.0205221407314</v>
      </c>
      <c r="L176" s="63">
        <f t="shared" si="72"/>
        <v>3875.9572869786743</v>
      </c>
      <c r="M176" s="63">
        <f t="shared" si="72"/>
        <v>4306.92324528553</v>
      </c>
      <c r="N176" s="63">
        <f t="shared" si="72"/>
        <v>3661.188634500998</v>
      </c>
      <c r="O176" s="63">
        <f t="shared" si="72"/>
        <v>6613.95478648481</v>
      </c>
      <c r="P176" s="63">
        <f t="shared" si="72"/>
        <v>6942.026057803836</v>
      </c>
      <c r="Q176" s="63">
        <f t="shared" si="72"/>
        <v>5987.099753329967</v>
      </c>
      <c r="R176" s="63">
        <f t="shared" si="72"/>
        <v>7173.798459221791</v>
      </c>
      <c r="S176" s="63">
        <f t="shared" si="72"/>
        <v>7606.136812067041</v>
      </c>
      <c r="T176" s="63">
        <f t="shared" si="72"/>
        <v>7812.238763602789</v>
      </c>
      <c r="U176" s="63">
        <f t="shared" si="72"/>
        <v>8039.822086865235</v>
      </c>
      <c r="V176" s="63">
        <f t="shared" si="72"/>
        <v>3961.5730494410036</v>
      </c>
      <c r="W176" s="63">
        <f t="shared" si="72"/>
        <v>8583.316698922114</v>
      </c>
      <c r="X176" s="63">
        <f t="shared" si="72"/>
        <v>8582.749439670104</v>
      </c>
      <c r="Y176" s="63">
        <f t="shared" si="72"/>
        <v>9058.224806216891</v>
      </c>
      <c r="Z176" s="63">
        <f t="shared" si="72"/>
        <v>2350.1939059785987</v>
      </c>
    </row>
    <row r="177" spans="1:2" ht="11.25">
      <c r="A177" s="92" t="s">
        <v>179</v>
      </c>
      <c r="B177" s="102">
        <f>NPV(B68,D176:Z176)+C176</f>
        <v>1663.187157989979</v>
      </c>
    </row>
    <row r="178" spans="1:2" ht="11.25">
      <c r="A178" s="92" t="s">
        <v>161</v>
      </c>
      <c r="B178" s="64">
        <f>IRR(C176:Z176)</f>
        <v>0.16248985750729797</v>
      </c>
    </row>
    <row r="180" spans="1:17" ht="11.25">
      <c r="A180" s="62" t="s">
        <v>159</v>
      </c>
      <c r="B180" s="66">
        <f>AVERAGE(G180:L180)</f>
        <v>1.7368070396037438</v>
      </c>
      <c r="G180" s="93">
        <f>-G171/G174</f>
        <v>1.121581366638654</v>
      </c>
      <c r="H180" s="93">
        <f aca="true" t="shared" si="73" ref="H180:N180">-H171/H174</f>
        <v>1.388640820961066</v>
      </c>
      <c r="I180" s="93">
        <f t="shared" si="73"/>
        <v>1.5916279943316698</v>
      </c>
      <c r="J180" s="93">
        <f t="shared" si="73"/>
        <v>1.7894680084759764</v>
      </c>
      <c r="K180" s="93">
        <f t="shared" si="73"/>
        <v>2.096132993839972</v>
      </c>
      <c r="L180" s="93">
        <f t="shared" si="73"/>
        <v>2.433391053375124</v>
      </c>
      <c r="M180" s="93">
        <f t="shared" si="73"/>
        <v>2.820086704788656</v>
      </c>
      <c r="N180" s="93">
        <f t="shared" si="73"/>
        <v>2.78587514976014</v>
      </c>
      <c r="O180" s="94"/>
      <c r="P180" s="93"/>
      <c r="Q180" s="93"/>
    </row>
    <row r="181" ht="11.25">
      <c r="B181" s="67"/>
    </row>
    <row r="182" spans="1:5" s="65" customFormat="1" ht="11.25">
      <c r="A182" s="95" t="s">
        <v>136</v>
      </c>
      <c r="C182" s="96"/>
      <c r="D182" s="96"/>
      <c r="E182" s="96"/>
    </row>
    <row r="183" spans="1:26" s="65" customFormat="1" ht="11.25">
      <c r="A183" s="65" t="s">
        <v>137</v>
      </c>
      <c r="C183" s="96"/>
      <c r="D183" s="96"/>
      <c r="E183" s="97"/>
      <c r="F183" s="97">
        <f>F156/F155</f>
        <v>0</v>
      </c>
      <c r="G183" s="97">
        <f aca="true" t="shared" si="74" ref="G183:Z183">G156/G155</f>
        <v>0</v>
      </c>
      <c r="H183" s="97">
        <f t="shared" si="74"/>
        <v>0</v>
      </c>
      <c r="I183" s="97">
        <f t="shared" si="74"/>
        <v>0</v>
      </c>
      <c r="J183" s="97">
        <f t="shared" si="74"/>
        <v>0</v>
      </c>
      <c r="K183" s="97">
        <f t="shared" si="74"/>
        <v>0.05</v>
      </c>
      <c r="L183" s="97">
        <f t="shared" si="74"/>
        <v>0.05</v>
      </c>
      <c r="M183" s="97">
        <f t="shared" si="74"/>
        <v>0.05</v>
      </c>
      <c r="N183" s="97">
        <f t="shared" si="74"/>
        <v>0.05</v>
      </c>
      <c r="O183" s="97">
        <f t="shared" si="74"/>
        <v>0.1</v>
      </c>
      <c r="P183" s="97">
        <f t="shared" si="74"/>
        <v>0.1</v>
      </c>
      <c r="Q183" s="97">
        <f t="shared" si="74"/>
        <v>0.1</v>
      </c>
      <c r="R183" s="97">
        <f t="shared" si="74"/>
        <v>0.1</v>
      </c>
      <c r="S183" s="97">
        <f t="shared" si="74"/>
        <v>0.1</v>
      </c>
      <c r="T183" s="97">
        <f t="shared" si="74"/>
        <v>0.1</v>
      </c>
      <c r="U183" s="97">
        <f t="shared" si="74"/>
        <v>0.1</v>
      </c>
      <c r="V183" s="97">
        <f t="shared" si="74"/>
        <v>0.1</v>
      </c>
      <c r="W183" s="97">
        <f t="shared" si="74"/>
        <v>0.1</v>
      </c>
      <c r="X183" s="97">
        <f t="shared" si="74"/>
        <v>0.1</v>
      </c>
      <c r="Y183" s="97">
        <f t="shared" si="74"/>
        <v>0.1</v>
      </c>
      <c r="Z183" s="97">
        <f t="shared" si="74"/>
        <v>0.1</v>
      </c>
    </row>
    <row r="184" spans="1:26" s="65" customFormat="1" ht="11.25">
      <c r="A184" s="65" t="s">
        <v>139</v>
      </c>
      <c r="F184" s="65">
        <f>F103-F185</f>
        <v>16592.738530383627</v>
      </c>
      <c r="G184" s="65">
        <f>G103-G185</f>
        <v>16787.36591232087</v>
      </c>
      <c r="H184" s="65">
        <f>H103-H185</f>
        <v>16351.992745025846</v>
      </c>
      <c r="I184" s="65">
        <f>I103-I185</f>
        <v>15722.104776768087</v>
      </c>
      <c r="J184" s="65">
        <f>J103-J185</f>
        <v>15061.908560866998</v>
      </c>
      <c r="K184" s="65">
        <f>K103-K185</f>
        <v>14051.934775406293</v>
      </c>
      <c r="L184" s="65">
        <f>L103-L185</f>
        <v>12894.21997006827</v>
      </c>
      <c r="M184" s="65">
        <f>M103-M185</f>
        <v>13246.680923040964</v>
      </c>
      <c r="N184" s="65">
        <f>N103-N185</f>
        <v>14950.536818973904</v>
      </c>
      <c r="O184" s="65">
        <f>O103-O185</f>
        <v>13667.650638555875</v>
      </c>
      <c r="P184" s="65">
        <f>P103-P185</f>
        <v>12218.425688005791</v>
      </c>
      <c r="Q184" s="65">
        <f>Q103-Q185</f>
        <v>11926.331876969867</v>
      </c>
      <c r="R184" s="65">
        <f>R103-R185</f>
        <v>10528.510438304014</v>
      </c>
      <c r="S184" s="65">
        <f>S103-S185</f>
        <v>8908.122225838051</v>
      </c>
      <c r="T184" s="65">
        <f>T103-T185</f>
        <v>7287.734013372089</v>
      </c>
      <c r="U184" s="65">
        <f>U103-U185</f>
        <v>5667.345800906127</v>
      </c>
      <c r="V184" s="65">
        <f>V103-V185</f>
        <v>8527.97447201799</v>
      </c>
      <c r="W184" s="65">
        <f>W103-W185</f>
        <v>6478.7861945139675</v>
      </c>
      <c r="X184" s="65">
        <f>X103-X185</f>
        <v>4662.134738473633</v>
      </c>
      <c r="Y184" s="65">
        <f>Y103-Y185</f>
        <v>2745.0313635482494</v>
      </c>
      <c r="Z184" s="65">
        <f>Z103-Z185</f>
        <v>2007.2790853478798</v>
      </c>
    </row>
    <row r="185" spans="1:26" s="65" customFormat="1" ht="11.25">
      <c r="A185" s="65" t="s">
        <v>140</v>
      </c>
      <c r="F185" s="65">
        <f>F118</f>
        <v>19773.379413806855</v>
      </c>
      <c r="G185" s="65">
        <f aca="true" t="shared" si="75" ref="G185:Z185">G118</f>
        <v>16654.914202517226</v>
      </c>
      <c r="H185" s="65">
        <f t="shared" si="75"/>
        <v>13741.971932117014</v>
      </c>
      <c r="I185" s="65">
        <f t="shared" si="75"/>
        <v>11023.544462679536</v>
      </c>
      <c r="J185" s="65">
        <f t="shared" si="75"/>
        <v>8489.159474063496</v>
      </c>
      <c r="K185" s="65">
        <f t="shared" si="75"/>
        <v>6128.855788517803</v>
      </c>
      <c r="L185" s="65">
        <f t="shared" si="75"/>
        <v>3933.1597895160976</v>
      </c>
      <c r="M185" s="65">
        <f t="shared" si="75"/>
        <v>1893.0628893465332</v>
      </c>
      <c r="N185" s="65">
        <f t="shared" si="75"/>
        <v>0</v>
      </c>
      <c r="O185" s="65">
        <f t="shared" si="75"/>
        <v>0</v>
      </c>
      <c r="P185" s="65">
        <f t="shared" si="75"/>
        <v>0</v>
      </c>
      <c r="Q185" s="65">
        <f t="shared" si="75"/>
        <v>0</v>
      </c>
      <c r="R185" s="65">
        <f t="shared" si="75"/>
        <v>0</v>
      </c>
      <c r="S185" s="65">
        <f t="shared" si="75"/>
        <v>0</v>
      </c>
      <c r="T185" s="65">
        <f t="shared" si="75"/>
        <v>0</v>
      </c>
      <c r="U185" s="65">
        <f t="shared" si="75"/>
        <v>0</v>
      </c>
      <c r="V185" s="65">
        <f t="shared" si="75"/>
        <v>0</v>
      </c>
      <c r="W185" s="65">
        <f t="shared" si="75"/>
        <v>0</v>
      </c>
      <c r="X185" s="65">
        <f t="shared" si="75"/>
        <v>0</v>
      </c>
      <c r="Y185" s="65">
        <f t="shared" si="75"/>
        <v>0</v>
      </c>
      <c r="Z185" s="65">
        <f t="shared" si="75"/>
        <v>0</v>
      </c>
    </row>
    <row r="186" spans="1:26" s="65" customFormat="1" ht="11.25">
      <c r="A186" s="65" t="s">
        <v>138</v>
      </c>
      <c r="E186" s="98"/>
      <c r="F186" s="98">
        <f>F185/F184</f>
        <v>1.1916887244139374</v>
      </c>
      <c r="G186" s="98">
        <f aca="true" t="shared" si="76" ref="G186:Z186">G185/G184</f>
        <v>0.9921100361727129</v>
      </c>
      <c r="H186" s="98">
        <f t="shared" si="76"/>
        <v>0.8403851534423669</v>
      </c>
      <c r="I186" s="98">
        <f t="shared" si="76"/>
        <v>0.7011494083774699</v>
      </c>
      <c r="J186" s="98">
        <f t="shared" si="76"/>
        <v>0.5636177805593344</v>
      </c>
      <c r="K186" s="98">
        <f t="shared" si="76"/>
        <v>0.43615743215977143</v>
      </c>
      <c r="L186" s="98">
        <f t="shared" si="76"/>
        <v>0.30503278202529943</v>
      </c>
      <c r="M186" s="98">
        <f t="shared" si="76"/>
        <v>0.14290846894740133</v>
      </c>
      <c r="N186" s="98">
        <f t="shared" si="76"/>
        <v>0</v>
      </c>
      <c r="O186" s="98">
        <f t="shared" si="76"/>
        <v>0</v>
      </c>
      <c r="P186" s="98">
        <f t="shared" si="76"/>
        <v>0</v>
      </c>
      <c r="Q186" s="98">
        <f t="shared" si="76"/>
        <v>0</v>
      </c>
      <c r="R186" s="98">
        <f t="shared" si="76"/>
        <v>0</v>
      </c>
      <c r="S186" s="98">
        <f t="shared" si="76"/>
        <v>0</v>
      </c>
      <c r="T186" s="98">
        <f t="shared" si="76"/>
        <v>0</v>
      </c>
      <c r="U186" s="98">
        <f t="shared" si="76"/>
        <v>0</v>
      </c>
      <c r="V186" s="98">
        <f t="shared" si="76"/>
        <v>0</v>
      </c>
      <c r="W186" s="98">
        <f t="shared" si="76"/>
        <v>0</v>
      </c>
      <c r="X186" s="98">
        <f t="shared" si="76"/>
        <v>0</v>
      </c>
      <c r="Y186" s="98">
        <f t="shared" si="76"/>
        <v>0</v>
      </c>
      <c r="Z186" s="98">
        <f t="shared" si="76"/>
        <v>0</v>
      </c>
    </row>
    <row r="189" ht="11.25">
      <c r="F189" s="75"/>
    </row>
    <row r="192" spans="2:5" ht="11.25">
      <c r="B192" s="8"/>
      <c r="C192" s="99"/>
      <c r="D192" s="100"/>
      <c r="E192" s="99"/>
    </row>
    <row r="194" spans="2:5" ht="11.25">
      <c r="B194" s="8"/>
      <c r="C194" s="99"/>
      <c r="D194" s="99"/>
      <c r="E194" s="99"/>
    </row>
    <row r="196" spans="1:8" ht="11.25">
      <c r="A196" s="62"/>
      <c r="C196" s="4"/>
      <c r="D196" s="4"/>
      <c r="E196" s="4"/>
      <c r="F196" s="4"/>
      <c r="G196" s="4"/>
      <c r="H196" s="4"/>
    </row>
    <row r="205" spans="2:8" ht="11.25">
      <c r="B205" s="8"/>
      <c r="C205" s="99"/>
      <c r="D205" s="99"/>
      <c r="E205" s="99"/>
      <c r="F205" s="99"/>
      <c r="G205" s="99"/>
      <c r="H205" s="99"/>
    </row>
    <row r="207" spans="2:8" ht="11.25">
      <c r="B207" s="8"/>
      <c r="C207" s="99"/>
      <c r="D207" s="99"/>
      <c r="E207" s="99"/>
      <c r="F207" s="99"/>
      <c r="G207" s="99"/>
      <c r="H207" s="99"/>
    </row>
    <row r="209" spans="1:6" ht="11.25">
      <c r="A209" s="62"/>
      <c r="C209" s="4"/>
      <c r="D209" s="4"/>
      <c r="E209" s="4"/>
      <c r="F209" s="4"/>
    </row>
    <row r="210" ht="11.25">
      <c r="B210" s="4"/>
    </row>
    <row r="211" ht="11.25">
      <c r="B211" s="4"/>
    </row>
    <row r="212" ht="11.25">
      <c r="B212" s="4"/>
    </row>
    <row r="213" ht="11.25">
      <c r="B213" s="4"/>
    </row>
    <row r="214" ht="11.25">
      <c r="B214" s="4"/>
    </row>
    <row r="215" ht="11.25">
      <c r="B215" s="4"/>
    </row>
    <row r="216" ht="11.25">
      <c r="B216" s="4"/>
    </row>
    <row r="218" ht="11.25">
      <c r="A218" s="62"/>
    </row>
    <row r="219" spans="6:26" ht="11.25"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6:26" ht="11.25"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6:26" ht="11.25"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6:26" ht="11.25"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6:26" ht="11.25"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34" spans="2:5" ht="11.25">
      <c r="B234" s="8"/>
      <c r="C234" s="99"/>
      <c r="D234" s="99"/>
      <c r="E234" s="99"/>
    </row>
    <row r="236" spans="2:5" ht="11.25">
      <c r="B236" s="8"/>
      <c r="C236" s="99"/>
      <c r="D236" s="99"/>
      <c r="E236" s="99"/>
    </row>
  </sheetData>
  <sheetProtection/>
  <printOptions headings="1" horizontalCentered="1"/>
  <pageMargins left="0" right="0" top="0.75" bottom="0.75" header="0.5" footer="0.5"/>
  <pageSetup fitToHeight="14" fitToWidth="1" horizontalDpi="600" verticalDpi="600" orientation="landscape" paperSize="9" scale="65" r:id="rId4"/>
  <headerFooter alignWithMargins="0">
    <oddHeader>&amp;LFulbright Economics Teaching Program&amp;CProject Appraisal &amp;RCase study</oddHeader>
    <oddFooter>&amp;RPage 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0.8515625" style="18" bestFit="1" customWidth="1"/>
    <col min="2" max="2" width="9.140625" style="18" customWidth="1"/>
    <col min="3" max="3" width="3.57421875" style="18" customWidth="1"/>
    <col min="4" max="4" width="38.00390625" style="18" bestFit="1" customWidth="1"/>
    <col min="5" max="5" width="9.140625" style="18" customWidth="1"/>
    <col min="6" max="6" width="4.140625" style="18" customWidth="1"/>
    <col min="7" max="7" width="24.57421875" style="18" customWidth="1"/>
    <col min="8" max="8" width="6.7109375" style="18" customWidth="1"/>
    <col min="9" max="9" width="4.140625" style="18" customWidth="1"/>
    <col min="10" max="10" width="9.140625" style="18" customWidth="1"/>
    <col min="11" max="11" width="9.7109375" style="18" customWidth="1"/>
    <col min="12" max="12" width="3.00390625" style="18" customWidth="1"/>
    <col min="13" max="13" width="7.421875" style="18" customWidth="1"/>
    <col min="14" max="14" width="6.421875" style="18" customWidth="1"/>
    <col min="15" max="16384" width="9.140625" style="18" customWidth="1"/>
  </cols>
  <sheetData>
    <row r="1" spans="1:14" ht="11.25">
      <c r="A1" s="17" t="s">
        <v>0</v>
      </c>
      <c r="B1" s="17">
        <v>1998</v>
      </c>
      <c r="J1" s="19" t="s">
        <v>98</v>
      </c>
      <c r="K1" s="20" t="s">
        <v>99</v>
      </c>
      <c r="M1" s="21" t="s">
        <v>100</v>
      </c>
      <c r="N1" s="22" t="s">
        <v>101</v>
      </c>
    </row>
    <row r="2" spans="10:14" ht="11.25">
      <c r="J2" s="23">
        <v>35797</v>
      </c>
      <c r="K2" s="24">
        <v>5.94</v>
      </c>
      <c r="M2" s="25" t="s">
        <v>102</v>
      </c>
      <c r="N2" s="26">
        <v>80</v>
      </c>
    </row>
    <row r="3" spans="1:14" ht="11.25">
      <c r="A3" s="27" t="s">
        <v>103</v>
      </c>
      <c r="B3" s="28"/>
      <c r="D3" s="29" t="s">
        <v>104</v>
      </c>
      <c r="E3" s="28"/>
      <c r="G3" s="29" t="s">
        <v>133</v>
      </c>
      <c r="H3" s="28"/>
      <c r="J3" s="23">
        <v>35800</v>
      </c>
      <c r="K3" s="24">
        <v>5.82</v>
      </c>
      <c r="M3" s="25" t="s">
        <v>105</v>
      </c>
      <c r="N3" s="26">
        <v>90</v>
      </c>
    </row>
    <row r="4" spans="1:14" ht="11.25">
      <c r="A4" s="30"/>
      <c r="B4" s="31"/>
      <c r="D4" s="57" t="s">
        <v>143</v>
      </c>
      <c r="E4" s="58">
        <v>2</v>
      </c>
      <c r="G4" s="30" t="s">
        <v>134</v>
      </c>
      <c r="H4" s="31" t="s">
        <v>106</v>
      </c>
      <c r="J4" s="23">
        <v>35801</v>
      </c>
      <c r="K4" s="24">
        <v>5.8</v>
      </c>
      <c r="M4" s="25" t="s">
        <v>107</v>
      </c>
      <c r="N4" s="26">
        <v>95</v>
      </c>
    </row>
    <row r="5" spans="1:14" ht="11.25">
      <c r="A5" s="30" t="s">
        <v>108</v>
      </c>
      <c r="B5" s="33">
        <f>AVERAGE(K2:K21)/100</f>
        <v>0.05876499999999999</v>
      </c>
      <c r="D5" s="57" t="s">
        <v>142</v>
      </c>
      <c r="E5" s="59">
        <f>'Mo hinh co so - vay VND'!$B$28</f>
        <v>0.1</v>
      </c>
      <c r="G5" s="30" t="s">
        <v>135</v>
      </c>
      <c r="H5" s="32">
        <f>VLOOKUP(H4,$M$2:$N$19,2)/10000</f>
        <v>0.045</v>
      </c>
      <c r="J5" s="23">
        <v>35802</v>
      </c>
      <c r="K5" s="24">
        <v>5.88</v>
      </c>
      <c r="M5" s="25" t="s">
        <v>109</v>
      </c>
      <c r="N5" s="26">
        <v>60</v>
      </c>
    </row>
    <row r="6" spans="1:14" ht="11.25">
      <c r="A6" s="30" t="s">
        <v>110</v>
      </c>
      <c r="B6" s="35">
        <v>0.05630317390882755</v>
      </c>
      <c r="D6" s="57" t="s">
        <v>145</v>
      </c>
      <c r="E6" s="60">
        <f>AVERAGE('Mo hinh co so - vay VND'!F183:Z183)</f>
        <v>0.06666666666666668</v>
      </c>
      <c r="G6" s="30"/>
      <c r="H6" s="36"/>
      <c r="J6" s="23">
        <v>35803</v>
      </c>
      <c r="K6" s="24">
        <v>5.82</v>
      </c>
      <c r="M6" s="25" t="s">
        <v>111</v>
      </c>
      <c r="N6" s="26">
        <v>65</v>
      </c>
    </row>
    <row r="7" spans="1:14" ht="11.25">
      <c r="A7" s="30"/>
      <c r="B7" s="31"/>
      <c r="D7" s="57" t="s">
        <v>144</v>
      </c>
      <c r="E7" s="58">
        <v>1</v>
      </c>
      <c r="G7" s="37"/>
      <c r="H7" s="39"/>
      <c r="J7" s="23">
        <v>35804</v>
      </c>
      <c r="K7" s="24">
        <v>5.77</v>
      </c>
      <c r="M7" s="25" t="s">
        <v>112</v>
      </c>
      <c r="N7" s="26">
        <v>70</v>
      </c>
    </row>
    <row r="8" spans="1:14" ht="11.25">
      <c r="A8" s="30" t="s">
        <v>113</v>
      </c>
      <c r="B8" s="40">
        <v>0.6146618380043687</v>
      </c>
      <c r="D8" s="57" t="s">
        <v>146</v>
      </c>
      <c r="E8" s="61">
        <f>IF(E7=2,AVERAGE('Mo hinh co so - vay VND'!F186:Z186),'Mo hinh co so - vay VND'!F185/'Mo hinh co so - vay VND'!B59)</f>
        <v>1.7813855327753925</v>
      </c>
      <c r="J8" s="23">
        <v>35807</v>
      </c>
      <c r="K8" s="24">
        <v>5.76</v>
      </c>
      <c r="M8" s="25" t="s">
        <v>114</v>
      </c>
      <c r="N8" s="26">
        <v>0</v>
      </c>
    </row>
    <row r="9" spans="1:14" ht="11.25">
      <c r="A9" s="41" t="s">
        <v>115</v>
      </c>
      <c r="B9" s="42">
        <v>0.7054850280669493</v>
      </c>
      <c r="D9" s="30" t="s">
        <v>147</v>
      </c>
      <c r="E9" s="32">
        <f>1/(E8+1)</f>
        <v>0.35953304143426484</v>
      </c>
      <c r="J9" s="23">
        <v>35808</v>
      </c>
      <c r="K9" s="24">
        <v>5.76</v>
      </c>
      <c r="M9" s="25" t="s">
        <v>106</v>
      </c>
      <c r="N9" s="26">
        <v>450</v>
      </c>
    </row>
    <row r="10" spans="1:14" ht="11.25">
      <c r="A10" s="41" t="s">
        <v>116</v>
      </c>
      <c r="B10" s="43">
        <v>0.36560000000000004</v>
      </c>
      <c r="D10" s="37" t="s">
        <v>148</v>
      </c>
      <c r="E10" s="38">
        <f>1/(1/E8+1)</f>
        <v>0.6404669585657352</v>
      </c>
      <c r="J10" s="23">
        <v>35809</v>
      </c>
      <c r="K10" s="24">
        <v>5.79</v>
      </c>
      <c r="M10" s="25" t="s">
        <v>117</v>
      </c>
      <c r="N10" s="26">
        <v>550</v>
      </c>
    </row>
    <row r="11" spans="1:14" ht="11.25">
      <c r="A11" s="30" t="s">
        <v>118</v>
      </c>
      <c r="B11" s="34">
        <f>B8/(1+(1-B10)*B9)</f>
        <v>0.42461933503512506</v>
      </c>
      <c r="J11" s="23">
        <v>35810</v>
      </c>
      <c r="K11" s="24">
        <v>5.81</v>
      </c>
      <c r="M11" s="25" t="s">
        <v>119</v>
      </c>
      <c r="N11" s="26">
        <v>650</v>
      </c>
    </row>
    <row r="12" spans="1:14" ht="11.25">
      <c r="A12" s="30"/>
      <c r="B12" s="31"/>
      <c r="D12" s="44"/>
      <c r="J12" s="23">
        <v>35811</v>
      </c>
      <c r="K12" s="24">
        <v>5.87</v>
      </c>
      <c r="M12" s="25" t="s">
        <v>120</v>
      </c>
      <c r="N12" s="26">
        <v>250</v>
      </c>
    </row>
    <row r="13" spans="1:14" ht="11.25">
      <c r="A13" s="37" t="s">
        <v>121</v>
      </c>
      <c r="B13" s="45">
        <f>B11*(1+IF(E4=2,(1-E6)*E8,(1-E5)*E8))</f>
        <v>1.1306026927121857</v>
      </c>
      <c r="J13" s="23">
        <v>35815</v>
      </c>
      <c r="K13" s="24">
        <v>5.89</v>
      </c>
      <c r="M13" s="25" t="s">
        <v>122</v>
      </c>
      <c r="N13" s="26">
        <v>300</v>
      </c>
    </row>
    <row r="14" spans="5:14" ht="11.25">
      <c r="E14" s="17" t="s">
        <v>123</v>
      </c>
      <c r="G14" s="17" t="s">
        <v>124</v>
      </c>
      <c r="J14" s="23">
        <v>35816</v>
      </c>
      <c r="K14" s="24">
        <v>5.87</v>
      </c>
      <c r="M14" s="25" t="s">
        <v>125</v>
      </c>
      <c r="N14" s="26">
        <v>400</v>
      </c>
    </row>
    <row r="15" spans="4:14" ht="11.25">
      <c r="D15" s="46" t="s">
        <v>126</v>
      </c>
      <c r="E15" s="47">
        <f>'Mo hinh co so - vay VND'!B119</f>
        <v>0.08294392523364902</v>
      </c>
      <c r="G15" s="48">
        <f>(1+E15)/(1+'Mo hinh co so - vay VND'!$B$6)-1</f>
        <v>0.05140186915888245</v>
      </c>
      <c r="J15" s="23">
        <v>35817</v>
      </c>
      <c r="K15" s="24">
        <v>5.91</v>
      </c>
      <c r="M15" s="25" t="s">
        <v>127</v>
      </c>
      <c r="N15" s="26">
        <v>120</v>
      </c>
    </row>
    <row r="16" spans="4:14" ht="11.25">
      <c r="D16" s="46" t="s">
        <v>128</v>
      </c>
      <c r="E16" s="47">
        <f>B5+B6*B13+H5</f>
        <v>0.1674215200295629</v>
      </c>
      <c r="G16" s="48">
        <f>(1+E16)/(1+'Mo hinh co so - vay VND'!$B$6)-1</f>
        <v>0.1334189514850126</v>
      </c>
      <c r="J16" s="23">
        <v>35818</v>
      </c>
      <c r="K16" s="24">
        <v>6.04</v>
      </c>
      <c r="M16" s="25" t="s">
        <v>129</v>
      </c>
      <c r="N16" s="26">
        <v>130</v>
      </c>
    </row>
    <row r="17" spans="2:14" ht="11.25">
      <c r="B17" s="49"/>
      <c r="D17" s="46" t="s">
        <v>141</v>
      </c>
      <c r="E17" s="48">
        <f>E16*E9+E15*E10</f>
        <v>0.11331641182367536</v>
      </c>
      <c r="G17" s="48">
        <f>(1+E17)/(1+'Mo hinh co so - vay VND'!$B$6)-1</f>
        <v>0.08088972021716057</v>
      </c>
      <c r="J17" s="23">
        <v>35821</v>
      </c>
      <c r="K17" s="24">
        <v>5.96</v>
      </c>
      <c r="M17" s="25" t="s">
        <v>130</v>
      </c>
      <c r="N17" s="26">
        <v>145</v>
      </c>
    </row>
    <row r="18" spans="10:14" ht="11.25">
      <c r="J18" s="23">
        <v>35822</v>
      </c>
      <c r="K18" s="24">
        <v>6.02</v>
      </c>
      <c r="M18" s="50" t="s">
        <v>131</v>
      </c>
      <c r="N18" s="51">
        <v>900</v>
      </c>
    </row>
    <row r="19" spans="2:14" ht="11.25">
      <c r="B19" s="44"/>
      <c r="J19" s="23">
        <v>35823</v>
      </c>
      <c r="K19" s="24">
        <v>6.02</v>
      </c>
      <c r="M19" s="52" t="s">
        <v>132</v>
      </c>
      <c r="N19" s="53">
        <v>750</v>
      </c>
    </row>
    <row r="20" spans="10:11" ht="11.25">
      <c r="J20" s="23">
        <v>35824</v>
      </c>
      <c r="K20" s="24">
        <v>5.92</v>
      </c>
    </row>
    <row r="21" spans="10:11" ht="11.25">
      <c r="J21" s="54">
        <v>35825</v>
      </c>
      <c r="K21" s="55">
        <v>5.88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thanhnx</dc:creator>
  <cp:keywords/>
  <dc:description/>
  <cp:lastModifiedBy>Phan Duy Dat</cp:lastModifiedBy>
  <cp:lastPrinted>2012-08-07T09:08:00Z</cp:lastPrinted>
  <dcterms:created xsi:type="dcterms:W3CDTF">2007-01-03T09:02:04Z</dcterms:created>
  <dcterms:modified xsi:type="dcterms:W3CDTF">2012-08-16T09:44:40Z</dcterms:modified>
  <cp:category/>
  <cp:version/>
  <cp:contentType/>
  <cp:contentStatus/>
</cp:coreProperties>
</file>