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635" windowHeight="6525" tabRatio="599" activeTab="0"/>
  </bookViews>
  <sheets>
    <sheet name="Mô hình cơ sở" sheetId="1" r:id="rId1"/>
    <sheet name="Đề xuất 1" sheetId="2" r:id="rId2"/>
    <sheet name="Đề xuất 2" sheetId="3" r:id="rId3"/>
  </sheets>
  <definedNames>
    <definedName name="ZA0" localSheetId="1">"Crystal Ball Data : Ver. 5.0"</definedName>
    <definedName name="ZA0" localSheetId="2">"Crystal Ball Data : Ver. 5.0"</definedName>
    <definedName name="ZA0" localSheetId="0">"Crystal Ball Data : Ver. 5.0"</definedName>
    <definedName name="ZA0A" localSheetId="1">1+100</definedName>
    <definedName name="ZA0A" localSheetId="2">1+100</definedName>
    <definedName name="ZA0A" localSheetId="0">1+100</definedName>
    <definedName name="ZA0F" localSheetId="1">4+103</definedName>
    <definedName name="ZA0F" localSheetId="2">4+103</definedName>
    <definedName name="ZA0F" localSheetId="0">4+103</definedName>
    <definedName name="ZA0T" localSheetId="1">607162171+0</definedName>
    <definedName name="ZA0T" localSheetId="2">607162171+0</definedName>
    <definedName name="ZA0T" localSheetId="0">607162171+0</definedName>
    <definedName name="ZA100" localSheetId="1">'Đề xuất 1'!$B$26+"AD27"+16417+240000+20000+0+"+"</definedName>
    <definedName name="ZA100" localSheetId="2">'Đề xuất 2'!$B$26+"AD27"+16417+240000+20000+0+"+"</definedName>
    <definedName name="ZA100" localSheetId="0">'Mô hình cơ sở'!$B$26+"AD27"+16417+240000+20000+0+"+"</definedName>
    <definedName name="ZF100" localSheetId="1">'Đề xuất 1'!$B$153+"NPV du an"+""+33+33+409+0+0+0+0+4+3+"-"+"+"+2.6+50+2+4+95+6057.9538617587+5</definedName>
    <definedName name="ZF100" localSheetId="2">'Đề xuất 2'!$B$153+"NPV du an"+""+33+33+409+0+0+0+0+4+3+"-"+"+"+2.6+50+2+4+95+6057.9538617587+5</definedName>
    <definedName name="ZF100" localSheetId="0">'Mô hình cơ sở'!$B$153+"NPV du an"+""+33+33+409+0+0+0+0+4+3+"-"+"+"+2.6+50+2+4+95+6057.9538617587+5</definedName>
    <definedName name="ZF101" localSheetId="1">'Đề xuất 1'!$B$161+"NPV chu dau tu"+""+33+33+409+0+0+0+0+4+3+"-"+"+"+2.6+50+2+4+95+2086.39148425037+5</definedName>
    <definedName name="ZF101" localSheetId="2">'Đề xuất 2'!$B$161+"NPV chu dau tu"+""+33+33+409+0+0+0+0+4+3+"-"+"+"+2.6+50+2+4+95+2086.39148425037+5</definedName>
    <definedName name="ZF101" localSheetId="0">'Mô hình cơ sở'!$B$161+"NPV chu dau tu"+""+33+33+409+0+0+0+0+4+3+"-"+"+"+2.6+50+2+4+95+2086.39148425037+5</definedName>
    <definedName name="ZF102" localSheetId="1">'Đề xuất 1'!$B$155+"IRR du an"+""+517+517+409+0+0+0+0+4+3+"-"+"+"+2.6+50+2+4+95+0.00638748825042672+5</definedName>
    <definedName name="ZF102" localSheetId="2">'Đề xuất 2'!$B$155+"IRR du an"+""+517+517+409+0+0+0+0+4+3+"-"+"+"+2.6+50+2+4+95+0.00638748825042672+5</definedName>
    <definedName name="ZF102" localSheetId="0">'Mô hình cơ sở'!$B$155+"IRR du an"+""+517+517+409+0+0+0+0+4+3+"-"+"+"+2.6+50+2+4+95+0.00638748825042672+5</definedName>
    <definedName name="ZF103" localSheetId="1">'Đề xuất 1'!$B$163+"IRR chu dau tu"+""+517+517+409+0+0+0+0+4+3+"-"+"+"+2.6+50+2+4+95+0.00933144010264194+5</definedName>
    <definedName name="ZF103" localSheetId="2">'Đề xuất 2'!$B$163+"IRR chu dau tu"+""+517+517+409+0+0+0+0+4+3+"-"+"+"+2.6+50+2+4+95+0.00933144010264194+5</definedName>
    <definedName name="ZF103" localSheetId="0">'Mô hình cơ sở'!$B$163+"IRR chu dau tu"+""+517+517+409+0+0+0+0+4+3+"-"+"+"+2.6+50+2+4+95+0.00933144010264194+5</definedName>
  </definedNames>
  <calcPr fullCalcOnLoad="1"/>
</workbook>
</file>

<file path=xl/sharedStrings.xml><?xml version="1.0" encoding="utf-8"?>
<sst xmlns="http://schemas.openxmlformats.org/spreadsheetml/2006/main" count="633" uniqueCount="203">
  <si>
    <t>Lạm phát Việt Nam</t>
  </si>
  <si>
    <t>Lạm phát Hoa Kỳ</t>
  </si>
  <si>
    <t>Năm</t>
  </si>
  <si>
    <t>năm</t>
  </si>
  <si>
    <t>Lịch khấu hao</t>
  </si>
  <si>
    <t>Lịch trả nợ</t>
  </si>
  <si>
    <t>Giải ngân nợ</t>
  </si>
  <si>
    <t>Trả lãi vay</t>
  </si>
  <si>
    <t>Trả nợ gốc</t>
  </si>
  <si>
    <t>Dư nợ cuối kỳ</t>
  </si>
  <si>
    <t>Chi phí</t>
  </si>
  <si>
    <t>Chi phí hoạt động</t>
  </si>
  <si>
    <t>Tổng chi phí hoạt động</t>
  </si>
  <si>
    <t>Lợi nhuận trước lãi vay và thuế (EBIT)</t>
  </si>
  <si>
    <t>Lợi nhuận trước thuế</t>
  </si>
  <si>
    <t>Thu nhập chịu thuế</t>
  </si>
  <si>
    <t>Thuế thu nhập doanh nghiệp</t>
  </si>
  <si>
    <t>Lợi nhuận sau thuế</t>
  </si>
  <si>
    <t>Ngân lưu tự do của dự án</t>
  </si>
  <si>
    <t>Nợ vay</t>
  </si>
  <si>
    <t>Vốn chủ sở hữu</t>
  </si>
  <si>
    <t>NPV</t>
  </si>
  <si>
    <t>Ngân lưu tự do của chủ sở hữu</t>
  </si>
  <si>
    <t>Lãi suất thực</t>
  </si>
  <si>
    <t>IRR danh nghĩa</t>
  </si>
  <si>
    <t>IRR thực</t>
  </si>
  <si>
    <t>Trừ: Lãi vay</t>
  </si>
  <si>
    <t>Doanh số</t>
  </si>
  <si>
    <t>DSCR (tỷ lệ an toàn trả nợ)</t>
  </si>
  <si>
    <t>Chi phí tiền hoạt động</t>
  </si>
  <si>
    <t>Vốn vay thương mại</t>
  </si>
  <si>
    <t>Cộng</t>
  </si>
  <si>
    <t>Quản lý phí</t>
  </si>
  <si>
    <t>Doanh thu</t>
  </si>
  <si>
    <t>Lợi nhuận trước k.hao, lãi vay và thuế (EBITDA)</t>
  </si>
  <si>
    <t>Trừ: Chi phí hoạt động</t>
  </si>
  <si>
    <t>Trừ: Khấu hao</t>
  </si>
  <si>
    <t>Tổng ngân lưu ra</t>
  </si>
  <si>
    <t>Chi phí đầu tư</t>
  </si>
  <si>
    <t>Ngân lưu nợ vay</t>
  </si>
  <si>
    <t>Chỉ số giá VND</t>
  </si>
  <si>
    <t>Chỉ số giá USD</t>
  </si>
  <si>
    <t>Tỷ giá VND/USD</t>
  </si>
  <si>
    <t>Ngân lưu tài chính</t>
  </si>
  <si>
    <t xml:space="preserve"> Phí dàn xếp và pháp lý</t>
  </si>
  <si>
    <t>Dư nợ đầu kỳ</t>
  </si>
  <si>
    <t>DỰ ÁN ĐƯỜNG ỐNG DẪN DẦU</t>
  </si>
  <si>
    <t>Đường ống</t>
  </si>
  <si>
    <t>Đường ống, giá CIF</t>
  </si>
  <si>
    <t>Đường ống, giá CIF, nghìn USD</t>
  </si>
  <si>
    <t>Vận chuyển và lắp đặt đường ống</t>
  </si>
  <si>
    <t>Vận chuyển và lắp đặt đường ống, triệu VND</t>
  </si>
  <si>
    <t>Trạm và kho bãi</t>
  </si>
  <si>
    <t>Máy bơm</t>
  </si>
  <si>
    <t>Máy bơm, nghìn USD</t>
  </si>
  <si>
    <t>Trạm và kho bãi, triệu VND</t>
  </si>
  <si>
    <t>Lịch chi phí đầu tư, triệu VND</t>
  </si>
  <si>
    <t>Tỷ giá hối đoái hiện hành, VND/USD</t>
  </si>
  <si>
    <t>Vay nợ VND (triệu VND)</t>
  </si>
  <si>
    <t>Lãi suất (/năm)</t>
  </si>
  <si>
    <t>Kỳ hạn (năm)</t>
  </si>
  <si>
    <t>Nợ VND</t>
  </si>
  <si>
    <t>Sản lượng dầu vận chuyển qua đường ống (' triệu tấn)</t>
  </si>
  <si>
    <t>Tốc độ tăng giá hàng năm</t>
  </si>
  <si>
    <t>Doanh thu (triệu VND)</t>
  </si>
  <si>
    <t>Quản lý phí (% doanh thu)</t>
  </si>
  <si>
    <t>Trừ: Thuế thu nhập doanh nghiệp</t>
  </si>
  <si>
    <t>Thuế VAT</t>
  </si>
  <si>
    <t>Lịch rút vốn, triệu VND</t>
  </si>
  <si>
    <t>Tổng</t>
  </si>
  <si>
    <t>Chi phí tiền hoạt động được vốn hóa</t>
  </si>
  <si>
    <t>Suất chiết khấu</t>
  </si>
  <si>
    <t>WACC danh nghĩa, VND</t>
  </si>
  <si>
    <t>Suất sinh lợi yêu cầu của chủ đầu tư, thực</t>
  </si>
  <si>
    <t>Suất sinh lợi yêu cầu của chủ đầu tư, danh nghĩa</t>
  </si>
  <si>
    <t>Chi phí đầu tư đầu máy</t>
  </si>
  <si>
    <t>Chi phí đầu tư toa xe trở dầu</t>
  </si>
  <si>
    <t>Chi phí vận hành toa xe trở dầu</t>
  </si>
  <si>
    <t>Chi phí vận hành đầu máy</t>
  </si>
  <si>
    <t>Chi phí khác</t>
  </si>
  <si>
    <t>Ngân lưu kinh tế</t>
  </si>
  <si>
    <t>Phân tích phân phối</t>
  </si>
  <si>
    <t>NPV tài chính</t>
  </si>
  <si>
    <t>NPV kinh tế</t>
  </si>
  <si>
    <t>NPV ngoại tác</t>
  </si>
  <si>
    <t>Chính phủ</t>
  </si>
  <si>
    <t>Nền kinh tế</t>
  </si>
  <si>
    <t>Bảng chỉ số giá</t>
  </si>
  <si>
    <t>Phân tích kinh tế</t>
  </si>
  <si>
    <t>Chi phí đầu tư (đã điều chỉnh theo lạm phát)</t>
  </si>
  <si>
    <t>Chi phí đầu tư trạm và kho bãi</t>
  </si>
  <si>
    <t>Chi phí đầu tư vận chuyển và lắp đặt đường ống</t>
  </si>
  <si>
    <t>Chi phí đầu tư dường ống</t>
  </si>
  <si>
    <t>Chi phí đầu tư máy bơm</t>
  </si>
  <si>
    <t>Petro Vietnam</t>
  </si>
  <si>
    <t>Kịch bản cơ sở</t>
  </si>
  <si>
    <t>Kịch bản 1</t>
  </si>
  <si>
    <t>Kịch bản 2</t>
  </si>
  <si>
    <t>Chọn kịch bản</t>
  </si>
  <si>
    <t>Độ nhạy theo kịch bản</t>
  </si>
  <si>
    <t>Kịch bản</t>
  </si>
  <si>
    <t>Chi phí cơ hội (đường sắt) đã điều chỉnh theo lạm phát</t>
  </si>
  <si>
    <t>Giá vận chuyển (VND)</t>
  </si>
  <si>
    <t>Chi phí đơn vị</t>
  </si>
  <si>
    <t>Chi phí cố định</t>
  </si>
  <si>
    <t>Giá trị thanh lý tài chính</t>
  </si>
  <si>
    <t>NPV kinh tế =</t>
  </si>
  <si>
    <t>tỷ đồng</t>
  </si>
  <si>
    <t>IRR kinh tế thực =</t>
  </si>
  <si>
    <t>&gt; 0</t>
  </si>
  <si>
    <t>Lợi ích kinh tế gộp sẽ càng lớn nếu chi phí kinh tế của việc vận chuyển đường sắt càng lớn và ngược lại.</t>
  </si>
  <si>
    <t>Như vậy, nếu trong tương lai hiệu quả kinh tế của vận chuyển đường sắt tăng lên từ đó làm giảm chi phí vận chuyển đường sắt, thì lợi ích kinh tế gộp của vận chuyển xăng dầu bằng đường ống có thể giảm đi.</t>
  </si>
  <si>
    <t>Nếu điều đó xảy ra, thì chưa chắc vận chuyển dầu bằng đường ống sẽ làm tăng giá trị kinh tế ròng như kết quả của mô hình cơ sở.</t>
  </si>
  <si>
    <t>Trong phân tích kịch bản, ngay cả khi chi phí vận chuyển bằng đường sắt giảm đi 15%, hay thậm chí 30%, thì NPV kinh tế của dự án vẫn dương, mặc dù có giảm đi đáng kể.</t>
  </si>
  <si>
    <t>Dự án có thể gây ra một số chi phí kinh tế mà ta chưa tính đến.</t>
  </si>
  <si>
    <t>Ví dụ, chi phí kinh tế của việc sử dụng một diện tích đất đai để lắp đặt đường ống dẫn có thể lớn hơn chi phí tài chính.</t>
  </si>
  <si>
    <t>Yếu tố này không được lượng hóa trong mô hình phân tích</t>
  </si>
  <si>
    <t>CÂU 1: Thiết lập ngân lưu tự do của dự án</t>
  </si>
  <si>
    <t>CÂU 2</t>
  </si>
  <si>
    <t>CÂU 3</t>
  </si>
  <si>
    <t>CÂU 4</t>
  </si>
  <si>
    <t>NPV dự án</t>
  </si>
  <si>
    <t>IRR thực dự án</t>
  </si>
  <si>
    <t>&gt; chi phí vốn 12%</t>
  </si>
  <si>
    <t>Xét trên quan điểm tổng đầu tư, mô hình cở sở cho thấy dự án khả thi về mặt tài chính</t>
  </si>
  <si>
    <t>Ngân hàng có đủ cơ sở về tính khả thi tài chính và tỷ lệ an toàn trả nợ để cho vay dự án.</t>
  </si>
  <si>
    <t>NPV chủ đầu tư</t>
  </si>
  <si>
    <t>IRR thực chủ đầu tư</t>
  </si>
  <si>
    <t>&gt; chi phí vốn 18%</t>
  </si>
  <si>
    <t>Mô hình tài chính cơ sở cho thấy, chủ đầu tư nên tiến hành dự án do dự án mang lại lợi ích tài chính ròng cho chủ đầu tư.</t>
  </si>
  <si>
    <t>CÂU 5</t>
  </si>
  <si>
    <t>CÂU 6</t>
  </si>
  <si>
    <t>Phân tích kịch bản</t>
  </si>
  <si>
    <t>CÂU 7</t>
  </si>
  <si>
    <t>Tóm lại, các đối tượng liên quan tới dự án được lợi hay bị thiết về mặt kinh tê như sau:</t>
  </si>
  <si>
    <t>Chủ đầu tư và ngân hàng (lợi ích tài chính)</t>
  </si>
  <si>
    <t>Chính phủ (lợi ích từ thuế thu nhập doanh nghiệp)</t>
  </si>
  <si>
    <t>Nến kinh tế (thiệt hại về biến dạng của thị trường ngoại hối)</t>
  </si>
  <si>
    <t>Tổng: NPV kinh tế của dự án</t>
  </si>
  <si>
    <t>Do vậy, trên quan điểm kinh tế, dự án cần được triển khai.</t>
  </si>
  <si>
    <t>Thời gian khấu hao</t>
  </si>
  <si>
    <t>Giá vận chuyển (VND/tấn), 2012</t>
  </si>
  <si>
    <t>Chi phí đơn vị theo giá 2012 (VND/tấn/năm)</t>
  </si>
  <si>
    <t>Nợ gốc trả đều</t>
  </si>
  <si>
    <t>Hệ số tỷ giá hối đoái kinh tế (SERF)</t>
  </si>
  <si>
    <t>Tổng chi phí đầu tư máy móc thiết bị</t>
  </si>
  <si>
    <t>Khấu hao</t>
  </si>
  <si>
    <t>CF nợ VND</t>
  </si>
  <si>
    <t>IRR nợ VND</t>
  </si>
  <si>
    <t>Báo cáo kết quả hoạt động kinh doanh dự kiến</t>
  </si>
  <si>
    <t>Cơ cấu vốn</t>
  </si>
  <si>
    <t>Chi phí vốn chủ sở hữu</t>
  </si>
  <si>
    <t>Chi phí nợ vay</t>
  </si>
  <si>
    <t>WACC</t>
  </si>
  <si>
    <t>Chi phí cố định theo giá 2012, triệu VND</t>
  </si>
  <si>
    <t>Chi phí vốn kinh tế</t>
  </si>
  <si>
    <t>WACC tài chính</t>
  </si>
  <si>
    <t>Thông số chính yếu trong phân tích kinh tế là lợi ích kinh gộp của vận chuyển xăng dầu bằng đường ống, được tính dựa vào chi phí cơ hội khi phải vận chuyển bằng đường sắt nếu không có dự án.</t>
  </si>
  <si>
    <t>Chi phí tư vấn nước ngoài</t>
  </si>
  <si>
    <t>Hệ số lương kinh tế (SWRF)</t>
  </si>
  <si>
    <t>Tỷ lệ chi phí lao động phổ thông/chi phí vận chuyển và lắp đặt đường ống</t>
  </si>
  <si>
    <t>Lao động</t>
  </si>
  <si>
    <t>Petro Vietnam (thiệt hại do chi phí vận chuyển tăng lên so với phương án thay thế)</t>
  </si>
  <si>
    <t>Lao động phổ thông (lợi ích từ lương LĐ cao hơn)</t>
  </si>
  <si>
    <t>Như vậy, thiệt hại bao gồm Petro Việt Nam và biến dạng của thị trường ngoại hối.</t>
  </si>
  <si>
    <t>Tỷ lệ an toàn nợ luôn cao hơn 1,1. Tuy nhiên, DSCR năm đầu tiên đi vào hoạt động (năm 2015) ở mức thấp. Đó là do sản lượng dầu vận chuyển trong năm 2015 ở mức thấp. Khả năng trả nợ năm 2015 có thể được cải thiện bằng cách điều chỉnh lịch trả nợ từ trả đều nợ gốc thành trả nợ gốc tăng dần; hay cho ân hạn trả nợ gốc năm 2015; hay tăng kỳ hạn trả nợ.</t>
  </si>
  <si>
    <t>DSCR min</t>
  </si>
  <si>
    <t>Kết luận: dự án khả thi về mặt tài chính và chủ đầu tư sẽ sẵn sàng đầu tư xét theo mô hình cơ sở.</t>
  </si>
  <si>
    <t>Ngân hàng cũng sẽ sẵn sàng cho vay, nhưng cần phải điều chỉnh lại lịch trả nợ gốc.</t>
  </si>
  <si>
    <t>Theo phân tích ở những phần trên, dự án khả thi về mặt tài chính đồng thời đem lại lợi ích kinh tế ròng cho nền kinh tế. Ngay cả trong những kịch bản bất lợi, NPV kinh tế của dự án vẫn dương.</t>
  </si>
  <si>
    <t>BẢNG THÔNG SỐ</t>
  </si>
  <si>
    <t>Chi phí cơ hội của đường ống dẫn dầu: Vận chuyển dầu bằng đường sắt (triệu VND, 2012)</t>
  </si>
  <si>
    <t>Chi phí đầu tư trong giai đoạn xây dựng, giá 2012</t>
  </si>
  <si>
    <t>Đề xuất</t>
  </si>
  <si>
    <t>Nhận định của chuyên gia không đúng.</t>
  </si>
  <si>
    <t>Chi phí vận chuyển có giảm, cũng không làm giảm giá xăng vì giá xăng được quyết định bởi giá thế giới.</t>
  </si>
  <si>
    <t>2. Giảm giá vận chuyển xăng để giảm thiệt hại cho PetroVN  Þ Xem Bảng tính "Đề xuất 2".</t>
  </si>
  <si>
    <r>
      <t xml:space="preserve">1. Lịch trả nợ gốc tăng dần </t>
    </r>
    <r>
      <rPr>
        <sz val="8"/>
        <rFont val="Symbol"/>
        <family val="1"/>
      </rPr>
      <t>Þ</t>
    </r>
    <r>
      <rPr>
        <sz val="8"/>
        <rFont val="Arial"/>
        <family val="2"/>
      </rPr>
      <t xml:space="preserve"> Xem Bảng tính "Đề xuất 1".</t>
    </r>
  </si>
  <si>
    <t>Nợ gốc trả tăng dần đều</t>
  </si>
  <si>
    <t>Tốc độ tăng nợ gốc phải trả</t>
  </si>
  <si>
    <t>Hệ số chuyển đổi (CF)</t>
  </si>
  <si>
    <t>Điều chỉnh lịch trả nợ gốc</t>
  </si>
  <si>
    <t>Lịch trả nợ gốc tăng dần đều với tốc độ 10% trong 10 năm.</t>
  </si>
  <si>
    <t>Như vậy, trong những năm đầu, khi ngân lưu sẵn có để trã nợ thấp thì gánh nặng trả nợ cũng thấp.</t>
  </si>
  <si>
    <t>Tỷ lệ an toàn trả nợ, vì vậy, được cải thiện.</t>
  </si>
  <si>
    <t>Từ dòng 166, ta có thể thấy, DSCR các năm đều cao hơn 1,3.</t>
  </si>
  <si>
    <t>(Lưu ý rằng việc điều chỉnh lịch trả nợ hoàn toàn không ảnh hưởng gì tới tính khả thi kinh tế của dự án).</t>
  </si>
  <si>
    <t>PHÂN TÍCH</t>
  </si>
  <si>
    <t xml:space="preserve">Đề xuất: Giảm giá vận chuyển xăng </t>
  </si>
  <si>
    <t>Giá vận chuyển mới (VND/tấn), 2012</t>
  </si>
  <si>
    <t>Việc giảm giá vận chuyển làm giảm NPV tài chính vì làm giảm doanh thu của dự án.</t>
  </si>
  <si>
    <t>Các mức giá vận chuyển</t>
  </si>
  <si>
    <t>Phân tích độ nhạy</t>
  </si>
  <si>
    <t>NPV tài chính tổng đầu tư</t>
  </si>
  <si>
    <t>NPV tài chính chủ đầu tư</t>
  </si>
  <si>
    <t>Lợi ích/thiệt hại của PVN</t>
  </si>
  <si>
    <t>(Lưu ý rằng NPV kinh tế thay đổi vì khi giá vận chuyển thay đổi làm thay đổi chi phí quản lý cả về tài chính và kinh tế; thu thuế TNDN cũng thay đổi vì lợi nhuận của dự án thay đổi).</t>
  </si>
  <si>
    <t>Tuy nhiên, với mức giảm chưa tới 10% (315.000 VND) thì dự án không còn khả thi về mặt tài chính.trên quan điểm chủ đầu tư (mặc dù vẫn khả thi trên quan điểm tổng đầu tư).</t>
  </si>
  <si>
    <t>- Tính khả thi tài chính và kinh tế của dự án vẫn đảm bảo.</t>
  </si>
  <si>
    <t>- Thiệt hại của PVN giảm xuống đáng kể.</t>
  </si>
  <si>
    <t>Ghi chú:</t>
  </si>
  <si>
    <t>Kết hợp với điều chỉnh lịch trả nợ gốc</t>
  </si>
  <si>
    <t>Vì vậy, có thể xem xét giảm giá xuống mức 320.000 đ/tấn.</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</si>
</sst>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0.0000"/>
    <numFmt numFmtId="168" formatCode="#,##0.00000"/>
    <numFmt numFmtId="169" formatCode="#,##0.000000"/>
    <numFmt numFmtId="170" formatCode="#,##0.0000000"/>
    <numFmt numFmtId="171" formatCode="#,##0.00000000"/>
    <numFmt numFmtId="172" formatCode="0.000%"/>
    <numFmt numFmtId="173" formatCode="0.0000%"/>
    <numFmt numFmtId="174" formatCode="[$-409]dddd\,\ mmmm\ dd\,\ yyyy"/>
    <numFmt numFmtId="175" formatCode="[$-409]d\-mmm;@"/>
    <numFmt numFmtId="176" formatCode="[$-409]mmm\-yy;@"/>
    <numFmt numFmtId="177" formatCode="_(* #,##0.0000_);_(* \(#,##0.0000\);_(* &quot;-&quot;_);_(@_)"/>
    <numFmt numFmtId="178" formatCode="_(* #,##0.000_);_(* \(#,##0.000\);_(* &quot;-&quot;_);_(@_)"/>
    <numFmt numFmtId="179" formatCode="_(* #,##0.000_);_(* \(#,##0.000\);_(* &quot;-&quot;???_);_(@_)"/>
    <numFmt numFmtId="180" formatCode="0.00000000000000%"/>
    <numFmt numFmtId="181" formatCode="0.00000%"/>
    <numFmt numFmtId="182" formatCode="0.000000%"/>
    <numFmt numFmtId="183" formatCode="0.0000000%"/>
    <numFmt numFmtId="184" formatCode="0.00000000%"/>
    <numFmt numFmtId="185" formatCode="0.000000000%"/>
    <numFmt numFmtId="186" formatCode="0.0000000000%"/>
    <numFmt numFmtId="187" formatCode="0.00000000000%"/>
    <numFmt numFmtId="188" formatCode="0.000000000000%"/>
    <numFmt numFmtId="189" formatCode="_(* #,##0.00_);_(* \(#,##0.00\);_(* &quot;-&quot;_);_(@_)"/>
    <numFmt numFmtId="190" formatCode="_(* #,##0.0_);_(* \(#,##0.0\);_(* &quot;-&quot;_);_(@_)"/>
    <numFmt numFmtId="191" formatCode="&quot;Yes&quot;;&quot;Yes&quot;;&quot;No&quot;"/>
    <numFmt numFmtId="192" formatCode="&quot;True&quot;;&quot;True&quot;;&quot;False&quot;"/>
    <numFmt numFmtId="193" formatCode="&quot;On&quot;;&quot;On&quot;;&quot;Off&quot;"/>
    <numFmt numFmtId="194" formatCode="[$€-2]\ #,##0.00_);[Red]\([$€-2]\ #,##0.00\)"/>
    <numFmt numFmtId="195" formatCode="0.000000000000000%"/>
    <numFmt numFmtId="196" formatCode="m/d/yy\ h:mm"/>
  </numFmts>
  <fonts count="43">
    <font>
      <sz val="10"/>
      <name val="Arial"/>
      <family val="0"/>
    </font>
    <font>
      <sz val="8"/>
      <name val="Arial"/>
      <family val="2"/>
    </font>
    <font>
      <b/>
      <sz val="8"/>
      <name val="Arial"/>
      <family val="2"/>
    </font>
    <font>
      <u val="single"/>
      <sz val="10"/>
      <color indexed="12"/>
      <name val="Arial"/>
      <family val="2"/>
    </font>
    <font>
      <u val="single"/>
      <sz val="10"/>
      <color indexed="36"/>
      <name val="Arial"/>
      <family val="2"/>
    </font>
    <font>
      <b/>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ymbol"/>
      <family val="1"/>
    </font>
    <font>
      <b/>
      <i/>
      <sz val="8"/>
      <name val="Arial"/>
      <family val="2"/>
    </font>
    <font>
      <i/>
      <sz val="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theme="0" tint="-0.24997000396251678"/>
        <bgColor indexed="64"/>
      </patternFill>
    </fill>
    <fill>
      <patternFill patternType="solid">
        <fgColor rgb="FFCCECF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04">
    <xf numFmtId="0" fontId="0" fillId="0" borderId="0" xfId="0" applyAlignment="1">
      <alignment/>
    </xf>
    <xf numFmtId="3" fontId="1" fillId="0" borderId="0" xfId="0" applyNumberFormat="1" applyFont="1" applyAlignment="1">
      <alignment/>
    </xf>
    <xf numFmtId="3" fontId="2" fillId="0" borderId="0" xfId="0" applyNumberFormat="1" applyFont="1" applyAlignment="1">
      <alignment/>
    </xf>
    <xf numFmtId="9" fontId="1" fillId="0" borderId="0" xfId="59" applyFont="1" applyAlignment="1">
      <alignment/>
    </xf>
    <xf numFmtId="3" fontId="1" fillId="0" borderId="10" xfId="0" applyNumberFormat="1" applyFont="1" applyBorder="1" applyAlignment="1">
      <alignment/>
    </xf>
    <xf numFmtId="3" fontId="1" fillId="0" borderId="0" xfId="0" applyNumberFormat="1" applyFont="1" applyAlignment="1" quotePrefix="1">
      <alignment/>
    </xf>
    <xf numFmtId="3" fontId="2" fillId="0" borderId="11" xfId="0" applyNumberFormat="1" applyFont="1" applyBorder="1" applyAlignment="1">
      <alignment/>
    </xf>
    <xf numFmtId="3" fontId="1" fillId="0" borderId="11" xfId="0" applyNumberFormat="1" applyFont="1" applyBorder="1" applyAlignment="1">
      <alignment/>
    </xf>
    <xf numFmtId="3" fontId="1" fillId="0" borderId="0" xfId="0" applyNumberFormat="1" applyFont="1" applyAlignment="1">
      <alignment/>
    </xf>
    <xf numFmtId="1" fontId="1" fillId="0" borderId="0" xfId="0" applyNumberFormat="1" applyFont="1" applyAlignment="1">
      <alignment/>
    </xf>
    <xf numFmtId="4" fontId="1" fillId="0" borderId="0" xfId="0" applyNumberFormat="1" applyFont="1" applyAlignment="1">
      <alignment/>
    </xf>
    <xf numFmtId="166" fontId="1" fillId="0" borderId="0" xfId="59" applyNumberFormat="1" applyFont="1" applyAlignment="1">
      <alignment/>
    </xf>
    <xf numFmtId="165" fontId="1" fillId="0" borderId="0" xfId="0" applyNumberFormat="1" applyFont="1" applyAlignment="1">
      <alignment/>
    </xf>
    <xf numFmtId="10" fontId="1" fillId="0" borderId="0" xfId="59" applyNumberFormat="1" applyFont="1" applyAlignment="1">
      <alignment/>
    </xf>
    <xf numFmtId="3" fontId="1" fillId="0" borderId="0" xfId="0" applyNumberFormat="1" applyFont="1" applyBorder="1" applyAlignment="1">
      <alignment/>
    </xf>
    <xf numFmtId="3" fontId="1" fillId="0" borderId="0" xfId="0" applyNumberFormat="1" applyFont="1" applyAlignment="1">
      <alignment horizontal="left" indent="1"/>
    </xf>
    <xf numFmtId="3" fontId="1" fillId="0" borderId="0" xfId="0" applyNumberFormat="1" applyFont="1" applyAlignment="1">
      <alignment horizontal="left" indent="1"/>
    </xf>
    <xf numFmtId="10" fontId="2" fillId="0" borderId="0" xfId="59" applyNumberFormat="1" applyFont="1" applyAlignment="1">
      <alignment/>
    </xf>
    <xf numFmtId="3" fontId="2" fillId="0" borderId="0" xfId="0" applyNumberFormat="1" applyFont="1" applyBorder="1" applyAlignment="1">
      <alignment/>
    </xf>
    <xf numFmtId="9" fontId="1" fillId="0" borderId="0" xfId="59" applyNumberFormat="1" applyFont="1" applyAlignment="1">
      <alignment/>
    </xf>
    <xf numFmtId="0" fontId="1" fillId="0" borderId="0" xfId="0" applyFont="1" applyBorder="1" applyAlignment="1">
      <alignment/>
    </xf>
    <xf numFmtId="3" fontId="2" fillId="0" borderId="10" xfId="0" applyNumberFormat="1" applyFont="1" applyBorder="1" applyAlignment="1">
      <alignment/>
    </xf>
    <xf numFmtId="1" fontId="1" fillId="0" borderId="10" xfId="0" applyNumberFormat="1" applyFont="1" applyBorder="1" applyAlignment="1">
      <alignment/>
    </xf>
    <xf numFmtId="1" fontId="1" fillId="0" borderId="0" xfId="0" applyNumberFormat="1" applyFont="1" applyBorder="1" applyAlignment="1">
      <alignment/>
    </xf>
    <xf numFmtId="41" fontId="1" fillId="0" borderId="12" xfId="0" applyNumberFormat="1" applyFont="1" applyBorder="1" applyAlignment="1">
      <alignment vertical="center"/>
    </xf>
    <xf numFmtId="41" fontId="1" fillId="0" borderId="12" xfId="0" applyNumberFormat="1" applyFont="1" applyBorder="1" applyAlignment="1">
      <alignment horizontal="left" vertical="center" indent="1"/>
    </xf>
    <xf numFmtId="41" fontId="1" fillId="0" borderId="12" xfId="0" applyNumberFormat="1" applyFont="1" applyBorder="1" applyAlignment="1">
      <alignment horizontal="left" vertical="center"/>
    </xf>
    <xf numFmtId="41" fontId="1" fillId="0" borderId="0" xfId="0" applyNumberFormat="1" applyFont="1" applyBorder="1" applyAlignment="1">
      <alignment horizontal="left" vertical="center" indent="1"/>
    </xf>
    <xf numFmtId="3" fontId="1" fillId="0" borderId="0" xfId="0" applyNumberFormat="1" applyFont="1" applyAlignment="1">
      <alignment horizontal="left"/>
    </xf>
    <xf numFmtId="3" fontId="2" fillId="0" borderId="0" xfId="0" applyNumberFormat="1" applyFont="1" applyAlignment="1">
      <alignment horizontal="left" indent="1"/>
    </xf>
    <xf numFmtId="41" fontId="1" fillId="0" borderId="13" xfId="0" applyNumberFormat="1" applyFont="1" applyBorder="1" applyAlignment="1">
      <alignment horizontal="left" vertical="center" indent="1"/>
    </xf>
    <xf numFmtId="4" fontId="1" fillId="0" borderId="10" xfId="0" applyNumberFormat="1" applyFont="1" applyBorder="1" applyAlignment="1">
      <alignment/>
    </xf>
    <xf numFmtId="3" fontId="1" fillId="0" borderId="0" xfId="0" applyNumberFormat="1" applyFont="1" applyFill="1" applyBorder="1" applyAlignment="1">
      <alignment/>
    </xf>
    <xf numFmtId="3" fontId="2" fillId="0" borderId="0" xfId="0" applyNumberFormat="1" applyFont="1" applyFill="1" applyBorder="1" applyAlignment="1">
      <alignment/>
    </xf>
    <xf numFmtId="9" fontId="1" fillId="0" borderId="0" xfId="59" applyFont="1" applyFill="1" applyBorder="1" applyAlignment="1">
      <alignment/>
    </xf>
    <xf numFmtId="3" fontId="1" fillId="0" borderId="0" xfId="0" applyNumberFormat="1" applyFont="1" applyFill="1" applyBorder="1" applyAlignment="1">
      <alignment/>
    </xf>
    <xf numFmtId="3" fontId="1" fillId="0" borderId="0" xfId="0" applyNumberFormat="1" applyFont="1" applyFill="1" applyBorder="1" applyAlignment="1">
      <alignment horizontal="left" indent="1"/>
    </xf>
    <xf numFmtId="10" fontId="1" fillId="0" borderId="0" xfId="59" applyNumberFormat="1" applyFont="1" applyFill="1" applyBorder="1" applyAlignment="1">
      <alignment/>
    </xf>
    <xf numFmtId="3" fontId="1" fillId="0" borderId="0" xfId="0" applyNumberFormat="1" applyFont="1" applyFill="1" applyBorder="1" applyAlignment="1">
      <alignment horizontal="left"/>
    </xf>
    <xf numFmtId="3" fontId="2" fillId="0" borderId="0" xfId="0" applyNumberFormat="1" applyFont="1" applyFill="1" applyBorder="1" applyAlignment="1">
      <alignment horizontal="center" wrapText="1"/>
    </xf>
    <xf numFmtId="37" fontId="2" fillId="0" borderId="0" xfId="0" applyNumberFormat="1" applyFont="1" applyFill="1" applyBorder="1" applyAlignment="1">
      <alignment/>
    </xf>
    <xf numFmtId="37" fontId="1" fillId="0" borderId="0" xfId="0" applyNumberFormat="1" applyFont="1" applyFill="1" applyBorder="1" applyAlignment="1">
      <alignment/>
    </xf>
    <xf numFmtId="3" fontId="1" fillId="0" borderId="0" xfId="0" applyNumberFormat="1" applyFont="1" applyBorder="1" applyAlignment="1">
      <alignment/>
    </xf>
    <xf numFmtId="10" fontId="1" fillId="0" borderId="0" xfId="59" applyNumberFormat="1" applyFont="1" applyBorder="1" applyAlignment="1">
      <alignment/>
    </xf>
    <xf numFmtId="10" fontId="2" fillId="0" borderId="0" xfId="59" applyNumberFormat="1" applyFont="1" applyBorder="1" applyAlignment="1">
      <alignment/>
    </xf>
    <xf numFmtId="3" fontId="1" fillId="0" borderId="0" xfId="59" applyNumberFormat="1" applyFont="1" applyBorder="1" applyAlignment="1">
      <alignment/>
    </xf>
    <xf numFmtId="3" fontId="2" fillId="0" borderId="0" xfId="59" applyNumberFormat="1" applyFont="1" applyBorder="1" applyAlignment="1">
      <alignment/>
    </xf>
    <xf numFmtId="3" fontId="1" fillId="0" borderId="0" xfId="0" applyNumberFormat="1" applyFont="1" applyFill="1" applyBorder="1" applyAlignment="1">
      <alignment horizontal="center" wrapText="1"/>
    </xf>
    <xf numFmtId="3" fontId="2" fillId="33" borderId="0" xfId="0" applyNumberFormat="1" applyFont="1" applyFill="1" applyAlignment="1">
      <alignment/>
    </xf>
    <xf numFmtId="3" fontId="2" fillId="0" borderId="0" xfId="0" applyNumberFormat="1" applyFont="1" applyAlignment="1">
      <alignment horizontal="left"/>
    </xf>
    <xf numFmtId="3" fontId="1" fillId="0" borderId="0" xfId="0" applyNumberFormat="1" applyFont="1" applyBorder="1" applyAlignment="1">
      <alignment horizontal="left" indent="2"/>
    </xf>
    <xf numFmtId="3" fontId="1" fillId="0" borderId="0" xfId="0" applyNumberFormat="1" applyFont="1" applyBorder="1" applyAlignment="1">
      <alignment horizontal="left"/>
    </xf>
    <xf numFmtId="9" fontId="1" fillId="0" borderId="0" xfId="59" applyNumberFormat="1" applyFont="1" applyFill="1" applyBorder="1" applyAlignment="1">
      <alignment/>
    </xf>
    <xf numFmtId="3" fontId="1" fillId="0" borderId="0" xfId="0" applyNumberFormat="1" applyFont="1" applyFill="1" applyBorder="1" applyAlignment="1">
      <alignment horizontal="left"/>
    </xf>
    <xf numFmtId="3" fontId="5" fillId="0" borderId="0" xfId="0" applyNumberFormat="1" applyFont="1" applyBorder="1" applyAlignment="1">
      <alignment/>
    </xf>
    <xf numFmtId="0" fontId="5" fillId="0" borderId="0" xfId="0" applyFont="1" applyBorder="1" applyAlignment="1">
      <alignment/>
    </xf>
    <xf numFmtId="10" fontId="2" fillId="33" borderId="0" xfId="59" applyNumberFormat="1" applyFont="1" applyFill="1" applyAlignment="1">
      <alignment/>
    </xf>
    <xf numFmtId="164" fontId="1" fillId="0" borderId="0" xfId="0" applyNumberFormat="1" applyFont="1" applyAlignment="1">
      <alignment/>
    </xf>
    <xf numFmtId="3" fontId="5" fillId="0" borderId="0" xfId="0" applyNumberFormat="1" applyFont="1" applyFill="1" applyBorder="1" applyAlignment="1">
      <alignment/>
    </xf>
    <xf numFmtId="3" fontId="5" fillId="0" borderId="0" xfId="0" applyNumberFormat="1" applyFont="1" applyAlignment="1">
      <alignment horizontal="left"/>
    </xf>
    <xf numFmtId="3" fontId="1" fillId="0" borderId="11" xfId="0" applyNumberFormat="1" applyFont="1" applyBorder="1" applyAlignment="1">
      <alignment/>
    </xf>
    <xf numFmtId="3" fontId="1" fillId="34" borderId="0" xfId="0" applyNumberFormat="1" applyFont="1" applyFill="1" applyBorder="1" applyAlignment="1">
      <alignment/>
    </xf>
    <xf numFmtId="3" fontId="1" fillId="34" borderId="10" xfId="0" applyNumberFormat="1" applyFont="1" applyFill="1" applyBorder="1" applyAlignment="1">
      <alignment/>
    </xf>
    <xf numFmtId="3" fontId="1" fillId="34" borderId="0" xfId="0" applyNumberFormat="1" applyFont="1" applyFill="1" applyAlignment="1">
      <alignment/>
    </xf>
    <xf numFmtId="9" fontId="1" fillId="34" borderId="0" xfId="59" applyFont="1" applyFill="1" applyAlignment="1">
      <alignment/>
    </xf>
    <xf numFmtId="9" fontId="1" fillId="34" borderId="0" xfId="59" applyFont="1" applyFill="1" applyBorder="1" applyAlignment="1">
      <alignment/>
    </xf>
    <xf numFmtId="41" fontId="1" fillId="0" borderId="12" xfId="0" applyNumberFormat="1" applyFont="1" applyBorder="1" applyAlignment="1">
      <alignment vertical="center"/>
    </xf>
    <xf numFmtId="2" fontId="1" fillId="0" borderId="0" xfId="59" applyNumberFormat="1" applyFont="1" applyAlignment="1">
      <alignment/>
    </xf>
    <xf numFmtId="41" fontId="1" fillId="0" borderId="12" xfId="0" applyNumberFormat="1" applyFont="1" applyBorder="1" applyAlignment="1">
      <alignment horizontal="left" vertical="center"/>
    </xf>
    <xf numFmtId="3" fontId="1" fillId="0" borderId="10" xfId="0" applyNumberFormat="1" applyFont="1" applyBorder="1" applyAlignment="1">
      <alignment horizontal="center"/>
    </xf>
    <xf numFmtId="3" fontId="1" fillId="0" borderId="0" xfId="0" applyNumberFormat="1" applyFont="1" applyFill="1" applyAlignment="1">
      <alignment/>
    </xf>
    <xf numFmtId="0" fontId="2" fillId="0" borderId="0" xfId="0" applyFont="1" applyBorder="1" applyAlignment="1">
      <alignment/>
    </xf>
    <xf numFmtId="4" fontId="2" fillId="0" borderId="0" xfId="0" applyNumberFormat="1" applyFont="1" applyAlignment="1">
      <alignment/>
    </xf>
    <xf numFmtId="3" fontId="1" fillId="0" borderId="14" xfId="0" applyNumberFormat="1" applyFont="1" applyFill="1" applyBorder="1" applyAlignment="1">
      <alignment horizontal="center" wrapText="1"/>
    </xf>
    <xf numFmtId="3" fontId="1" fillId="0" borderId="15" xfId="0" applyNumberFormat="1" applyFont="1" applyFill="1" applyBorder="1" applyAlignment="1">
      <alignment horizontal="center" wrapText="1"/>
    </xf>
    <xf numFmtId="3" fontId="1" fillId="0" borderId="16" xfId="0" applyNumberFormat="1" applyFont="1" applyFill="1" applyBorder="1" applyAlignment="1">
      <alignment horizontal="center" wrapText="1"/>
    </xf>
    <xf numFmtId="3" fontId="1" fillId="0" borderId="17" xfId="0" applyNumberFormat="1" applyFont="1" applyFill="1" applyBorder="1" applyAlignment="1">
      <alignment/>
    </xf>
    <xf numFmtId="3" fontId="1" fillId="0" borderId="18" xfId="0" applyNumberFormat="1" applyFont="1" applyFill="1" applyBorder="1" applyAlignment="1">
      <alignment/>
    </xf>
    <xf numFmtId="3" fontId="1" fillId="0" borderId="19" xfId="0" applyNumberFormat="1" applyFont="1" applyFill="1" applyBorder="1" applyAlignment="1">
      <alignment/>
    </xf>
    <xf numFmtId="3" fontId="1" fillId="0" borderId="20" xfId="0" applyNumberFormat="1" applyFont="1" applyFill="1" applyBorder="1" applyAlignment="1">
      <alignment/>
    </xf>
    <xf numFmtId="3" fontId="1" fillId="0" borderId="21" xfId="0" applyNumberFormat="1" applyFont="1" applyFill="1" applyBorder="1" applyAlignment="1">
      <alignment/>
    </xf>
    <xf numFmtId="3" fontId="1" fillId="0" borderId="14" xfId="0" applyNumberFormat="1" applyFont="1" applyFill="1" applyBorder="1" applyAlignment="1">
      <alignment horizontal="center" wrapText="1"/>
    </xf>
    <xf numFmtId="3" fontId="1" fillId="0" borderId="15" xfId="0" applyNumberFormat="1" applyFont="1" applyFill="1" applyBorder="1" applyAlignment="1">
      <alignment/>
    </xf>
    <xf numFmtId="3" fontId="1" fillId="0" borderId="17" xfId="0" applyNumberFormat="1" applyFont="1" applyFill="1" applyBorder="1" applyAlignment="1">
      <alignment/>
    </xf>
    <xf numFmtId="3" fontId="2" fillId="35" borderId="0" xfId="0" applyNumberFormat="1" applyFont="1" applyFill="1" applyAlignment="1">
      <alignment/>
    </xf>
    <xf numFmtId="10" fontId="1" fillId="0" borderId="0" xfId="59" applyNumberFormat="1" applyFont="1" applyBorder="1" applyAlignment="1">
      <alignment/>
    </xf>
    <xf numFmtId="9" fontId="1" fillId="0" borderId="0" xfId="59" applyNumberFormat="1" applyFont="1" applyAlignment="1">
      <alignment horizontal="center"/>
    </xf>
    <xf numFmtId="3" fontId="2" fillId="0" borderId="0" xfId="0" applyNumberFormat="1" applyFont="1" applyAlignment="1">
      <alignment horizontal="center"/>
    </xf>
    <xf numFmtId="3" fontId="1" fillId="0" borderId="0" xfId="0" applyNumberFormat="1" applyFont="1" applyBorder="1" applyAlignment="1">
      <alignment horizontal="center"/>
    </xf>
    <xf numFmtId="9" fontId="1" fillId="0" borderId="0" xfId="59" applyFont="1" applyBorder="1" applyAlignment="1">
      <alignment horizontal="center"/>
    </xf>
    <xf numFmtId="3" fontId="24" fillId="0" borderId="0" xfId="0" applyNumberFormat="1" applyFont="1" applyAlignment="1">
      <alignment/>
    </xf>
    <xf numFmtId="3" fontId="25" fillId="0" borderId="0" xfId="0" applyNumberFormat="1" applyFont="1" applyFill="1" applyBorder="1" applyAlignment="1">
      <alignment/>
    </xf>
    <xf numFmtId="3" fontId="1" fillId="0" borderId="0" xfId="0" applyNumberFormat="1" applyFont="1" applyFill="1" applyBorder="1" applyAlignment="1">
      <alignment horizontal="right"/>
    </xf>
    <xf numFmtId="3" fontId="24" fillId="0" borderId="0" xfId="0" applyNumberFormat="1" applyFont="1" applyAlignment="1">
      <alignment horizontal="right"/>
    </xf>
    <xf numFmtId="3" fontId="1" fillId="0" borderId="0" xfId="0" applyNumberFormat="1" applyFont="1" applyAlignment="1">
      <alignment horizontal="right"/>
    </xf>
    <xf numFmtId="3" fontId="1" fillId="0" borderId="0" xfId="0" applyNumberFormat="1" applyFont="1" applyAlignment="1">
      <alignment horizontal="center"/>
    </xf>
    <xf numFmtId="3" fontId="1" fillId="0" borderId="22" xfId="0" applyNumberFormat="1" applyFont="1" applyFill="1" applyBorder="1" applyAlignment="1">
      <alignment/>
    </xf>
    <xf numFmtId="3" fontId="1" fillId="0" borderId="23" xfId="0" applyNumberFormat="1" applyFont="1" applyFill="1" applyBorder="1" applyAlignment="1">
      <alignment/>
    </xf>
    <xf numFmtId="3" fontId="1" fillId="0" borderId="24" xfId="0" applyNumberFormat="1" applyFont="1" applyFill="1" applyBorder="1" applyAlignment="1">
      <alignment/>
    </xf>
    <xf numFmtId="3" fontId="1" fillId="0" borderId="12" xfId="0" applyNumberFormat="1" applyFont="1" applyFill="1" applyBorder="1" applyAlignment="1">
      <alignment/>
    </xf>
    <xf numFmtId="3" fontId="1" fillId="0" borderId="25" xfId="0" applyNumberFormat="1" applyFont="1" applyFill="1" applyBorder="1" applyAlignment="1">
      <alignment/>
    </xf>
    <xf numFmtId="3" fontId="1" fillId="0" borderId="26" xfId="0" applyNumberFormat="1" applyFont="1" applyFill="1" applyBorder="1" applyAlignment="1">
      <alignment/>
    </xf>
    <xf numFmtId="3" fontId="1" fillId="0" borderId="11" xfId="0" applyNumberFormat="1" applyFont="1" applyFill="1" applyBorder="1" applyAlignment="1">
      <alignment/>
    </xf>
    <xf numFmtId="3" fontId="1" fillId="0" borderId="27"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D299"/>
  <sheetViews>
    <sheetView tabSelected="1" zoomScale="120" zoomScaleNormal="12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18" sqref="A18"/>
    </sheetView>
  </sheetViews>
  <sheetFormatPr defaultColWidth="9.140625" defaultRowHeight="12.75"/>
  <cols>
    <col min="1" max="1" width="71.421875" style="1" customWidth="1"/>
    <col min="2" max="2" width="9.57421875" style="1" customWidth="1"/>
    <col min="3" max="3" width="9.00390625" style="1" customWidth="1"/>
    <col min="4" max="13" width="8.57421875" style="1" customWidth="1"/>
    <col min="14" max="24" width="9.140625" style="1" customWidth="1"/>
    <col min="25" max="25" width="1.7109375" style="63" customWidth="1"/>
    <col min="26" max="16384" width="9.140625" style="1" customWidth="1"/>
  </cols>
  <sheetData>
    <row r="1" spans="1:25" s="14" customFormat="1" ht="11.25">
      <c r="A1" s="18" t="s">
        <v>46</v>
      </c>
      <c r="B1" s="23">
        <v>2012</v>
      </c>
      <c r="C1" s="23">
        <f>B1+1</f>
        <v>2013</v>
      </c>
      <c r="D1" s="23">
        <f aca="true" t="shared" si="0" ref="D1:S2">C1+1</f>
        <v>2014</v>
      </c>
      <c r="E1" s="23">
        <f t="shared" si="0"/>
        <v>2015</v>
      </c>
      <c r="F1" s="23">
        <f t="shared" si="0"/>
        <v>2016</v>
      </c>
      <c r="G1" s="23">
        <f t="shared" si="0"/>
        <v>2017</v>
      </c>
      <c r="H1" s="23">
        <f t="shared" si="0"/>
        <v>2018</v>
      </c>
      <c r="I1" s="23">
        <f t="shared" si="0"/>
        <v>2019</v>
      </c>
      <c r="J1" s="23">
        <f t="shared" si="0"/>
        <v>2020</v>
      </c>
      <c r="K1" s="23">
        <f t="shared" si="0"/>
        <v>2021</v>
      </c>
      <c r="L1" s="23">
        <f t="shared" si="0"/>
        <v>2022</v>
      </c>
      <c r="M1" s="23">
        <f t="shared" si="0"/>
        <v>2023</v>
      </c>
      <c r="N1" s="23">
        <f t="shared" si="0"/>
        <v>2024</v>
      </c>
      <c r="O1" s="23">
        <f t="shared" si="0"/>
        <v>2025</v>
      </c>
      <c r="P1" s="23">
        <f t="shared" si="0"/>
        <v>2026</v>
      </c>
      <c r="Q1" s="23">
        <f t="shared" si="0"/>
        <v>2027</v>
      </c>
      <c r="R1" s="23">
        <f t="shared" si="0"/>
        <v>2028</v>
      </c>
      <c r="S1" s="23">
        <f t="shared" si="0"/>
        <v>2029</v>
      </c>
      <c r="T1" s="23">
        <f aca="true" t="shared" si="1" ref="T1:X2">S1+1</f>
        <v>2030</v>
      </c>
      <c r="U1" s="23">
        <f t="shared" si="1"/>
        <v>2031</v>
      </c>
      <c r="V1" s="23">
        <f t="shared" si="1"/>
        <v>2032</v>
      </c>
      <c r="W1" s="23">
        <f t="shared" si="1"/>
        <v>2033</v>
      </c>
      <c r="X1" s="23">
        <f t="shared" si="1"/>
        <v>2034</v>
      </c>
      <c r="Y1" s="61"/>
    </row>
    <row r="2" spans="1:25" s="4" customFormat="1" ht="12" thickBot="1">
      <c r="A2" s="21"/>
      <c r="B2" s="4">
        <v>0</v>
      </c>
      <c r="C2" s="22">
        <f>B2+1</f>
        <v>1</v>
      </c>
      <c r="D2" s="22">
        <f t="shared" si="0"/>
        <v>2</v>
      </c>
      <c r="E2" s="22">
        <f t="shared" si="0"/>
        <v>3</v>
      </c>
      <c r="F2" s="22">
        <f t="shared" si="0"/>
        <v>4</v>
      </c>
      <c r="G2" s="22">
        <f t="shared" si="0"/>
        <v>5</v>
      </c>
      <c r="H2" s="22">
        <f t="shared" si="0"/>
        <v>6</v>
      </c>
      <c r="I2" s="22">
        <f t="shared" si="0"/>
        <v>7</v>
      </c>
      <c r="J2" s="22">
        <f t="shared" si="0"/>
        <v>8</v>
      </c>
      <c r="K2" s="22">
        <f t="shared" si="0"/>
        <v>9</v>
      </c>
      <c r="L2" s="22">
        <f t="shared" si="0"/>
        <v>10</v>
      </c>
      <c r="M2" s="22">
        <f t="shared" si="0"/>
        <v>11</v>
      </c>
      <c r="N2" s="22">
        <f t="shared" si="0"/>
        <v>12</v>
      </c>
      <c r="O2" s="22">
        <f t="shared" si="0"/>
        <v>13</v>
      </c>
      <c r="P2" s="22">
        <f t="shared" si="0"/>
        <v>14</v>
      </c>
      <c r="Q2" s="22">
        <f t="shared" si="0"/>
        <v>15</v>
      </c>
      <c r="R2" s="22">
        <f t="shared" si="0"/>
        <v>16</v>
      </c>
      <c r="S2" s="22">
        <f t="shared" si="0"/>
        <v>17</v>
      </c>
      <c r="T2" s="22">
        <f t="shared" si="1"/>
        <v>18</v>
      </c>
      <c r="U2" s="22">
        <f t="shared" si="1"/>
        <v>19</v>
      </c>
      <c r="V2" s="22">
        <f t="shared" si="1"/>
        <v>20</v>
      </c>
      <c r="W2" s="22">
        <f t="shared" si="1"/>
        <v>21</v>
      </c>
      <c r="X2" s="22">
        <f t="shared" si="1"/>
        <v>22</v>
      </c>
      <c r="Y2" s="62"/>
    </row>
    <row r="3" spans="1:25" s="14" customFormat="1" ht="12" thickTop="1">
      <c r="A3" s="54" t="s">
        <v>170</v>
      </c>
      <c r="B3" s="18"/>
      <c r="C3" s="23"/>
      <c r="D3" s="23"/>
      <c r="E3" s="23"/>
      <c r="F3" s="23"/>
      <c r="G3" s="23"/>
      <c r="H3" s="23"/>
      <c r="I3" s="23"/>
      <c r="J3" s="23"/>
      <c r="K3" s="23"/>
      <c r="L3" s="23"/>
      <c r="M3" s="23"/>
      <c r="N3" s="23"/>
      <c r="O3" s="23"/>
      <c r="P3" s="23"/>
      <c r="Q3" s="23"/>
      <c r="R3" s="23"/>
      <c r="S3" s="23"/>
      <c r="T3" s="23"/>
      <c r="U3" s="23"/>
      <c r="V3" s="23"/>
      <c r="W3" s="23"/>
      <c r="X3" s="23"/>
      <c r="Y3" s="61"/>
    </row>
    <row r="4" spans="1:25" s="14" customFormat="1" ht="11.25">
      <c r="A4" s="54"/>
      <c r="B4" s="18"/>
      <c r="C4" s="23"/>
      <c r="D4" s="23"/>
      <c r="E4" s="23"/>
      <c r="F4" s="23"/>
      <c r="G4" s="23"/>
      <c r="H4" s="23"/>
      <c r="I4" s="23"/>
      <c r="J4" s="23"/>
      <c r="K4" s="23"/>
      <c r="L4" s="23"/>
      <c r="M4" s="23"/>
      <c r="N4" s="23"/>
      <c r="O4" s="23"/>
      <c r="P4" s="23"/>
      <c r="Q4" s="23"/>
      <c r="R4" s="23"/>
      <c r="S4" s="23"/>
      <c r="T4" s="23"/>
      <c r="U4" s="23"/>
      <c r="V4" s="23"/>
      <c r="W4" s="23"/>
      <c r="X4" s="23"/>
      <c r="Y4" s="61"/>
    </row>
    <row r="5" spans="1:24" ht="11.25">
      <c r="A5" s="1" t="s">
        <v>0</v>
      </c>
      <c r="B5" s="11">
        <v>0.07</v>
      </c>
      <c r="C5" s="11">
        <f>$B$5</f>
        <v>0.07</v>
      </c>
      <c r="D5" s="11">
        <f aca="true" t="shared" si="2" ref="D5:X5">$B$5</f>
        <v>0.07</v>
      </c>
      <c r="E5" s="11">
        <f t="shared" si="2"/>
        <v>0.07</v>
      </c>
      <c r="F5" s="11">
        <f t="shared" si="2"/>
        <v>0.07</v>
      </c>
      <c r="G5" s="11">
        <f t="shared" si="2"/>
        <v>0.07</v>
      </c>
      <c r="H5" s="11">
        <f t="shared" si="2"/>
        <v>0.07</v>
      </c>
      <c r="I5" s="11">
        <f t="shared" si="2"/>
        <v>0.07</v>
      </c>
      <c r="J5" s="11">
        <f t="shared" si="2"/>
        <v>0.07</v>
      </c>
      <c r="K5" s="11">
        <f t="shared" si="2"/>
        <v>0.07</v>
      </c>
      <c r="L5" s="11">
        <f t="shared" si="2"/>
        <v>0.07</v>
      </c>
      <c r="M5" s="11">
        <f t="shared" si="2"/>
        <v>0.07</v>
      </c>
      <c r="N5" s="11">
        <f t="shared" si="2"/>
        <v>0.07</v>
      </c>
      <c r="O5" s="11">
        <f t="shared" si="2"/>
        <v>0.07</v>
      </c>
      <c r="P5" s="11">
        <f t="shared" si="2"/>
        <v>0.07</v>
      </c>
      <c r="Q5" s="11">
        <f t="shared" si="2"/>
        <v>0.07</v>
      </c>
      <c r="R5" s="11">
        <f t="shared" si="2"/>
        <v>0.07</v>
      </c>
      <c r="S5" s="11">
        <f t="shared" si="2"/>
        <v>0.07</v>
      </c>
      <c r="T5" s="11">
        <f t="shared" si="2"/>
        <v>0.07</v>
      </c>
      <c r="U5" s="11">
        <f t="shared" si="2"/>
        <v>0.07</v>
      </c>
      <c r="V5" s="11">
        <f t="shared" si="2"/>
        <v>0.07</v>
      </c>
      <c r="W5" s="11">
        <f t="shared" si="2"/>
        <v>0.07</v>
      </c>
      <c r="X5" s="11">
        <f t="shared" si="2"/>
        <v>0.07</v>
      </c>
    </row>
    <row r="6" spans="1:24" ht="11.25">
      <c r="A6" s="1" t="s">
        <v>1</v>
      </c>
      <c r="B6" s="11">
        <v>0.03</v>
      </c>
      <c r="C6" s="11">
        <f>$B$6</f>
        <v>0.03</v>
      </c>
      <c r="D6" s="11">
        <f aca="true" t="shared" si="3" ref="D6:X6">$B$6</f>
        <v>0.03</v>
      </c>
      <c r="E6" s="11">
        <f t="shared" si="3"/>
        <v>0.03</v>
      </c>
      <c r="F6" s="11">
        <f t="shared" si="3"/>
        <v>0.03</v>
      </c>
      <c r="G6" s="11">
        <f t="shared" si="3"/>
        <v>0.03</v>
      </c>
      <c r="H6" s="11">
        <f t="shared" si="3"/>
        <v>0.03</v>
      </c>
      <c r="I6" s="11">
        <f t="shared" si="3"/>
        <v>0.03</v>
      </c>
      <c r="J6" s="11">
        <f t="shared" si="3"/>
        <v>0.03</v>
      </c>
      <c r="K6" s="11">
        <f t="shared" si="3"/>
        <v>0.03</v>
      </c>
      <c r="L6" s="11">
        <f t="shared" si="3"/>
        <v>0.03</v>
      </c>
      <c r="M6" s="11">
        <f t="shared" si="3"/>
        <v>0.03</v>
      </c>
      <c r="N6" s="11">
        <f t="shared" si="3"/>
        <v>0.03</v>
      </c>
      <c r="O6" s="11">
        <f t="shared" si="3"/>
        <v>0.03</v>
      </c>
      <c r="P6" s="11">
        <f t="shared" si="3"/>
        <v>0.03</v>
      </c>
      <c r="Q6" s="11">
        <f t="shared" si="3"/>
        <v>0.03</v>
      </c>
      <c r="R6" s="11">
        <f t="shared" si="3"/>
        <v>0.03</v>
      </c>
      <c r="S6" s="11">
        <f t="shared" si="3"/>
        <v>0.03</v>
      </c>
      <c r="T6" s="11">
        <f t="shared" si="3"/>
        <v>0.03</v>
      </c>
      <c r="U6" s="11">
        <f t="shared" si="3"/>
        <v>0.03</v>
      </c>
      <c r="V6" s="11">
        <f t="shared" si="3"/>
        <v>0.03</v>
      </c>
      <c r="W6" s="11">
        <f t="shared" si="3"/>
        <v>0.03</v>
      </c>
      <c r="X6" s="11">
        <f t="shared" si="3"/>
        <v>0.03</v>
      </c>
    </row>
    <row r="7" spans="1:2" ht="11.25">
      <c r="A7" s="1" t="s">
        <v>57</v>
      </c>
      <c r="B7" s="1">
        <v>21000</v>
      </c>
    </row>
    <row r="9" ht="11.25">
      <c r="A9" s="2" t="s">
        <v>172</v>
      </c>
    </row>
    <row r="10" spans="1:4" ht="11.25">
      <c r="A10" s="1" t="s">
        <v>55</v>
      </c>
      <c r="C10" s="1">
        <v>264123</v>
      </c>
      <c r="D10" s="1">
        <v>220927</v>
      </c>
    </row>
    <row r="11" spans="1:4" ht="11.25">
      <c r="A11" s="1" t="s">
        <v>51</v>
      </c>
      <c r="C11" s="1">
        <v>432594</v>
      </c>
      <c r="D11" s="1">
        <v>822898</v>
      </c>
    </row>
    <row r="12" spans="1:4" ht="11.25">
      <c r="A12" s="1" t="s">
        <v>49</v>
      </c>
      <c r="C12" s="1">
        <v>19269</v>
      </c>
      <c r="D12" s="1">
        <v>45538</v>
      </c>
    </row>
    <row r="13" spans="1:4" ht="11.25">
      <c r="A13" s="1" t="s">
        <v>54</v>
      </c>
      <c r="C13" s="1">
        <v>8059</v>
      </c>
      <c r="D13" s="1">
        <v>13686</v>
      </c>
    </row>
    <row r="14" spans="1:4" ht="11.25">
      <c r="A14" s="1" t="s">
        <v>79</v>
      </c>
      <c r="C14" s="1">
        <v>1304</v>
      </c>
      <c r="D14" s="1">
        <v>1795</v>
      </c>
    </row>
    <row r="15" ht="11.25">
      <c r="G15" s="12"/>
    </row>
    <row r="16" spans="1:2" ht="11.25">
      <c r="A16" s="1" t="s">
        <v>140</v>
      </c>
      <c r="B16" s="1">
        <v>20</v>
      </c>
    </row>
    <row r="18" spans="1:2" ht="11.25">
      <c r="A18" s="1" t="s">
        <v>58</v>
      </c>
      <c r="B18" s="1">
        <v>2300000</v>
      </c>
    </row>
    <row r="19" spans="1:2" ht="11.25">
      <c r="A19" s="1" t="s">
        <v>23</v>
      </c>
      <c r="B19" s="11">
        <f>(1+11.5%)/(1+7%)-1</f>
        <v>0.04205607476635498</v>
      </c>
    </row>
    <row r="20" spans="1:3" ht="11.25">
      <c r="A20" s="1" t="s">
        <v>59</v>
      </c>
      <c r="B20" s="11">
        <f>(1+B19)*(1+C5)-1</f>
        <v>0.11499999999999999</v>
      </c>
      <c r="C20" s="5"/>
    </row>
    <row r="21" spans="1:3" ht="11.25">
      <c r="A21" s="1" t="s">
        <v>60</v>
      </c>
      <c r="B21" s="1">
        <v>10</v>
      </c>
      <c r="C21" s="1" t="s">
        <v>3</v>
      </c>
    </row>
    <row r="22" ht="11.25">
      <c r="A22" s="70" t="s">
        <v>143</v>
      </c>
    </row>
    <row r="24" spans="1:24" ht="11.25">
      <c r="A24" s="1" t="s">
        <v>62</v>
      </c>
      <c r="D24" s="10"/>
      <c r="E24" s="10">
        <v>1.8</v>
      </c>
      <c r="F24" s="10">
        <v>2</v>
      </c>
      <c r="G24" s="10">
        <v>2.2</v>
      </c>
      <c r="H24" s="10">
        <v>2.4</v>
      </c>
      <c r="I24" s="10">
        <v>2.65</v>
      </c>
      <c r="J24" s="10">
        <v>2.9</v>
      </c>
      <c r="K24" s="10">
        <v>3.2</v>
      </c>
      <c r="L24" s="10">
        <v>3.5</v>
      </c>
      <c r="M24" s="10">
        <v>3.5</v>
      </c>
      <c r="N24" s="10">
        <v>3.5</v>
      </c>
      <c r="O24" s="10">
        <v>3.5</v>
      </c>
      <c r="P24" s="10">
        <v>3.5</v>
      </c>
      <c r="Q24" s="10">
        <v>3.5</v>
      </c>
      <c r="R24" s="10">
        <v>3.5</v>
      </c>
      <c r="S24" s="10">
        <v>3.5</v>
      </c>
      <c r="T24" s="10">
        <v>3.5</v>
      </c>
      <c r="U24" s="10">
        <v>3.5</v>
      </c>
      <c r="V24" s="10">
        <v>3.5</v>
      </c>
      <c r="W24" s="10">
        <v>3.5</v>
      </c>
      <c r="X24" s="10">
        <v>3.5</v>
      </c>
    </row>
    <row r="25" spans="4:24" ht="11.25">
      <c r="D25" s="10"/>
      <c r="E25" s="10"/>
      <c r="F25" s="10"/>
      <c r="G25" s="10"/>
      <c r="H25" s="10"/>
      <c r="I25" s="10"/>
      <c r="J25" s="10"/>
      <c r="K25" s="10"/>
      <c r="L25" s="10"/>
      <c r="M25" s="10"/>
      <c r="N25" s="10"/>
      <c r="O25" s="10"/>
      <c r="P25" s="10"/>
      <c r="Q25" s="10"/>
      <c r="R25" s="10"/>
      <c r="S25" s="10"/>
      <c r="T25" s="10"/>
      <c r="U25" s="10"/>
      <c r="V25" s="10"/>
      <c r="W25" s="10"/>
      <c r="X25" s="10"/>
    </row>
    <row r="26" spans="1:24" ht="11.25">
      <c r="A26" s="1" t="s">
        <v>141</v>
      </c>
      <c r="B26" s="70">
        <v>360000</v>
      </c>
      <c r="G26" s="10"/>
      <c r="H26" s="10"/>
      <c r="I26" s="10"/>
      <c r="J26" s="10"/>
      <c r="K26" s="10"/>
      <c r="L26" s="10"/>
      <c r="M26" s="10"/>
      <c r="N26" s="10"/>
      <c r="O26" s="10"/>
      <c r="P26" s="10"/>
      <c r="Q26" s="10"/>
      <c r="R26" s="10"/>
      <c r="S26" s="10"/>
      <c r="T26" s="10"/>
      <c r="U26" s="10"/>
      <c r="V26" s="10"/>
      <c r="W26" s="10"/>
      <c r="X26" s="10"/>
    </row>
    <row r="27" spans="1:24" ht="11.25">
      <c r="A27" s="1" t="s">
        <v>63</v>
      </c>
      <c r="B27" s="3">
        <v>0.05</v>
      </c>
      <c r="G27" s="10"/>
      <c r="H27" s="10"/>
      <c r="I27" s="10"/>
      <c r="J27" s="10"/>
      <c r="K27" s="10"/>
      <c r="L27" s="10"/>
      <c r="M27" s="10"/>
      <c r="N27" s="10"/>
      <c r="O27" s="10"/>
      <c r="P27" s="10"/>
      <c r="Q27" s="10"/>
      <c r="R27" s="10"/>
      <c r="S27" s="10"/>
      <c r="T27" s="10"/>
      <c r="U27" s="10"/>
      <c r="V27" s="10"/>
      <c r="W27" s="10"/>
      <c r="X27" s="10"/>
    </row>
    <row r="29" spans="1:2" ht="11.25">
      <c r="A29" s="66" t="s">
        <v>142</v>
      </c>
      <c r="B29" s="14">
        <v>43000</v>
      </c>
    </row>
    <row r="30" spans="1:2" ht="11.25">
      <c r="A30" s="68" t="s">
        <v>154</v>
      </c>
      <c r="B30" s="14">
        <v>46500</v>
      </c>
    </row>
    <row r="31" spans="1:2" ht="11.25">
      <c r="A31" s="26" t="s">
        <v>65</v>
      </c>
      <c r="B31" s="3">
        <v>0.05</v>
      </c>
    </row>
    <row r="32" ht="11.25">
      <c r="A32" s="25"/>
    </row>
    <row r="33" spans="1:2" ht="11.25">
      <c r="A33" s="1" t="s">
        <v>67</v>
      </c>
      <c r="B33" s="3">
        <v>0.1</v>
      </c>
    </row>
    <row r="34" spans="1:2" ht="11.25">
      <c r="A34" s="1" t="s">
        <v>16</v>
      </c>
      <c r="B34" s="3">
        <v>0.25</v>
      </c>
    </row>
    <row r="35" spans="1:2" ht="11.25">
      <c r="A35" s="15"/>
      <c r="B35" s="3"/>
    </row>
    <row r="36" spans="1:2" ht="11.25">
      <c r="A36" s="28" t="s">
        <v>71</v>
      </c>
      <c r="B36" s="3"/>
    </row>
    <row r="37" spans="1:2" ht="11.25">
      <c r="A37" s="15" t="s">
        <v>156</v>
      </c>
      <c r="B37" s="13">
        <v>0.08</v>
      </c>
    </row>
    <row r="38" spans="1:2" ht="11.25">
      <c r="A38" s="15" t="s">
        <v>72</v>
      </c>
      <c r="B38" s="13">
        <f>(1+B37)*(1+$C$5)-1</f>
        <v>0.15560000000000018</v>
      </c>
    </row>
    <row r="39" spans="1:2" ht="11.25">
      <c r="A39" s="15" t="s">
        <v>73</v>
      </c>
      <c r="B39" s="13">
        <v>0.13</v>
      </c>
    </row>
    <row r="40" spans="1:2" ht="11.25">
      <c r="A40" s="15" t="s">
        <v>74</v>
      </c>
      <c r="B40" s="13">
        <f>(1+B39)*(1+$C$5)-1</f>
        <v>0.20910000000000006</v>
      </c>
    </row>
    <row r="41" spans="1:2" ht="11.25">
      <c r="A41" s="15" t="s">
        <v>155</v>
      </c>
      <c r="B41" s="13">
        <v>0.08</v>
      </c>
    </row>
    <row r="42" spans="1:2" ht="11.25">
      <c r="A42" s="28" t="s">
        <v>144</v>
      </c>
      <c r="B42" s="67">
        <v>1.05</v>
      </c>
    </row>
    <row r="43" spans="1:2" ht="11.25">
      <c r="A43" s="28" t="s">
        <v>159</v>
      </c>
      <c r="B43" s="67">
        <v>0.7</v>
      </c>
    </row>
    <row r="44" spans="1:2" ht="11.25">
      <c r="A44" s="28" t="s">
        <v>160</v>
      </c>
      <c r="B44" s="67">
        <v>0.6</v>
      </c>
    </row>
    <row r="45" spans="1:2" ht="11.25">
      <c r="A45" s="15"/>
      <c r="B45" s="3"/>
    </row>
    <row r="46" spans="1:24" ht="11.25">
      <c r="A46" s="18" t="s">
        <v>171</v>
      </c>
      <c r="B46" s="14"/>
      <c r="C46" s="14"/>
      <c r="D46" s="14"/>
      <c r="E46" s="14"/>
      <c r="F46" s="14"/>
      <c r="G46" s="14"/>
      <c r="H46" s="14"/>
      <c r="I46" s="14"/>
      <c r="J46" s="14"/>
      <c r="K46" s="14"/>
      <c r="L46" s="14"/>
      <c r="M46" s="14"/>
      <c r="N46" s="14"/>
      <c r="O46" s="14"/>
      <c r="P46" s="14"/>
      <c r="Q46" s="14"/>
      <c r="R46" s="14"/>
      <c r="S46" s="14"/>
      <c r="T46" s="14"/>
      <c r="U46" s="14"/>
      <c r="V46" s="14"/>
      <c r="W46" s="14"/>
      <c r="X46" s="14"/>
    </row>
    <row r="47" spans="1:24" ht="11.25">
      <c r="A47" s="14" t="s">
        <v>76</v>
      </c>
      <c r="B47" s="42"/>
      <c r="C47" s="42"/>
      <c r="D47" s="42"/>
      <c r="E47" s="42">
        <v>340088</v>
      </c>
      <c r="F47" s="42">
        <v>146705</v>
      </c>
      <c r="G47" s="42">
        <v>197595</v>
      </c>
      <c r="H47" s="42">
        <v>183907</v>
      </c>
      <c r="I47" s="42">
        <v>234798</v>
      </c>
      <c r="J47" s="42">
        <v>242871</v>
      </c>
      <c r="K47" s="42">
        <v>318328</v>
      </c>
      <c r="L47" s="42">
        <v>273405</v>
      </c>
      <c r="M47" s="42">
        <v>234096</v>
      </c>
      <c r="N47" s="42">
        <v>280775</v>
      </c>
      <c r="O47" s="42">
        <v>280775</v>
      </c>
      <c r="P47" s="42">
        <v>21760</v>
      </c>
      <c r="Q47" s="42">
        <v>21760</v>
      </c>
      <c r="R47" s="42">
        <v>21760</v>
      </c>
      <c r="S47" s="42">
        <v>43169</v>
      </c>
      <c r="T47" s="42">
        <v>43169</v>
      </c>
      <c r="U47" s="42">
        <v>64929</v>
      </c>
      <c r="V47" s="42">
        <v>64929</v>
      </c>
      <c r="W47" s="42">
        <v>86338</v>
      </c>
      <c r="X47" s="42">
        <v>86338</v>
      </c>
    </row>
    <row r="48" spans="1:24" ht="11.25">
      <c r="A48" s="14" t="s">
        <v>75</v>
      </c>
      <c r="B48" s="43"/>
      <c r="C48" s="43"/>
      <c r="D48" s="43"/>
      <c r="E48" s="42">
        <v>559445</v>
      </c>
      <c r="F48" s="42">
        <v>73001</v>
      </c>
      <c r="G48" s="42">
        <v>121786</v>
      </c>
      <c r="H48" s="42">
        <v>97219</v>
      </c>
      <c r="I48" s="42">
        <v>121786</v>
      </c>
      <c r="J48" s="42">
        <v>121786</v>
      </c>
      <c r="K48" s="42">
        <v>146003</v>
      </c>
      <c r="L48" s="42">
        <v>146003</v>
      </c>
      <c r="M48" s="42">
        <v>292007</v>
      </c>
      <c r="N48" s="42">
        <v>194437</v>
      </c>
      <c r="O48" s="42">
        <v>437658</v>
      </c>
      <c r="P48" s="42">
        <v>0</v>
      </c>
      <c r="Q48" s="42">
        <v>243222</v>
      </c>
      <c r="R48" s="42">
        <v>0</v>
      </c>
      <c r="S48" s="42">
        <v>0</v>
      </c>
      <c r="T48" s="42">
        <v>0</v>
      </c>
      <c r="U48" s="42">
        <v>194437</v>
      </c>
      <c r="V48" s="42">
        <v>0</v>
      </c>
      <c r="W48" s="42">
        <v>0</v>
      </c>
      <c r="X48" s="42">
        <v>0</v>
      </c>
    </row>
    <row r="49" spans="1:24" ht="11.25">
      <c r="A49" s="14" t="s">
        <v>77</v>
      </c>
      <c r="B49" s="43"/>
      <c r="C49" s="43"/>
      <c r="D49" s="43"/>
      <c r="E49" s="42">
        <f>INDEX($E$226:$X$228,$B$234,E2-2)</f>
        <v>25270</v>
      </c>
      <c r="F49" s="42">
        <f>INDEX($E$226:$X$228,$B$234,F2-2)</f>
        <v>27376</v>
      </c>
      <c r="G49" s="42">
        <f>INDEX($E$226:$X$228,$B$234,G2-2)</f>
        <v>30534</v>
      </c>
      <c r="H49" s="42">
        <f>INDEX($E$226:$X$228,$B$234,H2-2)</f>
        <v>32640</v>
      </c>
      <c r="I49" s="42">
        <f>INDEX($E$226:$X$228,$B$234,I2-2)</f>
        <v>36851</v>
      </c>
      <c r="J49" s="42">
        <f>INDEX($E$226:$X$228,$B$234,J2-2)</f>
        <v>40011</v>
      </c>
      <c r="K49" s="42">
        <f>INDEX($E$226:$X$228,$B$234,K2-2)</f>
        <v>44222</v>
      </c>
      <c r="L49" s="42">
        <f>INDEX($E$226:$X$228,$B$234,L2-2)</f>
        <v>49487</v>
      </c>
      <c r="M49" s="42">
        <f>INDEX($E$226:$X$228,$B$234,M2-2)</f>
        <v>53699</v>
      </c>
      <c r="N49" s="42">
        <f>INDEX($E$226:$X$228,$B$234,N2-2)</f>
        <v>58962</v>
      </c>
      <c r="O49" s="42">
        <f>INDEX($E$226:$X$228,$B$234,O2-2)</f>
        <v>64578</v>
      </c>
      <c r="P49" s="42">
        <f>INDEX($E$226:$X$228,$B$234,P2-2)</f>
        <v>64578</v>
      </c>
      <c r="Q49" s="42">
        <f>INDEX($E$226:$X$228,$B$234,Q2-2)</f>
        <v>64578</v>
      </c>
      <c r="R49" s="42">
        <f>INDEX($E$226:$X$228,$B$234,R2-2)</f>
        <v>64578</v>
      </c>
      <c r="S49" s="42">
        <f>INDEX($E$226:$X$228,$B$234,S2-2)</f>
        <v>64578</v>
      </c>
      <c r="T49" s="42">
        <f>INDEX($E$226:$X$228,$B$234,T2-2)</f>
        <v>64578</v>
      </c>
      <c r="U49" s="42">
        <f>INDEX($E$226:$X$228,$B$234,U2-2)</f>
        <v>64578</v>
      </c>
      <c r="V49" s="42">
        <f>INDEX($E$226:$X$228,$B$234,V2-2)</f>
        <v>64578</v>
      </c>
      <c r="W49" s="42">
        <f>INDEX($E$226:$X$228,$B$234,W2-2)</f>
        <v>64578</v>
      </c>
      <c r="X49" s="42">
        <f>INDEX($E$226:$X$228,$B$234,X2-2)</f>
        <v>64578</v>
      </c>
    </row>
    <row r="50" spans="1:24" ht="11.25">
      <c r="A50" s="14" t="s">
        <v>78</v>
      </c>
      <c r="B50" s="42"/>
      <c r="C50" s="42"/>
      <c r="D50" s="42"/>
      <c r="E50" s="42">
        <f>INDEX($E$230:$X$232,$B$234,E2-2)</f>
        <v>147758</v>
      </c>
      <c r="F50" s="42">
        <f>INDEX($E$230:$X$232,$B$234,F2-2)</f>
        <v>160042</v>
      </c>
      <c r="G50" s="42">
        <f>INDEX($E$230:$X$232,$B$234,G2-2)</f>
        <v>180749</v>
      </c>
      <c r="H50" s="42">
        <f>INDEX($E$230:$X$232,$B$234,H2-2)</f>
        <v>197244</v>
      </c>
      <c r="I50" s="42">
        <f>INDEX($E$230:$X$232,$B$234,I2-2)</f>
        <v>217601</v>
      </c>
      <c r="J50" s="42">
        <f>INDEX($E$230:$X$232,$B$234,J2-2)</f>
        <v>238308</v>
      </c>
      <c r="K50" s="42">
        <f>INDEX($E$230:$X$232,$B$234,K2-2)</f>
        <v>262875</v>
      </c>
      <c r="L50" s="42">
        <f>INDEX($E$230:$X$232,$B$234,L2-2)</f>
        <v>287444</v>
      </c>
      <c r="M50" s="42">
        <f>INDEX($E$230:$X$232,$B$234,M2-2)</f>
        <v>316223</v>
      </c>
      <c r="N50" s="42">
        <f>INDEX($E$230:$X$232,$B$234,N2-2)</f>
        <v>349214</v>
      </c>
      <c r="O50" s="42">
        <f>INDEX($E$230:$X$232,$B$234,O2-2)</f>
        <v>381854</v>
      </c>
      <c r="P50" s="42">
        <f>INDEX($E$230:$X$232,$B$234,P2-2)</f>
        <v>381854</v>
      </c>
      <c r="Q50" s="42">
        <f>INDEX($E$230:$X$232,$B$234,Q2-2)</f>
        <v>381854</v>
      </c>
      <c r="R50" s="42">
        <f>INDEX($E$230:$X$232,$B$234,R2-2)</f>
        <v>381854</v>
      </c>
      <c r="S50" s="42">
        <f>INDEX($E$230:$X$232,$B$234,S2-2)</f>
        <v>381854</v>
      </c>
      <c r="T50" s="42">
        <f>INDEX($E$230:$X$232,$B$234,T2-2)</f>
        <v>381854</v>
      </c>
      <c r="U50" s="42">
        <f>INDEX($E$230:$X$232,$B$234,U2-2)</f>
        <v>381854</v>
      </c>
      <c r="V50" s="42">
        <f>INDEX($E$230:$X$232,$B$234,V2-2)</f>
        <v>381854</v>
      </c>
      <c r="W50" s="42">
        <f>INDEX($E$230:$X$232,$B$234,W2-2)</f>
        <v>381854</v>
      </c>
      <c r="X50" s="42">
        <f>INDEX($E$230:$X$232,$B$234,X2-2)</f>
        <v>381854</v>
      </c>
    </row>
    <row r="51" spans="1:55" ht="11.25">
      <c r="A51" s="14" t="s">
        <v>79</v>
      </c>
      <c r="B51" s="43"/>
      <c r="C51" s="43"/>
      <c r="D51" s="43"/>
      <c r="E51" s="42">
        <v>38606</v>
      </c>
      <c r="F51" s="42">
        <v>42116</v>
      </c>
      <c r="G51" s="42">
        <v>46328</v>
      </c>
      <c r="H51" s="42">
        <v>51241</v>
      </c>
      <c r="I51" s="42">
        <v>55804</v>
      </c>
      <c r="J51" s="42">
        <v>61771</v>
      </c>
      <c r="K51" s="42">
        <v>67385</v>
      </c>
      <c r="L51" s="42">
        <v>74406</v>
      </c>
      <c r="M51" s="42">
        <v>81776</v>
      </c>
      <c r="N51" s="42">
        <v>89497</v>
      </c>
      <c r="O51" s="42">
        <v>98622</v>
      </c>
      <c r="P51" s="42">
        <v>98622</v>
      </c>
      <c r="Q51" s="42">
        <v>98622</v>
      </c>
      <c r="R51" s="42">
        <v>98622</v>
      </c>
      <c r="S51" s="42">
        <v>98622</v>
      </c>
      <c r="T51" s="42">
        <v>98622</v>
      </c>
      <c r="U51" s="42">
        <v>98622</v>
      </c>
      <c r="V51" s="42">
        <v>98622</v>
      </c>
      <c r="W51" s="42">
        <v>98622</v>
      </c>
      <c r="X51" s="42">
        <v>98622</v>
      </c>
      <c r="Y51" s="64"/>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row>
    <row r="52" spans="1:24" ht="11.25">
      <c r="A52" s="42"/>
      <c r="B52" s="43"/>
      <c r="C52" s="43"/>
      <c r="D52" s="43"/>
      <c r="E52" s="45"/>
      <c r="F52" s="45"/>
      <c r="G52" s="45"/>
      <c r="H52" s="45"/>
      <c r="I52" s="45"/>
      <c r="J52" s="45"/>
      <c r="K52" s="45"/>
      <c r="L52" s="45"/>
      <c r="M52" s="45"/>
      <c r="N52" s="45"/>
      <c r="O52" s="45"/>
      <c r="P52" s="45"/>
      <c r="Q52" s="45"/>
      <c r="R52" s="45"/>
      <c r="S52" s="45"/>
      <c r="T52" s="45"/>
      <c r="U52" s="45"/>
      <c r="V52" s="45"/>
      <c r="W52" s="45"/>
      <c r="X52" s="45"/>
    </row>
    <row r="53" spans="1:5" ht="11.25">
      <c r="A53" s="54" t="s">
        <v>117</v>
      </c>
      <c r="B53" s="3"/>
      <c r="E53" s="10"/>
    </row>
    <row r="54" spans="1:24" ht="12" thickBot="1">
      <c r="A54" s="30"/>
      <c r="B54" s="21"/>
      <c r="C54" s="31"/>
      <c r="D54" s="4"/>
      <c r="E54" s="4"/>
      <c r="F54" s="4"/>
      <c r="G54" s="4"/>
      <c r="H54" s="4"/>
      <c r="I54" s="4"/>
      <c r="J54" s="4"/>
      <c r="K54" s="4"/>
      <c r="L54" s="4"/>
      <c r="M54" s="4"/>
      <c r="N54" s="4"/>
      <c r="O54" s="4"/>
      <c r="P54" s="4"/>
      <c r="Q54" s="4"/>
      <c r="R54" s="4"/>
      <c r="S54" s="4"/>
      <c r="T54" s="4"/>
      <c r="U54" s="4"/>
      <c r="V54" s="4"/>
      <c r="W54" s="4"/>
      <c r="X54" s="4"/>
    </row>
    <row r="55" spans="1:2" ht="12" thickTop="1">
      <c r="A55" s="27"/>
      <c r="B55" s="9"/>
    </row>
    <row r="56" spans="1:24" ht="11.25">
      <c r="A56" s="2" t="s">
        <v>87</v>
      </c>
      <c r="B56" s="9"/>
      <c r="C56" s="9">
        <f aca="true" t="shared" si="4" ref="C56:X56">C1</f>
        <v>2013</v>
      </c>
      <c r="D56" s="9">
        <f t="shared" si="4"/>
        <v>2014</v>
      </c>
      <c r="E56" s="9">
        <f t="shared" si="4"/>
        <v>2015</v>
      </c>
      <c r="F56" s="9">
        <f t="shared" si="4"/>
        <v>2016</v>
      </c>
      <c r="G56" s="9">
        <f t="shared" si="4"/>
        <v>2017</v>
      </c>
      <c r="H56" s="9">
        <f t="shared" si="4"/>
        <v>2018</v>
      </c>
      <c r="I56" s="9">
        <f t="shared" si="4"/>
        <v>2019</v>
      </c>
      <c r="J56" s="9">
        <f t="shared" si="4"/>
        <v>2020</v>
      </c>
      <c r="K56" s="9">
        <f t="shared" si="4"/>
        <v>2021</v>
      </c>
      <c r="L56" s="9">
        <f t="shared" si="4"/>
        <v>2022</v>
      </c>
      <c r="M56" s="9">
        <f t="shared" si="4"/>
        <v>2023</v>
      </c>
      <c r="N56" s="9">
        <f t="shared" si="4"/>
        <v>2024</v>
      </c>
      <c r="O56" s="9">
        <f t="shared" si="4"/>
        <v>2025</v>
      </c>
      <c r="P56" s="9">
        <f t="shared" si="4"/>
        <v>2026</v>
      </c>
      <c r="Q56" s="9">
        <f t="shared" si="4"/>
        <v>2027</v>
      </c>
      <c r="R56" s="9">
        <f t="shared" si="4"/>
        <v>2028</v>
      </c>
      <c r="S56" s="9">
        <f t="shared" si="4"/>
        <v>2029</v>
      </c>
      <c r="T56" s="9">
        <f t="shared" si="4"/>
        <v>2030</v>
      </c>
      <c r="U56" s="9">
        <f t="shared" si="4"/>
        <v>2031</v>
      </c>
      <c r="V56" s="9">
        <f t="shared" si="4"/>
        <v>2032</v>
      </c>
      <c r="W56" s="9">
        <f t="shared" si="4"/>
        <v>2033</v>
      </c>
      <c r="X56" s="9">
        <f t="shared" si="4"/>
        <v>2034</v>
      </c>
    </row>
    <row r="57" spans="1:24" ht="12" thickBot="1">
      <c r="A57" s="4" t="s">
        <v>2</v>
      </c>
      <c r="B57" s="4"/>
      <c r="C57" s="4">
        <v>0</v>
      </c>
      <c r="D57" s="4">
        <v>1</v>
      </c>
      <c r="E57" s="4">
        <v>2</v>
      </c>
      <c r="F57" s="4">
        <v>3</v>
      </c>
      <c r="G57" s="4">
        <v>4</v>
      </c>
      <c r="H57" s="4">
        <v>5</v>
      </c>
      <c r="I57" s="4">
        <v>6</v>
      </c>
      <c r="J57" s="4">
        <v>7</v>
      </c>
      <c r="K57" s="4">
        <v>8</v>
      </c>
      <c r="L57" s="4">
        <v>9</v>
      </c>
      <c r="M57" s="4">
        <v>10</v>
      </c>
      <c r="N57" s="4">
        <v>11</v>
      </c>
      <c r="O57" s="4">
        <v>12</v>
      </c>
      <c r="P57" s="4">
        <v>13</v>
      </c>
      <c r="Q57" s="4">
        <v>14</v>
      </c>
      <c r="R57" s="4">
        <v>15</v>
      </c>
      <c r="S57" s="4">
        <v>16</v>
      </c>
      <c r="T57" s="4">
        <v>17</v>
      </c>
      <c r="U57" s="4">
        <v>18</v>
      </c>
      <c r="V57" s="4">
        <v>19</v>
      </c>
      <c r="W57" s="4">
        <v>20</v>
      </c>
      <c r="X57" s="4">
        <v>21</v>
      </c>
    </row>
    <row r="58" spans="1:24" ht="12" thickTop="1">
      <c r="A58" s="1" t="s">
        <v>40</v>
      </c>
      <c r="B58" s="1">
        <v>1</v>
      </c>
      <c r="C58" s="10">
        <f>B58*(1+C5)</f>
        <v>1.07</v>
      </c>
      <c r="D58" s="10">
        <f>C58*(1+D5)</f>
        <v>1.1449</v>
      </c>
      <c r="E58" s="10">
        <f>D58*(1+E5)</f>
        <v>1.225043</v>
      </c>
      <c r="F58" s="10">
        <f>E58*(1+F5)</f>
        <v>1.3107960100000002</v>
      </c>
      <c r="G58" s="10">
        <f>F58*(1+G5)</f>
        <v>1.4025517307000004</v>
      </c>
      <c r="H58" s="10">
        <f>G58*(1+H5)</f>
        <v>1.5007303518490005</v>
      </c>
      <c r="I58" s="10">
        <f>H58*(1+I5)</f>
        <v>1.6057814764784306</v>
      </c>
      <c r="J58" s="10">
        <f>I58*(1+J5)</f>
        <v>1.718186179831921</v>
      </c>
      <c r="K58" s="10">
        <f>J58*(1+K5)</f>
        <v>1.8384592124201555</v>
      </c>
      <c r="L58" s="10">
        <f>K58*(1+L5)</f>
        <v>1.9671513572895665</v>
      </c>
      <c r="M58" s="10">
        <f>L58*(1+M5)</f>
        <v>2.1048519522998363</v>
      </c>
      <c r="N58" s="10">
        <f>M58*(1+N5)</f>
        <v>2.252191588960825</v>
      </c>
      <c r="O58" s="10">
        <f>N58*(1+O5)</f>
        <v>2.4098450001880827</v>
      </c>
      <c r="P58" s="10">
        <f>O58*(1+P5)</f>
        <v>2.5785341502012487</v>
      </c>
      <c r="Q58" s="10">
        <f>P58*(1+Q5)</f>
        <v>2.7590315407153363</v>
      </c>
      <c r="R58" s="10">
        <f>Q58*(1+R5)</f>
        <v>2.95216374856541</v>
      </c>
      <c r="S58" s="10">
        <f>R58*(1+S5)</f>
        <v>3.158815210964989</v>
      </c>
      <c r="T58" s="10">
        <f>S58*(1+T5)</f>
        <v>3.3799322757325387</v>
      </c>
      <c r="U58" s="10">
        <f>T58*(1+U5)</f>
        <v>3.616527535033817</v>
      </c>
      <c r="V58" s="10">
        <f>U58*(1+V5)</f>
        <v>3.8696844624861844</v>
      </c>
      <c r="W58" s="10">
        <f>V58*(1+W5)</f>
        <v>4.140562374860218</v>
      </c>
      <c r="X58" s="10">
        <f>W58*(1+X5)</f>
        <v>4.430401741100433</v>
      </c>
    </row>
    <row r="59" spans="1:24" ht="11.25">
      <c r="A59" s="1" t="s">
        <v>41</v>
      </c>
      <c r="B59" s="1">
        <v>1</v>
      </c>
      <c r="C59" s="10">
        <f>B59*(1+C6)</f>
        <v>1.03</v>
      </c>
      <c r="D59" s="10">
        <f>C59*(1+D6)</f>
        <v>1.0609</v>
      </c>
      <c r="E59" s="10">
        <f>D59*(1+E6)</f>
        <v>1.092727</v>
      </c>
      <c r="F59" s="10">
        <f>E59*(1+F6)</f>
        <v>1.1255088100000001</v>
      </c>
      <c r="G59" s="10">
        <f>F59*(1+G6)</f>
        <v>1.1592740743</v>
      </c>
      <c r="H59" s="10">
        <f>G59*(1+H6)</f>
        <v>1.1940522965290001</v>
      </c>
      <c r="I59" s="10">
        <f>H59*(1+I6)</f>
        <v>1.2298738654248702</v>
      </c>
      <c r="J59" s="10">
        <f>I59*(1+J6)</f>
        <v>1.2667700813876164</v>
      </c>
      <c r="K59" s="10">
        <f>J59*(1+K6)</f>
        <v>1.304773183829245</v>
      </c>
      <c r="L59" s="10">
        <f>K59*(1+L6)</f>
        <v>1.3439163793441222</v>
      </c>
      <c r="M59" s="10">
        <f>L59*(1+M6)</f>
        <v>1.384233870724446</v>
      </c>
      <c r="N59" s="10">
        <f>M59*(1+N6)</f>
        <v>1.4257608868461793</v>
      </c>
      <c r="O59" s="10">
        <f>N59*(1+O6)</f>
        <v>1.4685337134515648</v>
      </c>
      <c r="P59" s="10">
        <f>O59*(1+P6)</f>
        <v>1.512589724855112</v>
      </c>
      <c r="Q59" s="10">
        <f>P59*(1+Q6)</f>
        <v>1.5579674166007653</v>
      </c>
      <c r="R59" s="10">
        <f>Q59*(1+R6)</f>
        <v>1.6047064390987884</v>
      </c>
      <c r="S59" s="10">
        <f>R59*(1+S6)</f>
        <v>1.652847632271752</v>
      </c>
      <c r="T59" s="10">
        <f>S59*(1+T6)</f>
        <v>1.7024330612399046</v>
      </c>
      <c r="U59" s="10">
        <f>T59*(1+U6)</f>
        <v>1.7535060530771018</v>
      </c>
      <c r="V59" s="10">
        <f>U59*(1+V6)</f>
        <v>1.806111234669415</v>
      </c>
      <c r="W59" s="10">
        <f>V59*(1+W6)</f>
        <v>1.8602945717094976</v>
      </c>
      <c r="X59" s="10">
        <f>W59*(1+X6)</f>
        <v>1.9161034088607827</v>
      </c>
    </row>
    <row r="60" spans="1:24" ht="11.25">
      <c r="A60" s="1" t="s">
        <v>42</v>
      </c>
      <c r="B60" s="1">
        <f>B7</f>
        <v>21000</v>
      </c>
      <c r="C60" s="1">
        <f>$B$60*C58/C59</f>
        <v>21815.533980582524</v>
      </c>
      <c r="D60" s="1">
        <f aca="true" t="shared" si="5" ref="D60:X60">$B$60*D58/D59</f>
        <v>22662.739183711947</v>
      </c>
      <c r="E60" s="1">
        <f t="shared" si="5"/>
        <v>23542.845559778427</v>
      </c>
      <c r="F60" s="1">
        <f t="shared" si="5"/>
        <v>24457.130824235843</v>
      </c>
      <c r="G60" s="1">
        <f t="shared" si="5"/>
        <v>25406.922312555685</v>
      </c>
      <c r="H60" s="1">
        <f t="shared" si="5"/>
        <v>26393.598907218042</v>
      </c>
      <c r="I60" s="1">
        <f t="shared" si="5"/>
        <v>27418.593039537187</v>
      </c>
      <c r="J60" s="1">
        <f t="shared" si="5"/>
        <v>28483.392769227954</v>
      </c>
      <c r="K60" s="1">
        <f t="shared" si="5"/>
        <v>29589.543944731955</v>
      </c>
      <c r="L60" s="1">
        <f t="shared" si="5"/>
        <v>30738.652447439992</v>
      </c>
      <c r="M60" s="1">
        <f t="shared" si="5"/>
        <v>31932.386523068733</v>
      </c>
      <c r="N60" s="1">
        <f t="shared" si="5"/>
        <v>33172.47920357626</v>
      </c>
      <c r="O60" s="1">
        <f t="shared" si="5"/>
        <v>34460.73082313261</v>
      </c>
      <c r="P60" s="1">
        <f t="shared" si="5"/>
        <v>35799.011631797955</v>
      </c>
      <c r="Q60" s="1">
        <f t="shared" si="5"/>
        <v>37189.264510702735</v>
      </c>
      <c r="R60" s="1">
        <f t="shared" si="5"/>
        <v>38633.50779267177</v>
      </c>
      <c r="S60" s="1">
        <f t="shared" si="5"/>
        <v>40133.83819238719</v>
      </c>
      <c r="T60" s="1">
        <f t="shared" si="5"/>
        <v>41692.43385034397</v>
      </c>
      <c r="U60" s="1">
        <f t="shared" si="5"/>
        <v>43311.55749501753</v>
      </c>
      <c r="V60" s="1">
        <f t="shared" si="5"/>
        <v>44993.559727833745</v>
      </c>
      <c r="W60" s="1">
        <f t="shared" si="5"/>
        <v>46740.88243571078</v>
      </c>
      <c r="X60" s="1">
        <f t="shared" si="5"/>
        <v>48556.06233612674</v>
      </c>
    </row>
    <row r="62" ht="11.25">
      <c r="A62" s="2" t="s">
        <v>89</v>
      </c>
    </row>
    <row r="63" spans="1:4" ht="11.25">
      <c r="A63" s="1" t="s">
        <v>55</v>
      </c>
      <c r="C63" s="1">
        <f>C10*C$58</f>
        <v>282611.61000000004</v>
      </c>
      <c r="D63" s="1">
        <f>D10*D$58</f>
        <v>252939.3223</v>
      </c>
    </row>
    <row r="64" spans="1:4" ht="11.25">
      <c r="A64" s="1" t="s">
        <v>51</v>
      </c>
      <c r="C64" s="1">
        <f>C11*C$58</f>
        <v>462875.58</v>
      </c>
      <c r="D64" s="1">
        <f>D11*D$58</f>
        <v>942135.9202</v>
      </c>
    </row>
    <row r="65" spans="1:4" ht="11.25">
      <c r="A65" s="1" t="s">
        <v>49</v>
      </c>
      <c r="C65" s="1">
        <f>C12*C$59</f>
        <v>19847.07</v>
      </c>
      <c r="D65" s="1">
        <f>D12*D$59</f>
        <v>48311.2642</v>
      </c>
    </row>
    <row r="66" spans="1:4" ht="11.25">
      <c r="A66" s="1" t="s">
        <v>54</v>
      </c>
      <c r="C66" s="1">
        <f>C13*C$59</f>
        <v>8300.77</v>
      </c>
      <c r="D66" s="1">
        <f>D13*D$59</f>
        <v>14519.4774</v>
      </c>
    </row>
    <row r="67" spans="1:4" ht="11.25">
      <c r="A67" s="8" t="s">
        <v>70</v>
      </c>
      <c r="C67" s="1">
        <f>C14*C$59</f>
        <v>1343.1200000000001</v>
      </c>
      <c r="D67" s="1">
        <f>D14*D$59</f>
        <v>1904.3155</v>
      </c>
    </row>
    <row r="69" ht="11.25">
      <c r="A69" s="2" t="s">
        <v>56</v>
      </c>
    </row>
    <row r="70" spans="1:4" ht="11.25">
      <c r="A70" s="15" t="s">
        <v>52</v>
      </c>
      <c r="C70" s="1">
        <f>C63</f>
        <v>282611.61000000004</v>
      </c>
      <c r="D70" s="1">
        <f>D63</f>
        <v>252939.3223</v>
      </c>
    </row>
    <row r="71" spans="1:4" ht="11.25">
      <c r="A71" s="15" t="s">
        <v>50</v>
      </c>
      <c r="C71" s="1">
        <f>C64</f>
        <v>462875.58</v>
      </c>
      <c r="D71" s="1">
        <f>D64</f>
        <v>942135.9202</v>
      </c>
    </row>
    <row r="72" spans="1:4" ht="11.25">
      <c r="A72" s="15" t="s">
        <v>48</v>
      </c>
      <c r="C72" s="1">
        <f aca="true" t="shared" si="6" ref="C72:D74">C65/1000*C$60</f>
        <v>432974.43</v>
      </c>
      <c r="D72" s="1">
        <f t="shared" si="6"/>
        <v>1094865.5802000002</v>
      </c>
    </row>
    <row r="73" spans="1:4" ht="11.25">
      <c r="A73" s="15" t="s">
        <v>54</v>
      </c>
      <c r="C73" s="1">
        <f t="shared" si="6"/>
        <v>181085.73</v>
      </c>
      <c r="D73" s="1">
        <f t="shared" si="6"/>
        <v>329051.12940000003</v>
      </c>
    </row>
    <row r="74" spans="1:4" ht="11.25">
      <c r="A74" s="15" t="s">
        <v>29</v>
      </c>
      <c r="C74" s="1">
        <f t="shared" si="6"/>
        <v>29300.88</v>
      </c>
      <c r="D74" s="1">
        <f t="shared" si="6"/>
        <v>43157.00550000001</v>
      </c>
    </row>
    <row r="75" spans="1:4" ht="11.25">
      <c r="A75" s="1" t="s">
        <v>31</v>
      </c>
      <c r="C75" s="1">
        <f>SUM(C70:C74)</f>
        <v>1388848.23</v>
      </c>
      <c r="D75" s="1">
        <f>SUM(D70:D74)</f>
        <v>2662148.9576000003</v>
      </c>
    </row>
    <row r="76" ht="11.25">
      <c r="A76" s="15"/>
    </row>
    <row r="77" spans="1:24" ht="11.25">
      <c r="A77" s="6" t="s">
        <v>4</v>
      </c>
      <c r="B77" s="6"/>
      <c r="C77" s="7"/>
      <c r="D77" s="7"/>
      <c r="E77" s="7"/>
      <c r="F77" s="7"/>
      <c r="G77" s="7"/>
      <c r="H77" s="7"/>
      <c r="I77" s="7"/>
      <c r="J77" s="7"/>
      <c r="K77" s="7"/>
      <c r="L77" s="7"/>
      <c r="M77" s="7"/>
      <c r="N77" s="7"/>
      <c r="O77" s="7"/>
      <c r="P77" s="7"/>
      <c r="Q77" s="7"/>
      <c r="R77" s="7"/>
      <c r="S77" s="7"/>
      <c r="T77" s="7"/>
      <c r="U77" s="7"/>
      <c r="V77" s="7"/>
      <c r="W77" s="7"/>
      <c r="X77" s="7"/>
    </row>
    <row r="78" spans="3:24" ht="11.25">
      <c r="C78" s="9">
        <f aca="true" t="shared" si="7" ref="C78:X78">C1</f>
        <v>2013</v>
      </c>
      <c r="D78" s="9">
        <f t="shared" si="7"/>
        <v>2014</v>
      </c>
      <c r="E78" s="9">
        <f t="shared" si="7"/>
        <v>2015</v>
      </c>
      <c r="F78" s="9">
        <f t="shared" si="7"/>
        <v>2016</v>
      </c>
      <c r="G78" s="9">
        <f t="shared" si="7"/>
        <v>2017</v>
      </c>
      <c r="H78" s="9">
        <f t="shared" si="7"/>
        <v>2018</v>
      </c>
      <c r="I78" s="9">
        <f t="shared" si="7"/>
        <v>2019</v>
      </c>
      <c r="J78" s="9">
        <f t="shared" si="7"/>
        <v>2020</v>
      </c>
      <c r="K78" s="9">
        <f t="shared" si="7"/>
        <v>2021</v>
      </c>
      <c r="L78" s="9">
        <f t="shared" si="7"/>
        <v>2022</v>
      </c>
      <c r="M78" s="9">
        <f t="shared" si="7"/>
        <v>2023</v>
      </c>
      <c r="N78" s="9">
        <f t="shared" si="7"/>
        <v>2024</v>
      </c>
      <c r="O78" s="9">
        <f t="shared" si="7"/>
        <v>2025</v>
      </c>
      <c r="P78" s="9">
        <f t="shared" si="7"/>
        <v>2026</v>
      </c>
      <c r="Q78" s="9">
        <f t="shared" si="7"/>
        <v>2027</v>
      </c>
      <c r="R78" s="9">
        <f t="shared" si="7"/>
        <v>2028</v>
      </c>
      <c r="S78" s="9">
        <f t="shared" si="7"/>
        <v>2029</v>
      </c>
      <c r="T78" s="9">
        <f t="shared" si="7"/>
        <v>2030</v>
      </c>
      <c r="U78" s="9">
        <f t="shared" si="7"/>
        <v>2031</v>
      </c>
      <c r="V78" s="9">
        <f t="shared" si="7"/>
        <v>2032</v>
      </c>
      <c r="W78" s="9">
        <f t="shared" si="7"/>
        <v>2033</v>
      </c>
      <c r="X78" s="9">
        <f t="shared" si="7"/>
        <v>2034</v>
      </c>
    </row>
    <row r="79" spans="1:24" ht="12" thickBot="1">
      <c r="A79" s="4" t="s">
        <v>2</v>
      </c>
      <c r="B79" s="4"/>
      <c r="C79" s="4">
        <v>0</v>
      </c>
      <c r="D79" s="4">
        <v>1</v>
      </c>
      <c r="E79" s="4">
        <v>2</v>
      </c>
      <c r="F79" s="4">
        <v>3</v>
      </c>
      <c r="G79" s="4">
        <v>4</v>
      </c>
      <c r="H79" s="4">
        <v>5</v>
      </c>
      <c r="I79" s="4">
        <v>6</v>
      </c>
      <c r="J79" s="4">
        <v>7</v>
      </c>
      <c r="K79" s="4">
        <v>8</v>
      </c>
      <c r="L79" s="4">
        <v>9</v>
      </c>
      <c r="M79" s="4">
        <v>10</v>
      </c>
      <c r="N79" s="4">
        <v>11</v>
      </c>
      <c r="O79" s="4">
        <v>12</v>
      </c>
      <c r="P79" s="4">
        <v>13</v>
      </c>
      <c r="Q79" s="4">
        <v>14</v>
      </c>
      <c r="R79" s="4">
        <v>15</v>
      </c>
      <c r="S79" s="4">
        <v>16</v>
      </c>
      <c r="T79" s="4">
        <v>17</v>
      </c>
      <c r="U79" s="4">
        <v>18</v>
      </c>
      <c r="V79" s="4">
        <v>19</v>
      </c>
      <c r="W79" s="4">
        <v>20</v>
      </c>
      <c r="X79" s="4">
        <v>21</v>
      </c>
    </row>
    <row r="80" spans="1:2" ht="12" thickTop="1">
      <c r="A80" s="1" t="s">
        <v>145</v>
      </c>
      <c r="B80" s="1">
        <f>C75+D75</f>
        <v>4050997.1876000003</v>
      </c>
    </row>
    <row r="81" spans="1:24" ht="11.25">
      <c r="A81" s="1" t="s">
        <v>146</v>
      </c>
      <c r="E81" s="1">
        <f aca="true" t="shared" si="8" ref="E81:X81">$B$80/$B$16</f>
        <v>202549.85938</v>
      </c>
      <c r="F81" s="1">
        <f t="shared" si="8"/>
        <v>202549.85938</v>
      </c>
      <c r="G81" s="1">
        <f t="shared" si="8"/>
        <v>202549.85938</v>
      </c>
      <c r="H81" s="1">
        <f t="shared" si="8"/>
        <v>202549.85938</v>
      </c>
      <c r="I81" s="1">
        <f t="shared" si="8"/>
        <v>202549.85938</v>
      </c>
      <c r="J81" s="1">
        <f t="shared" si="8"/>
        <v>202549.85938</v>
      </c>
      <c r="K81" s="1">
        <f t="shared" si="8"/>
        <v>202549.85938</v>
      </c>
      <c r="L81" s="1">
        <f t="shared" si="8"/>
        <v>202549.85938</v>
      </c>
      <c r="M81" s="1">
        <f t="shared" si="8"/>
        <v>202549.85938</v>
      </c>
      <c r="N81" s="1">
        <f t="shared" si="8"/>
        <v>202549.85938</v>
      </c>
      <c r="O81" s="1">
        <f t="shared" si="8"/>
        <v>202549.85938</v>
      </c>
      <c r="P81" s="1">
        <f t="shared" si="8"/>
        <v>202549.85938</v>
      </c>
      <c r="Q81" s="1">
        <f t="shared" si="8"/>
        <v>202549.85938</v>
      </c>
      <c r="R81" s="1">
        <f t="shared" si="8"/>
        <v>202549.85938</v>
      </c>
      <c r="S81" s="1">
        <f t="shared" si="8"/>
        <v>202549.85938</v>
      </c>
      <c r="T81" s="1">
        <f t="shared" si="8"/>
        <v>202549.85938</v>
      </c>
      <c r="U81" s="1">
        <f t="shared" si="8"/>
        <v>202549.85938</v>
      </c>
      <c r="V81" s="1">
        <f t="shared" si="8"/>
        <v>202549.85938</v>
      </c>
      <c r="W81" s="1">
        <f t="shared" si="8"/>
        <v>202549.85938</v>
      </c>
      <c r="X81" s="1">
        <f t="shared" si="8"/>
        <v>202549.85938</v>
      </c>
    </row>
    <row r="83" ht="11.25">
      <c r="A83" s="2" t="s">
        <v>68</v>
      </c>
    </row>
    <row r="84" spans="1:4" ht="11.25">
      <c r="A84" s="1" t="s">
        <v>20</v>
      </c>
      <c r="C84" s="1">
        <f>C75-C85</f>
        <v>1388848.23</v>
      </c>
      <c r="D84" s="1">
        <f>D75-D85</f>
        <v>362148.9576000003</v>
      </c>
    </row>
    <row r="85" spans="1:4" ht="11.25">
      <c r="A85" s="1" t="s">
        <v>30</v>
      </c>
      <c r="C85" s="1">
        <v>0</v>
      </c>
      <c r="D85" s="1">
        <v>2300000</v>
      </c>
    </row>
    <row r="87" ht="11.25">
      <c r="A87" s="2" t="s">
        <v>150</v>
      </c>
    </row>
    <row r="88" spans="1:3" ht="11.25">
      <c r="A88" s="1" t="s">
        <v>20</v>
      </c>
      <c r="B88" s="1">
        <f>SUM(C84:D84)</f>
        <v>1750997.1876000003</v>
      </c>
      <c r="C88" s="11">
        <f>B88/SUM($B$88:$B$89)</f>
        <v>0.43223855917741894</v>
      </c>
    </row>
    <row r="89" spans="1:3" ht="11.25">
      <c r="A89" s="1" t="s">
        <v>19</v>
      </c>
      <c r="B89" s="1">
        <f>SUM(C85:D85)</f>
        <v>2300000</v>
      </c>
      <c r="C89" s="11">
        <f>B89/SUM($B$88:$B$89)</f>
        <v>0.5677614408225811</v>
      </c>
    </row>
    <row r="91" spans="1:3" ht="11.25">
      <c r="A91" s="1" t="s">
        <v>151</v>
      </c>
      <c r="C91" s="13">
        <v>0.2091</v>
      </c>
    </row>
    <row r="92" spans="1:3" ht="11.25">
      <c r="A92" s="1" t="s">
        <v>152</v>
      </c>
      <c r="C92" s="13">
        <f>B20</f>
        <v>0.11499999999999999</v>
      </c>
    </row>
    <row r="93" spans="1:3" ht="11.25">
      <c r="A93" s="1" t="s">
        <v>153</v>
      </c>
      <c r="C93" s="13">
        <f>C91*C88+C92*C89</f>
        <v>0.15567364841859513</v>
      </c>
    </row>
    <row r="95" spans="1:24" ht="11.25">
      <c r="A95" s="6" t="s">
        <v>5</v>
      </c>
      <c r="B95" s="6"/>
      <c r="C95" s="7"/>
      <c r="D95" s="7"/>
      <c r="E95" s="7"/>
      <c r="F95" s="7"/>
      <c r="G95" s="7"/>
      <c r="H95" s="7"/>
      <c r="I95" s="7"/>
      <c r="J95" s="7"/>
      <c r="K95" s="7"/>
      <c r="L95" s="7"/>
      <c r="M95" s="7"/>
      <c r="N95" s="7"/>
      <c r="O95" s="7"/>
      <c r="P95" s="7"/>
      <c r="Q95" s="7"/>
      <c r="R95" s="7"/>
      <c r="S95" s="7"/>
      <c r="T95" s="7"/>
      <c r="U95" s="7"/>
      <c r="V95" s="7"/>
      <c r="W95" s="7"/>
      <c r="X95" s="7"/>
    </row>
    <row r="96" spans="2:24" ht="11.25">
      <c r="B96" s="9"/>
      <c r="C96" s="9">
        <f aca="true" t="shared" si="9" ref="C96:X96">C1</f>
        <v>2013</v>
      </c>
      <c r="D96" s="9">
        <f t="shared" si="9"/>
        <v>2014</v>
      </c>
      <c r="E96" s="9">
        <f t="shared" si="9"/>
        <v>2015</v>
      </c>
      <c r="F96" s="9">
        <f t="shared" si="9"/>
        <v>2016</v>
      </c>
      <c r="G96" s="9">
        <f t="shared" si="9"/>
        <v>2017</v>
      </c>
      <c r="H96" s="9">
        <f t="shared" si="9"/>
        <v>2018</v>
      </c>
      <c r="I96" s="9">
        <f t="shared" si="9"/>
        <v>2019</v>
      </c>
      <c r="J96" s="9">
        <f t="shared" si="9"/>
        <v>2020</v>
      </c>
      <c r="K96" s="9">
        <f t="shared" si="9"/>
        <v>2021</v>
      </c>
      <c r="L96" s="9">
        <f t="shared" si="9"/>
        <v>2022</v>
      </c>
      <c r="M96" s="9">
        <f t="shared" si="9"/>
        <v>2023</v>
      </c>
      <c r="N96" s="9">
        <f t="shared" si="9"/>
        <v>2024</v>
      </c>
      <c r="O96" s="9">
        <f t="shared" si="9"/>
        <v>2025</v>
      </c>
      <c r="P96" s="9">
        <f t="shared" si="9"/>
        <v>2026</v>
      </c>
      <c r="Q96" s="9">
        <f t="shared" si="9"/>
        <v>2027</v>
      </c>
      <c r="R96" s="9">
        <f t="shared" si="9"/>
        <v>2028</v>
      </c>
      <c r="S96" s="9">
        <f t="shared" si="9"/>
        <v>2029</v>
      </c>
      <c r="T96" s="9">
        <f t="shared" si="9"/>
        <v>2030</v>
      </c>
      <c r="U96" s="9">
        <f t="shared" si="9"/>
        <v>2031</v>
      </c>
      <c r="V96" s="9">
        <f t="shared" si="9"/>
        <v>2032</v>
      </c>
      <c r="W96" s="9">
        <f t="shared" si="9"/>
        <v>2033</v>
      </c>
      <c r="X96" s="9">
        <f t="shared" si="9"/>
        <v>2034</v>
      </c>
    </row>
    <row r="97" spans="1:24" ht="12" thickBot="1">
      <c r="A97" s="4" t="s">
        <v>2</v>
      </c>
      <c r="B97" s="4"/>
      <c r="C97" s="4">
        <v>0</v>
      </c>
      <c r="D97" s="4">
        <v>1</v>
      </c>
      <c r="E97" s="4">
        <v>2</v>
      </c>
      <c r="F97" s="4">
        <v>3</v>
      </c>
      <c r="G97" s="4">
        <v>4</v>
      </c>
      <c r="H97" s="4">
        <v>5</v>
      </c>
      <c r="I97" s="4">
        <v>6</v>
      </c>
      <c r="J97" s="4">
        <v>7</v>
      </c>
      <c r="K97" s="4">
        <v>8</v>
      </c>
      <c r="L97" s="4">
        <v>9</v>
      </c>
      <c r="M97" s="4">
        <v>10</v>
      </c>
      <c r="N97" s="4">
        <v>11</v>
      </c>
      <c r="O97" s="4">
        <v>12</v>
      </c>
      <c r="P97" s="4">
        <v>13</v>
      </c>
      <c r="Q97" s="4">
        <v>14</v>
      </c>
      <c r="R97" s="4">
        <v>15</v>
      </c>
      <c r="S97" s="4">
        <v>16</v>
      </c>
      <c r="T97" s="4">
        <v>17</v>
      </c>
      <c r="U97" s="4">
        <v>18</v>
      </c>
      <c r="V97" s="4">
        <v>19</v>
      </c>
      <c r="W97" s="4">
        <v>20</v>
      </c>
      <c r="X97" s="4">
        <v>21</v>
      </c>
    </row>
    <row r="98" ht="12" thickTop="1"/>
    <row r="99" spans="1:2" ht="11.25">
      <c r="A99" s="18" t="s">
        <v>61</v>
      </c>
      <c r="B99" s="18"/>
    </row>
    <row r="100" spans="1:24" ht="11.25">
      <c r="A100" s="14" t="s">
        <v>45</v>
      </c>
      <c r="D100" s="1">
        <f>C104</f>
        <v>0</v>
      </c>
      <c r="E100" s="1">
        <f aca="true" t="shared" si="10" ref="E100:X100">D104</f>
        <v>2300000</v>
      </c>
      <c r="F100" s="1">
        <f t="shared" si="10"/>
        <v>2070000</v>
      </c>
      <c r="G100" s="1">
        <f t="shared" si="10"/>
        <v>1840000</v>
      </c>
      <c r="H100" s="1">
        <f t="shared" si="10"/>
        <v>1610000</v>
      </c>
      <c r="I100" s="1">
        <f t="shared" si="10"/>
        <v>1380000</v>
      </c>
      <c r="J100" s="1">
        <f t="shared" si="10"/>
        <v>1150000</v>
      </c>
      <c r="K100" s="1">
        <f t="shared" si="10"/>
        <v>920000</v>
      </c>
      <c r="L100" s="1">
        <f t="shared" si="10"/>
        <v>690000</v>
      </c>
      <c r="M100" s="1">
        <f t="shared" si="10"/>
        <v>460000</v>
      </c>
      <c r="N100" s="1">
        <f t="shared" si="10"/>
        <v>230000</v>
      </c>
      <c r="O100" s="1">
        <f t="shared" si="10"/>
        <v>0</v>
      </c>
      <c r="P100" s="1">
        <f t="shared" si="10"/>
        <v>0</v>
      </c>
      <c r="Q100" s="1">
        <f t="shared" si="10"/>
        <v>0</v>
      </c>
      <c r="R100" s="1">
        <f t="shared" si="10"/>
        <v>0</v>
      </c>
      <c r="S100" s="1">
        <f t="shared" si="10"/>
        <v>0</v>
      </c>
      <c r="T100" s="1">
        <f t="shared" si="10"/>
        <v>0</v>
      </c>
      <c r="U100" s="1">
        <f t="shared" si="10"/>
        <v>0</v>
      </c>
      <c r="V100" s="1">
        <f t="shared" si="10"/>
        <v>0</v>
      </c>
      <c r="W100" s="1">
        <f t="shared" si="10"/>
        <v>0</v>
      </c>
      <c r="X100" s="1">
        <f t="shared" si="10"/>
        <v>0</v>
      </c>
    </row>
    <row r="101" spans="1:4" ht="11.25">
      <c r="A101" s="14" t="s">
        <v>6</v>
      </c>
      <c r="B101" s="14"/>
      <c r="D101" s="1">
        <f>D85</f>
        <v>2300000</v>
      </c>
    </row>
    <row r="102" spans="1:24" ht="11.25">
      <c r="A102" s="14" t="s">
        <v>7</v>
      </c>
      <c r="D102" s="1">
        <f aca="true" t="shared" si="11" ref="D102:X102">D100*$B$20</f>
        <v>0</v>
      </c>
      <c r="E102" s="1">
        <f t="shared" si="11"/>
        <v>264500</v>
      </c>
      <c r="F102" s="1">
        <f t="shared" si="11"/>
        <v>238049.99999999997</v>
      </c>
      <c r="G102" s="1">
        <f t="shared" si="11"/>
        <v>211599.99999999997</v>
      </c>
      <c r="H102" s="1">
        <f t="shared" si="11"/>
        <v>185150</v>
      </c>
      <c r="I102" s="1">
        <f t="shared" si="11"/>
        <v>158700</v>
      </c>
      <c r="J102" s="1">
        <f t="shared" si="11"/>
        <v>132250</v>
      </c>
      <c r="K102" s="1">
        <f t="shared" si="11"/>
        <v>105799.99999999999</v>
      </c>
      <c r="L102" s="1">
        <f t="shared" si="11"/>
        <v>79350</v>
      </c>
      <c r="M102" s="1">
        <f t="shared" si="11"/>
        <v>52899.99999999999</v>
      </c>
      <c r="N102" s="1">
        <f t="shared" si="11"/>
        <v>26449.999999999996</v>
      </c>
      <c r="O102" s="1">
        <f t="shared" si="11"/>
        <v>0</v>
      </c>
      <c r="P102" s="1">
        <f t="shared" si="11"/>
        <v>0</v>
      </c>
      <c r="Q102" s="1">
        <f t="shared" si="11"/>
        <v>0</v>
      </c>
      <c r="R102" s="1">
        <f t="shared" si="11"/>
        <v>0</v>
      </c>
      <c r="S102" s="1">
        <f t="shared" si="11"/>
        <v>0</v>
      </c>
      <c r="T102" s="1">
        <f t="shared" si="11"/>
        <v>0</v>
      </c>
      <c r="U102" s="1">
        <f t="shared" si="11"/>
        <v>0</v>
      </c>
      <c r="V102" s="1">
        <f t="shared" si="11"/>
        <v>0</v>
      </c>
      <c r="W102" s="1">
        <f t="shared" si="11"/>
        <v>0</v>
      </c>
      <c r="X102" s="1">
        <f t="shared" si="11"/>
        <v>0</v>
      </c>
    </row>
    <row r="103" spans="1:14" ht="11.25">
      <c r="A103" s="14" t="s">
        <v>8</v>
      </c>
      <c r="D103" s="1">
        <v>0</v>
      </c>
      <c r="E103" s="1">
        <f aca="true" t="shared" si="12" ref="E103:N103">$D$104/$B$21</f>
        <v>230000</v>
      </c>
      <c r="F103" s="1">
        <f t="shared" si="12"/>
        <v>230000</v>
      </c>
      <c r="G103" s="1">
        <f t="shared" si="12"/>
        <v>230000</v>
      </c>
      <c r="H103" s="1">
        <f t="shared" si="12"/>
        <v>230000</v>
      </c>
      <c r="I103" s="1">
        <f t="shared" si="12"/>
        <v>230000</v>
      </c>
      <c r="J103" s="1">
        <f t="shared" si="12"/>
        <v>230000</v>
      </c>
      <c r="K103" s="1">
        <f t="shared" si="12"/>
        <v>230000</v>
      </c>
      <c r="L103" s="1">
        <f t="shared" si="12"/>
        <v>230000</v>
      </c>
      <c r="M103" s="1">
        <f t="shared" si="12"/>
        <v>230000</v>
      </c>
      <c r="N103" s="1">
        <f t="shared" si="12"/>
        <v>230000</v>
      </c>
    </row>
    <row r="104" spans="1:24" ht="11.25">
      <c r="A104" s="14" t="s">
        <v>9</v>
      </c>
      <c r="D104" s="1">
        <f aca="true" t="shared" si="13" ref="D104:X104">D100+D101-D103</f>
        <v>2300000</v>
      </c>
      <c r="E104" s="1">
        <f t="shared" si="13"/>
        <v>2070000</v>
      </c>
      <c r="F104" s="1">
        <f t="shared" si="13"/>
        <v>1840000</v>
      </c>
      <c r="G104" s="1">
        <f t="shared" si="13"/>
        <v>1610000</v>
      </c>
      <c r="H104" s="1">
        <f t="shared" si="13"/>
        <v>1380000</v>
      </c>
      <c r="I104" s="1">
        <f t="shared" si="13"/>
        <v>1150000</v>
      </c>
      <c r="J104" s="1">
        <f t="shared" si="13"/>
        <v>920000</v>
      </c>
      <c r="K104" s="1">
        <f t="shared" si="13"/>
        <v>690000</v>
      </c>
      <c r="L104" s="1">
        <f t="shared" si="13"/>
        <v>460000</v>
      </c>
      <c r="M104" s="1">
        <f t="shared" si="13"/>
        <v>230000</v>
      </c>
      <c r="N104" s="1">
        <f t="shared" si="13"/>
        <v>0</v>
      </c>
      <c r="O104" s="1">
        <f t="shared" si="13"/>
        <v>0</v>
      </c>
      <c r="P104" s="1">
        <f t="shared" si="13"/>
        <v>0</v>
      </c>
      <c r="Q104" s="1">
        <f t="shared" si="13"/>
        <v>0</v>
      </c>
      <c r="R104" s="1">
        <f t="shared" si="13"/>
        <v>0</v>
      </c>
      <c r="S104" s="1">
        <f t="shared" si="13"/>
        <v>0</v>
      </c>
      <c r="T104" s="1">
        <f t="shared" si="13"/>
        <v>0</v>
      </c>
      <c r="U104" s="1">
        <f t="shared" si="13"/>
        <v>0</v>
      </c>
      <c r="V104" s="1">
        <f t="shared" si="13"/>
        <v>0</v>
      </c>
      <c r="W104" s="1">
        <f t="shared" si="13"/>
        <v>0</v>
      </c>
      <c r="X104" s="1">
        <f t="shared" si="13"/>
        <v>0</v>
      </c>
    </row>
    <row r="105" spans="1:2" ht="11.25">
      <c r="A105" s="14"/>
      <c r="B105" s="85"/>
    </row>
    <row r="106" spans="1:24" ht="11.25">
      <c r="A106" s="14" t="s">
        <v>147</v>
      </c>
      <c r="D106" s="1">
        <f>D101-D102-D103</f>
        <v>2300000</v>
      </c>
      <c r="E106" s="1">
        <f aca="true" t="shared" si="14" ref="E106:X106">E101-E102-E103</f>
        <v>-494500</v>
      </c>
      <c r="F106" s="1">
        <f t="shared" si="14"/>
        <v>-468050</v>
      </c>
      <c r="G106" s="1">
        <f t="shared" si="14"/>
        <v>-441600</v>
      </c>
      <c r="H106" s="1">
        <f t="shared" si="14"/>
        <v>-415150</v>
      </c>
      <c r="I106" s="1">
        <f t="shared" si="14"/>
        <v>-388700</v>
      </c>
      <c r="J106" s="1">
        <f t="shared" si="14"/>
        <v>-362250</v>
      </c>
      <c r="K106" s="1">
        <f t="shared" si="14"/>
        <v>-335800</v>
      </c>
      <c r="L106" s="1">
        <f t="shared" si="14"/>
        <v>-309350</v>
      </c>
      <c r="M106" s="1">
        <f t="shared" si="14"/>
        <v>-282900</v>
      </c>
      <c r="N106" s="1">
        <f t="shared" si="14"/>
        <v>-256450</v>
      </c>
      <c r="O106" s="1">
        <f t="shared" si="14"/>
        <v>0</v>
      </c>
      <c r="P106" s="1">
        <f t="shared" si="14"/>
        <v>0</v>
      </c>
      <c r="Q106" s="1">
        <f t="shared" si="14"/>
        <v>0</v>
      </c>
      <c r="R106" s="1">
        <f t="shared" si="14"/>
        <v>0</v>
      </c>
      <c r="S106" s="1">
        <f t="shared" si="14"/>
        <v>0</v>
      </c>
      <c r="T106" s="1">
        <f t="shared" si="14"/>
        <v>0</v>
      </c>
      <c r="U106" s="1">
        <f t="shared" si="14"/>
        <v>0</v>
      </c>
      <c r="V106" s="1">
        <f t="shared" si="14"/>
        <v>0</v>
      </c>
      <c r="W106" s="1">
        <f t="shared" si="14"/>
        <v>0</v>
      </c>
      <c r="X106" s="1">
        <f t="shared" si="14"/>
        <v>0</v>
      </c>
    </row>
    <row r="107" spans="1:3" ht="11.25">
      <c r="A107" s="14" t="s">
        <v>148</v>
      </c>
      <c r="B107" s="13">
        <f>IRR(C106:X106,10%)</f>
        <v>0.11500000000000006</v>
      </c>
      <c r="C107" s="11"/>
    </row>
    <row r="108" spans="1:2" ht="11.25">
      <c r="A108" s="14"/>
      <c r="B108" s="14"/>
    </row>
    <row r="109" spans="1:56" s="63" customFormat="1" ht="11.25">
      <c r="A109" s="6" t="s">
        <v>27</v>
      </c>
      <c r="B109" s="6"/>
      <c r="C109" s="7"/>
      <c r="D109" s="7"/>
      <c r="E109" s="7"/>
      <c r="F109" s="7"/>
      <c r="G109" s="7"/>
      <c r="H109" s="7"/>
      <c r="I109" s="7"/>
      <c r="J109" s="7"/>
      <c r="K109" s="7"/>
      <c r="L109" s="7"/>
      <c r="M109" s="7"/>
      <c r="N109" s="7"/>
      <c r="O109" s="7"/>
      <c r="P109" s="7"/>
      <c r="Q109" s="7"/>
      <c r="R109" s="7"/>
      <c r="S109" s="7"/>
      <c r="T109" s="7"/>
      <c r="U109" s="7"/>
      <c r="V109" s="7"/>
      <c r="W109" s="7"/>
      <c r="X109" s="7"/>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row>
    <row r="110" spans="1:56" s="63" customFormat="1" ht="11.25">
      <c r="A110" s="1"/>
      <c r="B110" s="9"/>
      <c r="C110" s="9">
        <f aca="true" t="shared" si="15" ref="C110:X110">C1</f>
        <v>2013</v>
      </c>
      <c r="D110" s="9">
        <f t="shared" si="15"/>
        <v>2014</v>
      </c>
      <c r="E110" s="9">
        <f t="shared" si="15"/>
        <v>2015</v>
      </c>
      <c r="F110" s="9">
        <f t="shared" si="15"/>
        <v>2016</v>
      </c>
      <c r="G110" s="9">
        <f t="shared" si="15"/>
        <v>2017</v>
      </c>
      <c r="H110" s="9">
        <f t="shared" si="15"/>
        <v>2018</v>
      </c>
      <c r="I110" s="9">
        <f t="shared" si="15"/>
        <v>2019</v>
      </c>
      <c r="J110" s="9">
        <f t="shared" si="15"/>
        <v>2020</v>
      </c>
      <c r="K110" s="9">
        <f t="shared" si="15"/>
        <v>2021</v>
      </c>
      <c r="L110" s="9">
        <f t="shared" si="15"/>
        <v>2022</v>
      </c>
      <c r="M110" s="9">
        <f t="shared" si="15"/>
        <v>2023</v>
      </c>
      <c r="N110" s="9">
        <f t="shared" si="15"/>
        <v>2024</v>
      </c>
      <c r="O110" s="9">
        <f t="shared" si="15"/>
        <v>2025</v>
      </c>
      <c r="P110" s="9">
        <f t="shared" si="15"/>
        <v>2026</v>
      </c>
      <c r="Q110" s="9">
        <f t="shared" si="15"/>
        <v>2027</v>
      </c>
      <c r="R110" s="9">
        <f t="shared" si="15"/>
        <v>2028</v>
      </c>
      <c r="S110" s="9">
        <f t="shared" si="15"/>
        <v>2029</v>
      </c>
      <c r="T110" s="9">
        <f t="shared" si="15"/>
        <v>2030</v>
      </c>
      <c r="U110" s="9">
        <f t="shared" si="15"/>
        <v>2031</v>
      </c>
      <c r="V110" s="9">
        <f t="shared" si="15"/>
        <v>2032</v>
      </c>
      <c r="W110" s="9">
        <f t="shared" si="15"/>
        <v>2033</v>
      </c>
      <c r="X110" s="9">
        <f t="shared" si="15"/>
        <v>2034</v>
      </c>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row>
    <row r="111" spans="1:56" s="63" customFormat="1" ht="12" thickBot="1">
      <c r="A111" s="4" t="s">
        <v>2</v>
      </c>
      <c r="B111" s="4"/>
      <c r="C111" s="4">
        <v>0</v>
      </c>
      <c r="D111" s="4">
        <v>1</v>
      </c>
      <c r="E111" s="4">
        <v>2</v>
      </c>
      <c r="F111" s="4">
        <v>3</v>
      </c>
      <c r="G111" s="4">
        <v>4</v>
      </c>
      <c r="H111" s="4">
        <v>5</v>
      </c>
      <c r="I111" s="4">
        <v>6</v>
      </c>
      <c r="J111" s="4">
        <v>7</v>
      </c>
      <c r="K111" s="4">
        <v>8</v>
      </c>
      <c r="L111" s="4">
        <v>9</v>
      </c>
      <c r="M111" s="4">
        <v>10</v>
      </c>
      <c r="N111" s="4">
        <v>11</v>
      </c>
      <c r="O111" s="4">
        <v>12</v>
      </c>
      <c r="P111" s="4">
        <v>13</v>
      </c>
      <c r="Q111" s="4">
        <v>14</v>
      </c>
      <c r="R111" s="4">
        <v>15</v>
      </c>
      <c r="S111" s="4">
        <v>16</v>
      </c>
      <c r="T111" s="4">
        <v>17</v>
      </c>
      <c r="U111" s="4">
        <v>18</v>
      </c>
      <c r="V111" s="4">
        <v>19</v>
      </c>
      <c r="W111" s="4">
        <v>20</v>
      </c>
      <c r="X111" s="4">
        <v>21</v>
      </c>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row>
    <row r="112" spans="1:56" s="63" customFormat="1" ht="12" thickTop="1">
      <c r="A112" s="1" t="s">
        <v>62</v>
      </c>
      <c r="B112" s="1"/>
      <c r="C112" s="1"/>
      <c r="D112" s="10"/>
      <c r="E112" s="10">
        <f>E24</f>
        <v>1.8</v>
      </c>
      <c r="F112" s="10">
        <f aca="true" t="shared" si="16" ref="F112:X112">F24</f>
        <v>2</v>
      </c>
      <c r="G112" s="10">
        <f t="shared" si="16"/>
        <v>2.2</v>
      </c>
      <c r="H112" s="10">
        <f t="shared" si="16"/>
        <v>2.4</v>
      </c>
      <c r="I112" s="10">
        <f t="shared" si="16"/>
        <v>2.65</v>
      </c>
      <c r="J112" s="10">
        <f t="shared" si="16"/>
        <v>2.9</v>
      </c>
      <c r="K112" s="10">
        <f t="shared" si="16"/>
        <v>3.2</v>
      </c>
      <c r="L112" s="10">
        <f t="shared" si="16"/>
        <v>3.5</v>
      </c>
      <c r="M112" s="10">
        <f t="shared" si="16"/>
        <v>3.5</v>
      </c>
      <c r="N112" s="10">
        <f t="shared" si="16"/>
        <v>3.5</v>
      </c>
      <c r="O112" s="10">
        <f t="shared" si="16"/>
        <v>3.5</v>
      </c>
      <c r="P112" s="10">
        <f t="shared" si="16"/>
        <v>3.5</v>
      </c>
      <c r="Q112" s="10">
        <f t="shared" si="16"/>
        <v>3.5</v>
      </c>
      <c r="R112" s="10">
        <f t="shared" si="16"/>
        <v>3.5</v>
      </c>
      <c r="S112" s="10">
        <f t="shared" si="16"/>
        <v>3.5</v>
      </c>
      <c r="T112" s="10">
        <f t="shared" si="16"/>
        <v>3.5</v>
      </c>
      <c r="U112" s="10">
        <f t="shared" si="16"/>
        <v>3.5</v>
      </c>
      <c r="V112" s="10">
        <f t="shared" si="16"/>
        <v>3.5</v>
      </c>
      <c r="W112" s="10">
        <f t="shared" si="16"/>
        <v>3.5</v>
      </c>
      <c r="X112" s="10">
        <f t="shared" si="16"/>
        <v>3.5</v>
      </c>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row>
    <row r="113" spans="1:56" s="63" customFormat="1" ht="11.25">
      <c r="A113" s="1" t="s">
        <v>102</v>
      </c>
      <c r="B113" s="1"/>
      <c r="C113" s="1">
        <f>B26*(1+$B$27)</f>
        <v>378000</v>
      </c>
      <c r="D113" s="1">
        <f>C113*(1+$B$27)</f>
        <v>396900</v>
      </c>
      <c r="E113" s="1">
        <f aca="true" t="shared" si="17" ref="E113:X113">D113*(1+$B$27)</f>
        <v>416745</v>
      </c>
      <c r="F113" s="1">
        <f t="shared" si="17"/>
        <v>437582.25</v>
      </c>
      <c r="G113" s="1">
        <f t="shared" si="17"/>
        <v>459461.36250000005</v>
      </c>
      <c r="H113" s="1">
        <f t="shared" si="17"/>
        <v>482434.4306250001</v>
      </c>
      <c r="I113" s="1">
        <f t="shared" si="17"/>
        <v>506556.15215625014</v>
      </c>
      <c r="J113" s="1">
        <f t="shared" si="17"/>
        <v>531883.9597640627</v>
      </c>
      <c r="K113" s="1">
        <f t="shared" si="17"/>
        <v>558478.1577522658</v>
      </c>
      <c r="L113" s="1">
        <f t="shared" si="17"/>
        <v>586402.0656398791</v>
      </c>
      <c r="M113" s="1">
        <f t="shared" si="17"/>
        <v>615722.1689218731</v>
      </c>
      <c r="N113" s="1">
        <f t="shared" si="17"/>
        <v>646508.2773679667</v>
      </c>
      <c r="O113" s="1">
        <f t="shared" si="17"/>
        <v>678833.6912363651</v>
      </c>
      <c r="P113" s="1">
        <f t="shared" si="17"/>
        <v>712775.3757981834</v>
      </c>
      <c r="Q113" s="1">
        <f t="shared" si="17"/>
        <v>748414.1445880926</v>
      </c>
      <c r="R113" s="1">
        <f t="shared" si="17"/>
        <v>785834.8518174973</v>
      </c>
      <c r="S113" s="1">
        <f t="shared" si="17"/>
        <v>825126.5944083722</v>
      </c>
      <c r="T113" s="1">
        <f t="shared" si="17"/>
        <v>866382.9241287909</v>
      </c>
      <c r="U113" s="1">
        <f t="shared" si="17"/>
        <v>909702.0703352304</v>
      </c>
      <c r="V113" s="1">
        <f t="shared" si="17"/>
        <v>955187.173851992</v>
      </c>
      <c r="W113" s="1">
        <f t="shared" si="17"/>
        <v>1002946.5325445917</v>
      </c>
      <c r="X113" s="1">
        <f t="shared" si="17"/>
        <v>1053093.8591718213</v>
      </c>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row>
    <row r="114" spans="1:56" s="63" customFormat="1" ht="11.25">
      <c r="A114" s="1" t="s">
        <v>64</v>
      </c>
      <c r="B114" s="1"/>
      <c r="C114" s="19"/>
      <c r="D114" s="1"/>
      <c r="E114" s="1">
        <f aca="true" t="shared" si="18" ref="E114:X114">E113*E112</f>
        <v>750141</v>
      </c>
      <c r="F114" s="1">
        <f t="shared" si="18"/>
        <v>875164.5</v>
      </c>
      <c r="G114" s="1">
        <f t="shared" si="18"/>
        <v>1010814.9975000002</v>
      </c>
      <c r="H114" s="1">
        <f t="shared" si="18"/>
        <v>1157842.6335000002</v>
      </c>
      <c r="I114" s="1">
        <f t="shared" si="18"/>
        <v>1342373.803214063</v>
      </c>
      <c r="J114" s="1">
        <f t="shared" si="18"/>
        <v>1542463.4833157817</v>
      </c>
      <c r="K114" s="1">
        <f t="shared" si="18"/>
        <v>1787130.1048072507</v>
      </c>
      <c r="L114" s="1">
        <f t="shared" si="18"/>
        <v>2052407.2297395768</v>
      </c>
      <c r="M114" s="1">
        <f t="shared" si="18"/>
        <v>2155027.591226556</v>
      </c>
      <c r="N114" s="1">
        <f t="shared" si="18"/>
        <v>2262778.9707878837</v>
      </c>
      <c r="O114" s="1">
        <f t="shared" si="18"/>
        <v>2375917.9193272777</v>
      </c>
      <c r="P114" s="1">
        <f t="shared" si="18"/>
        <v>2494713.8152936418</v>
      </c>
      <c r="Q114" s="1">
        <f t="shared" si="18"/>
        <v>2619449.506058324</v>
      </c>
      <c r="R114" s="1">
        <f t="shared" si="18"/>
        <v>2750421.9813612406</v>
      </c>
      <c r="S114" s="1">
        <f t="shared" si="18"/>
        <v>2887943.0804293025</v>
      </c>
      <c r="T114" s="1">
        <f t="shared" si="18"/>
        <v>3032340.2344507677</v>
      </c>
      <c r="U114" s="1">
        <f t="shared" si="18"/>
        <v>3183957.2461733064</v>
      </c>
      <c r="V114" s="1">
        <f t="shared" si="18"/>
        <v>3343155.108481972</v>
      </c>
      <c r="W114" s="1">
        <f t="shared" si="18"/>
        <v>3510312.863906071</v>
      </c>
      <c r="X114" s="1">
        <f t="shared" si="18"/>
        <v>3685828.5071013747</v>
      </c>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row>
    <row r="116" spans="1:56" s="63" customFormat="1" ht="11.25">
      <c r="A116" s="6" t="s">
        <v>10</v>
      </c>
      <c r="B116" s="6"/>
      <c r="C116" s="7"/>
      <c r="D116" s="7"/>
      <c r="E116" s="7"/>
      <c r="F116" s="7"/>
      <c r="G116" s="7"/>
      <c r="H116" s="7"/>
      <c r="I116" s="7"/>
      <c r="J116" s="7"/>
      <c r="K116" s="7"/>
      <c r="L116" s="7"/>
      <c r="M116" s="7"/>
      <c r="N116" s="7"/>
      <c r="O116" s="7"/>
      <c r="P116" s="7"/>
      <c r="Q116" s="7"/>
      <c r="R116" s="7"/>
      <c r="S116" s="7"/>
      <c r="T116" s="7"/>
      <c r="U116" s="7"/>
      <c r="V116" s="7"/>
      <c r="W116" s="7"/>
      <c r="X116" s="7"/>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row>
    <row r="117" spans="1:56" s="63" customFormat="1" ht="11.25">
      <c r="A117" s="1"/>
      <c r="B117" s="9">
        <f aca="true" t="shared" si="19" ref="B117:X117">B110</f>
        <v>0</v>
      </c>
      <c r="C117" s="9">
        <f t="shared" si="19"/>
        <v>2013</v>
      </c>
      <c r="D117" s="9">
        <f t="shared" si="19"/>
        <v>2014</v>
      </c>
      <c r="E117" s="9">
        <f t="shared" si="19"/>
        <v>2015</v>
      </c>
      <c r="F117" s="9">
        <f t="shared" si="19"/>
        <v>2016</v>
      </c>
      <c r="G117" s="9">
        <f t="shared" si="19"/>
        <v>2017</v>
      </c>
      <c r="H117" s="9">
        <f t="shared" si="19"/>
        <v>2018</v>
      </c>
      <c r="I117" s="9">
        <f t="shared" si="19"/>
        <v>2019</v>
      </c>
      <c r="J117" s="9">
        <f t="shared" si="19"/>
        <v>2020</v>
      </c>
      <c r="K117" s="9">
        <f t="shared" si="19"/>
        <v>2021</v>
      </c>
      <c r="L117" s="9">
        <f t="shared" si="19"/>
        <v>2022</v>
      </c>
      <c r="M117" s="9">
        <f t="shared" si="19"/>
        <v>2023</v>
      </c>
      <c r="N117" s="9">
        <f t="shared" si="19"/>
        <v>2024</v>
      </c>
      <c r="O117" s="9">
        <f t="shared" si="19"/>
        <v>2025</v>
      </c>
      <c r="P117" s="9">
        <f t="shared" si="19"/>
        <v>2026</v>
      </c>
      <c r="Q117" s="9">
        <f t="shared" si="19"/>
        <v>2027</v>
      </c>
      <c r="R117" s="9">
        <f t="shared" si="19"/>
        <v>2028</v>
      </c>
      <c r="S117" s="9">
        <f t="shared" si="19"/>
        <v>2029</v>
      </c>
      <c r="T117" s="9">
        <f t="shared" si="19"/>
        <v>2030</v>
      </c>
      <c r="U117" s="9">
        <f t="shared" si="19"/>
        <v>2031</v>
      </c>
      <c r="V117" s="9">
        <f t="shared" si="19"/>
        <v>2032</v>
      </c>
      <c r="W117" s="9">
        <f t="shared" si="19"/>
        <v>2033</v>
      </c>
      <c r="X117" s="9">
        <f t="shared" si="19"/>
        <v>2034</v>
      </c>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row>
    <row r="118" spans="1:56" s="63" customFormat="1" ht="12" thickBot="1">
      <c r="A118" s="4" t="s">
        <v>2</v>
      </c>
      <c r="B118" s="4"/>
      <c r="C118" s="4">
        <v>0</v>
      </c>
      <c r="D118" s="4">
        <v>1</v>
      </c>
      <c r="E118" s="4">
        <v>2</v>
      </c>
      <c r="F118" s="4">
        <v>3</v>
      </c>
      <c r="G118" s="4">
        <v>4</v>
      </c>
      <c r="H118" s="4">
        <v>5</v>
      </c>
      <c r="I118" s="4">
        <v>6</v>
      </c>
      <c r="J118" s="4">
        <v>7</v>
      </c>
      <c r="K118" s="4">
        <v>8</v>
      </c>
      <c r="L118" s="4">
        <v>9</v>
      </c>
      <c r="M118" s="4">
        <v>10</v>
      </c>
      <c r="N118" s="4">
        <v>11</v>
      </c>
      <c r="O118" s="4">
        <v>12</v>
      </c>
      <c r="P118" s="4">
        <v>13</v>
      </c>
      <c r="Q118" s="4">
        <v>14</v>
      </c>
      <c r="R118" s="4">
        <v>15</v>
      </c>
      <c r="S118" s="4">
        <v>16</v>
      </c>
      <c r="T118" s="4">
        <v>17</v>
      </c>
      <c r="U118" s="4">
        <v>18</v>
      </c>
      <c r="V118" s="4">
        <v>19</v>
      </c>
      <c r="W118" s="4">
        <v>20</v>
      </c>
      <c r="X118" s="4">
        <v>21</v>
      </c>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row>
    <row r="119" spans="1:56" s="63" customFormat="1" ht="12" thickTop="1">
      <c r="A119" s="24" t="s">
        <v>103</v>
      </c>
      <c r="B119" s="2"/>
      <c r="C119" s="1"/>
      <c r="D119" s="1"/>
      <c r="E119" s="1">
        <f>$B$29*E58*E112</f>
        <v>94818.3282</v>
      </c>
      <c r="F119" s="1">
        <f>$B$29*F58*F112</f>
        <v>112728.45686000002</v>
      </c>
      <c r="G119" s="1">
        <f>$B$29*G58*G112</f>
        <v>132681.39372422005</v>
      </c>
      <c r="H119" s="1">
        <f>$B$29*H58*H112</f>
        <v>154875.37231081686</v>
      </c>
      <c r="I119" s="1">
        <f>$B$29*I58*I112</f>
        <v>182978.79924471714</v>
      </c>
      <c r="J119" s="1">
        <f>$B$29*J58*J112</f>
        <v>214257.81662504052</v>
      </c>
      <c r="K119" s="1">
        <f>$B$29*K58*K112</f>
        <v>252971.98762901343</v>
      </c>
      <c r="L119" s="1">
        <f>$B$29*L58*L112</f>
        <v>296056.27927207976</v>
      </c>
      <c r="M119" s="1">
        <f>$B$29*M58*M112</f>
        <v>316780.2188211254</v>
      </c>
      <c r="N119" s="1">
        <f>$B$29*N58*N112</f>
        <v>338954.8341386041</v>
      </c>
      <c r="O119" s="1">
        <f>$B$29*O58*O112</f>
        <v>362681.67252830643</v>
      </c>
      <c r="P119" s="1">
        <f>$B$29*P58*P112</f>
        <v>388069.3896052879</v>
      </c>
      <c r="Q119" s="1">
        <f>$B$29*Q58*Q112</f>
        <v>415234.2468776581</v>
      </c>
      <c r="R119" s="1">
        <f>$B$29*R58*R112</f>
        <v>444300.6441590942</v>
      </c>
      <c r="S119" s="1">
        <f>$B$29*S58*S112</f>
        <v>475401.68925023085</v>
      </c>
      <c r="T119" s="1">
        <f>$B$29*T58*T112</f>
        <v>508679.80749774707</v>
      </c>
      <c r="U119" s="1">
        <f>$B$29*U58*U112</f>
        <v>544287.3940225894</v>
      </c>
      <c r="V119" s="1">
        <f>$B$29*V58*V112</f>
        <v>582387.5116041708</v>
      </c>
      <c r="W119" s="1">
        <f>$B$29*W58*W112</f>
        <v>623154.6374164628</v>
      </c>
      <c r="X119" s="1">
        <f>$B$29*X58*X112</f>
        <v>666775.4620356152</v>
      </c>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row>
    <row r="120" spans="1:56" s="63" customFormat="1" ht="11.25">
      <c r="A120" s="26" t="s">
        <v>104</v>
      </c>
      <c r="B120" s="1"/>
      <c r="C120" s="1"/>
      <c r="D120" s="1"/>
      <c r="E120" s="1">
        <f aca="true" t="shared" si="20" ref="E120:X120">$B$30*E58</f>
        <v>56964.499500000005</v>
      </c>
      <c r="F120" s="1">
        <f t="shared" si="20"/>
        <v>60952.01446500001</v>
      </c>
      <c r="G120" s="1">
        <f t="shared" si="20"/>
        <v>65218.65547755002</v>
      </c>
      <c r="H120" s="1">
        <f t="shared" si="20"/>
        <v>69783.96136097853</v>
      </c>
      <c r="I120" s="1">
        <f t="shared" si="20"/>
        <v>74668.83865624703</v>
      </c>
      <c r="J120" s="1">
        <f t="shared" si="20"/>
        <v>79895.65736218433</v>
      </c>
      <c r="K120" s="1">
        <f t="shared" si="20"/>
        <v>85488.35337753723</v>
      </c>
      <c r="L120" s="1">
        <f t="shared" si="20"/>
        <v>91472.53811396484</v>
      </c>
      <c r="M120" s="1">
        <f t="shared" si="20"/>
        <v>97875.6157819424</v>
      </c>
      <c r="N120" s="1">
        <f t="shared" si="20"/>
        <v>104726.90888667836</v>
      </c>
      <c r="O120" s="1">
        <f t="shared" si="20"/>
        <v>112057.79250874584</v>
      </c>
      <c r="P120" s="1">
        <f t="shared" si="20"/>
        <v>119901.83798435806</v>
      </c>
      <c r="Q120" s="1">
        <f t="shared" si="20"/>
        <v>128294.96664326313</v>
      </c>
      <c r="R120" s="1">
        <f t="shared" si="20"/>
        <v>137275.61430829158</v>
      </c>
      <c r="S120" s="1">
        <f t="shared" si="20"/>
        <v>146884.907309872</v>
      </c>
      <c r="T120" s="1">
        <f t="shared" si="20"/>
        <v>157166.85082156304</v>
      </c>
      <c r="U120" s="1">
        <f t="shared" si="20"/>
        <v>168168.53037907247</v>
      </c>
      <c r="V120" s="1">
        <f t="shared" si="20"/>
        <v>179940.32750560757</v>
      </c>
      <c r="W120" s="1">
        <f t="shared" si="20"/>
        <v>192536.15043100013</v>
      </c>
      <c r="X120" s="1">
        <f t="shared" si="20"/>
        <v>206013.68096117015</v>
      </c>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row>
    <row r="121" spans="1:56" s="63" customFormat="1" ht="11.25">
      <c r="A121" s="26" t="s">
        <v>32</v>
      </c>
      <c r="B121" s="1"/>
      <c r="C121" s="1"/>
      <c r="D121" s="1"/>
      <c r="E121" s="1">
        <f aca="true" t="shared" si="21" ref="E121:X121">E114*$B$31</f>
        <v>37507.05</v>
      </c>
      <c r="F121" s="1">
        <f t="shared" si="21"/>
        <v>43758.225000000006</v>
      </c>
      <c r="G121" s="1">
        <f t="shared" si="21"/>
        <v>50540.74987500001</v>
      </c>
      <c r="H121" s="1">
        <f t="shared" si="21"/>
        <v>57892.13167500001</v>
      </c>
      <c r="I121" s="1">
        <f t="shared" si="21"/>
        <v>67118.69016070315</v>
      </c>
      <c r="J121" s="1">
        <f t="shared" si="21"/>
        <v>77123.17416578908</v>
      </c>
      <c r="K121" s="1">
        <f t="shared" si="21"/>
        <v>89356.50524036255</v>
      </c>
      <c r="L121" s="1">
        <f t="shared" si="21"/>
        <v>102620.36148697884</v>
      </c>
      <c r="M121" s="1">
        <f t="shared" si="21"/>
        <v>107751.3795613278</v>
      </c>
      <c r="N121" s="1">
        <f t="shared" si="21"/>
        <v>113138.94853939419</v>
      </c>
      <c r="O121" s="1">
        <f t="shared" si="21"/>
        <v>118795.8959663639</v>
      </c>
      <c r="P121" s="1">
        <f t="shared" si="21"/>
        <v>124735.69076468209</v>
      </c>
      <c r="Q121" s="1">
        <f t="shared" si="21"/>
        <v>130972.47530291621</v>
      </c>
      <c r="R121" s="1">
        <f t="shared" si="21"/>
        <v>137521.09906806203</v>
      </c>
      <c r="S121" s="1">
        <f t="shared" si="21"/>
        <v>144397.15402146513</v>
      </c>
      <c r="T121" s="1">
        <f t="shared" si="21"/>
        <v>151617.0117225384</v>
      </c>
      <c r="U121" s="1">
        <f t="shared" si="21"/>
        <v>159197.86230866532</v>
      </c>
      <c r="V121" s="1">
        <f t="shared" si="21"/>
        <v>167157.7554240986</v>
      </c>
      <c r="W121" s="1">
        <f t="shared" si="21"/>
        <v>175515.64319530356</v>
      </c>
      <c r="X121" s="1">
        <f t="shared" si="21"/>
        <v>184291.42535506876</v>
      </c>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row>
    <row r="122" spans="1:56" s="63" customFormat="1" ht="11.25">
      <c r="A122" s="1" t="s">
        <v>12</v>
      </c>
      <c r="B122" s="1"/>
      <c r="C122" s="1"/>
      <c r="D122" s="1"/>
      <c r="E122" s="1">
        <f>E121+E120+E119</f>
        <v>189289.8777</v>
      </c>
      <c r="F122" s="1">
        <f aca="true" t="shared" si="22" ref="F122:X122">F121+F120+F119</f>
        <v>217438.69632500003</v>
      </c>
      <c r="G122" s="1">
        <f t="shared" si="22"/>
        <v>248440.79907677008</v>
      </c>
      <c r="H122" s="1">
        <f t="shared" si="22"/>
        <v>282551.4653467954</v>
      </c>
      <c r="I122" s="1">
        <f t="shared" si="22"/>
        <v>324766.3280616673</v>
      </c>
      <c r="J122" s="1">
        <f t="shared" si="22"/>
        <v>371276.6481530139</v>
      </c>
      <c r="K122" s="1">
        <f t="shared" si="22"/>
        <v>427816.8462469132</v>
      </c>
      <c r="L122" s="1">
        <f t="shared" si="22"/>
        <v>490149.1788730234</v>
      </c>
      <c r="M122" s="1">
        <f t="shared" si="22"/>
        <v>522407.2141643956</v>
      </c>
      <c r="N122" s="1">
        <f t="shared" si="22"/>
        <v>556820.6915646766</v>
      </c>
      <c r="O122" s="1">
        <f t="shared" si="22"/>
        <v>593535.3610034161</v>
      </c>
      <c r="P122" s="1">
        <f t="shared" si="22"/>
        <v>632706.918354328</v>
      </c>
      <c r="Q122" s="1">
        <f t="shared" si="22"/>
        <v>674501.6888238374</v>
      </c>
      <c r="R122" s="1">
        <f t="shared" si="22"/>
        <v>719097.3575354478</v>
      </c>
      <c r="S122" s="1">
        <f t="shared" si="22"/>
        <v>766683.750581568</v>
      </c>
      <c r="T122" s="1">
        <f t="shared" si="22"/>
        <v>817463.6700418484</v>
      </c>
      <c r="U122" s="1">
        <f t="shared" si="22"/>
        <v>871653.7867103273</v>
      </c>
      <c r="V122" s="1">
        <f t="shared" si="22"/>
        <v>929485.594533877</v>
      </c>
      <c r="W122" s="1">
        <f t="shared" si="22"/>
        <v>991206.4310427664</v>
      </c>
      <c r="X122" s="1">
        <f t="shared" si="22"/>
        <v>1057080.568351854</v>
      </c>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row>
    <row r="124" spans="1:56" s="63" customFormat="1" ht="11.25">
      <c r="A124" s="6" t="s">
        <v>149</v>
      </c>
      <c r="B124" s="6"/>
      <c r="C124" s="7"/>
      <c r="D124" s="7"/>
      <c r="E124" s="7"/>
      <c r="F124" s="7"/>
      <c r="G124" s="7"/>
      <c r="H124" s="7"/>
      <c r="I124" s="7"/>
      <c r="J124" s="7"/>
      <c r="K124" s="7"/>
      <c r="L124" s="7"/>
      <c r="M124" s="7"/>
      <c r="N124" s="7"/>
      <c r="O124" s="7"/>
      <c r="P124" s="7"/>
      <c r="Q124" s="7"/>
      <c r="R124" s="7"/>
      <c r="S124" s="7"/>
      <c r="T124" s="7"/>
      <c r="U124" s="7"/>
      <c r="V124" s="7"/>
      <c r="W124" s="7"/>
      <c r="X124" s="7"/>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row>
    <row r="125" spans="1:56" s="63" customFormat="1" ht="11.25">
      <c r="A125" s="1"/>
      <c r="B125" s="9">
        <f aca="true" t="shared" si="23" ref="B125:X125">B1</f>
        <v>2012</v>
      </c>
      <c r="C125" s="9">
        <f t="shared" si="23"/>
        <v>2013</v>
      </c>
      <c r="D125" s="9">
        <f t="shared" si="23"/>
        <v>2014</v>
      </c>
      <c r="E125" s="9">
        <f t="shared" si="23"/>
        <v>2015</v>
      </c>
      <c r="F125" s="9">
        <f t="shared" si="23"/>
        <v>2016</v>
      </c>
      <c r="G125" s="9">
        <f t="shared" si="23"/>
        <v>2017</v>
      </c>
      <c r="H125" s="9">
        <f t="shared" si="23"/>
        <v>2018</v>
      </c>
      <c r="I125" s="9">
        <f t="shared" si="23"/>
        <v>2019</v>
      </c>
      <c r="J125" s="9">
        <f t="shared" si="23"/>
        <v>2020</v>
      </c>
      <c r="K125" s="9">
        <f t="shared" si="23"/>
        <v>2021</v>
      </c>
      <c r="L125" s="9">
        <f t="shared" si="23"/>
        <v>2022</v>
      </c>
      <c r="M125" s="9">
        <f t="shared" si="23"/>
        <v>2023</v>
      </c>
      <c r="N125" s="9">
        <f t="shared" si="23"/>
        <v>2024</v>
      </c>
      <c r="O125" s="9">
        <f t="shared" si="23"/>
        <v>2025</v>
      </c>
      <c r="P125" s="9">
        <f t="shared" si="23"/>
        <v>2026</v>
      </c>
      <c r="Q125" s="9">
        <f t="shared" si="23"/>
        <v>2027</v>
      </c>
      <c r="R125" s="9">
        <f t="shared" si="23"/>
        <v>2028</v>
      </c>
      <c r="S125" s="9">
        <f t="shared" si="23"/>
        <v>2029</v>
      </c>
      <c r="T125" s="9">
        <f t="shared" si="23"/>
        <v>2030</v>
      </c>
      <c r="U125" s="9">
        <f t="shared" si="23"/>
        <v>2031</v>
      </c>
      <c r="V125" s="9">
        <f t="shared" si="23"/>
        <v>2032</v>
      </c>
      <c r="W125" s="9">
        <f t="shared" si="23"/>
        <v>2033</v>
      </c>
      <c r="X125" s="9">
        <f t="shared" si="23"/>
        <v>2034</v>
      </c>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row>
    <row r="126" spans="1:56" s="63" customFormat="1" ht="12" thickBot="1">
      <c r="A126" s="4" t="s">
        <v>2</v>
      </c>
      <c r="B126" s="4"/>
      <c r="C126" s="4">
        <v>0</v>
      </c>
      <c r="D126" s="4">
        <v>1</v>
      </c>
      <c r="E126" s="4">
        <v>2</v>
      </c>
      <c r="F126" s="4">
        <v>3</v>
      </c>
      <c r="G126" s="4">
        <v>4</v>
      </c>
      <c r="H126" s="4">
        <v>5</v>
      </c>
      <c r="I126" s="4">
        <v>6</v>
      </c>
      <c r="J126" s="4">
        <v>7</v>
      </c>
      <c r="K126" s="4">
        <v>8</v>
      </c>
      <c r="L126" s="4">
        <v>9</v>
      </c>
      <c r="M126" s="4">
        <v>10</v>
      </c>
      <c r="N126" s="4">
        <v>11</v>
      </c>
      <c r="O126" s="4">
        <v>12</v>
      </c>
      <c r="P126" s="4">
        <v>13</v>
      </c>
      <c r="Q126" s="4">
        <v>14</v>
      </c>
      <c r="R126" s="4">
        <v>15</v>
      </c>
      <c r="S126" s="4">
        <v>16</v>
      </c>
      <c r="T126" s="4">
        <v>17</v>
      </c>
      <c r="U126" s="4">
        <v>18</v>
      </c>
      <c r="V126" s="4">
        <v>19</v>
      </c>
      <c r="W126" s="4">
        <v>20</v>
      </c>
      <c r="X126" s="4">
        <v>21</v>
      </c>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row>
    <row r="127" spans="1:56" s="63" customFormat="1" ht="12" thickTop="1">
      <c r="A127" s="1" t="s">
        <v>33</v>
      </c>
      <c r="B127" s="1"/>
      <c r="C127" s="1"/>
      <c r="D127" s="1"/>
      <c r="E127" s="1">
        <f>E114</f>
        <v>750141</v>
      </c>
      <c r="F127" s="1">
        <f aca="true" t="shared" si="24" ref="F127:X127">F114</f>
        <v>875164.5</v>
      </c>
      <c r="G127" s="1">
        <f t="shared" si="24"/>
        <v>1010814.9975000002</v>
      </c>
      <c r="H127" s="1">
        <f t="shared" si="24"/>
        <v>1157842.6335000002</v>
      </c>
      <c r="I127" s="1">
        <f t="shared" si="24"/>
        <v>1342373.803214063</v>
      </c>
      <c r="J127" s="1">
        <f t="shared" si="24"/>
        <v>1542463.4833157817</v>
      </c>
      <c r="K127" s="1">
        <f t="shared" si="24"/>
        <v>1787130.1048072507</v>
      </c>
      <c r="L127" s="1">
        <f t="shared" si="24"/>
        <v>2052407.2297395768</v>
      </c>
      <c r="M127" s="1">
        <f t="shared" si="24"/>
        <v>2155027.591226556</v>
      </c>
      <c r="N127" s="1">
        <f t="shared" si="24"/>
        <v>2262778.9707878837</v>
      </c>
      <c r="O127" s="1">
        <f t="shared" si="24"/>
        <v>2375917.9193272777</v>
      </c>
      <c r="P127" s="1">
        <f t="shared" si="24"/>
        <v>2494713.8152936418</v>
      </c>
      <c r="Q127" s="1">
        <f t="shared" si="24"/>
        <v>2619449.506058324</v>
      </c>
      <c r="R127" s="1">
        <f t="shared" si="24"/>
        <v>2750421.9813612406</v>
      </c>
      <c r="S127" s="1">
        <f t="shared" si="24"/>
        <v>2887943.0804293025</v>
      </c>
      <c r="T127" s="1">
        <f t="shared" si="24"/>
        <v>3032340.2344507677</v>
      </c>
      <c r="U127" s="1">
        <f t="shared" si="24"/>
        <v>3183957.2461733064</v>
      </c>
      <c r="V127" s="1">
        <f t="shared" si="24"/>
        <v>3343155.108481972</v>
      </c>
      <c r="W127" s="1">
        <f t="shared" si="24"/>
        <v>3510312.863906071</v>
      </c>
      <c r="X127" s="1">
        <f t="shared" si="24"/>
        <v>3685828.5071013747</v>
      </c>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row>
    <row r="128" spans="1:56" s="63" customFormat="1" ht="11.25">
      <c r="A128" s="15" t="s">
        <v>35</v>
      </c>
      <c r="B128" s="1"/>
      <c r="C128" s="1"/>
      <c r="D128" s="1"/>
      <c r="E128" s="1">
        <f>-E122</f>
        <v>-189289.8777</v>
      </c>
      <c r="F128" s="1">
        <f aca="true" t="shared" si="25" ref="F128:X128">-F122</f>
        <v>-217438.69632500003</v>
      </c>
      <c r="G128" s="1">
        <f t="shared" si="25"/>
        <v>-248440.79907677008</v>
      </c>
      <c r="H128" s="1">
        <f t="shared" si="25"/>
        <v>-282551.4653467954</v>
      </c>
      <c r="I128" s="1">
        <f t="shared" si="25"/>
        <v>-324766.3280616673</v>
      </c>
      <c r="J128" s="1">
        <f t="shared" si="25"/>
        <v>-371276.6481530139</v>
      </c>
      <c r="K128" s="1">
        <f t="shared" si="25"/>
        <v>-427816.8462469132</v>
      </c>
      <c r="L128" s="1">
        <f t="shared" si="25"/>
        <v>-490149.1788730234</v>
      </c>
      <c r="M128" s="1">
        <f t="shared" si="25"/>
        <v>-522407.2141643956</v>
      </c>
      <c r="N128" s="1">
        <f t="shared" si="25"/>
        <v>-556820.6915646766</v>
      </c>
      <c r="O128" s="1">
        <f t="shared" si="25"/>
        <v>-593535.3610034161</v>
      </c>
      <c r="P128" s="1">
        <f t="shared" si="25"/>
        <v>-632706.918354328</v>
      </c>
      <c r="Q128" s="1">
        <f t="shared" si="25"/>
        <v>-674501.6888238374</v>
      </c>
      <c r="R128" s="1">
        <f t="shared" si="25"/>
        <v>-719097.3575354478</v>
      </c>
      <c r="S128" s="1">
        <f t="shared" si="25"/>
        <v>-766683.750581568</v>
      </c>
      <c r="T128" s="1">
        <f t="shared" si="25"/>
        <v>-817463.6700418484</v>
      </c>
      <c r="U128" s="1">
        <f t="shared" si="25"/>
        <v>-871653.7867103273</v>
      </c>
      <c r="V128" s="1">
        <f t="shared" si="25"/>
        <v>-929485.594533877</v>
      </c>
      <c r="W128" s="1">
        <f t="shared" si="25"/>
        <v>-991206.4310427664</v>
      </c>
      <c r="X128" s="1">
        <f t="shared" si="25"/>
        <v>-1057080.568351854</v>
      </c>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row>
    <row r="129" spans="1:56" s="63" customFormat="1" ht="11.25">
      <c r="A129" s="28" t="s">
        <v>34</v>
      </c>
      <c r="B129" s="1"/>
      <c r="C129" s="1"/>
      <c r="D129" s="1"/>
      <c r="E129" s="1">
        <f aca="true" t="shared" si="26" ref="E129:X129">E128+E127</f>
        <v>560851.1222999999</v>
      </c>
      <c r="F129" s="1">
        <f t="shared" si="26"/>
        <v>657725.803675</v>
      </c>
      <c r="G129" s="1">
        <f t="shared" si="26"/>
        <v>762374.1984232301</v>
      </c>
      <c r="H129" s="1">
        <f t="shared" si="26"/>
        <v>875291.1681532048</v>
      </c>
      <c r="I129" s="1">
        <f t="shared" si="26"/>
        <v>1017607.4751523957</v>
      </c>
      <c r="J129" s="1">
        <f t="shared" si="26"/>
        <v>1171186.8351627677</v>
      </c>
      <c r="K129" s="1">
        <f t="shared" si="26"/>
        <v>1359313.2585603376</v>
      </c>
      <c r="L129" s="1">
        <f t="shared" si="26"/>
        <v>1562258.0508665533</v>
      </c>
      <c r="M129" s="1">
        <f t="shared" si="26"/>
        <v>1632620.3770621603</v>
      </c>
      <c r="N129" s="1">
        <f t="shared" si="26"/>
        <v>1705958.2792232072</v>
      </c>
      <c r="O129" s="1">
        <f t="shared" si="26"/>
        <v>1782382.5583238616</v>
      </c>
      <c r="P129" s="1">
        <f t="shared" si="26"/>
        <v>1862006.8969393137</v>
      </c>
      <c r="Q129" s="1">
        <f t="shared" si="26"/>
        <v>1944947.8172344868</v>
      </c>
      <c r="R129" s="1">
        <f t="shared" si="26"/>
        <v>2031324.6238257927</v>
      </c>
      <c r="S129" s="1">
        <f t="shared" si="26"/>
        <v>2121259.3298477344</v>
      </c>
      <c r="T129" s="1">
        <f t="shared" si="26"/>
        <v>2214876.5644089193</v>
      </c>
      <c r="U129" s="1">
        <f t="shared" si="26"/>
        <v>2312303.459462979</v>
      </c>
      <c r="V129" s="1">
        <f t="shared" si="26"/>
        <v>2413669.513948095</v>
      </c>
      <c r="W129" s="1">
        <f t="shared" si="26"/>
        <v>2519106.4328633044</v>
      </c>
      <c r="X129" s="1">
        <f t="shared" si="26"/>
        <v>2628747.9387495206</v>
      </c>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row>
    <row r="130" spans="1:56" s="63" customFormat="1" ht="11.25">
      <c r="A130" s="15" t="s">
        <v>36</v>
      </c>
      <c r="B130" s="1"/>
      <c r="C130" s="1"/>
      <c r="D130" s="1"/>
      <c r="E130" s="1">
        <f>-E81</f>
        <v>-202549.85938</v>
      </c>
      <c r="F130" s="1">
        <f aca="true" t="shared" si="27" ref="F130:X130">-F81</f>
        <v>-202549.85938</v>
      </c>
      <c r="G130" s="1">
        <f t="shared" si="27"/>
        <v>-202549.85938</v>
      </c>
      <c r="H130" s="1">
        <f t="shared" si="27"/>
        <v>-202549.85938</v>
      </c>
      <c r="I130" s="1">
        <f t="shared" si="27"/>
        <v>-202549.85938</v>
      </c>
      <c r="J130" s="1">
        <f t="shared" si="27"/>
        <v>-202549.85938</v>
      </c>
      <c r="K130" s="1">
        <f t="shared" si="27"/>
        <v>-202549.85938</v>
      </c>
      <c r="L130" s="1">
        <f t="shared" si="27"/>
        <v>-202549.85938</v>
      </c>
      <c r="M130" s="1">
        <f t="shared" si="27"/>
        <v>-202549.85938</v>
      </c>
      <c r="N130" s="1">
        <f t="shared" si="27"/>
        <v>-202549.85938</v>
      </c>
      <c r="O130" s="1">
        <f t="shared" si="27"/>
        <v>-202549.85938</v>
      </c>
      <c r="P130" s="1">
        <f t="shared" si="27"/>
        <v>-202549.85938</v>
      </c>
      <c r="Q130" s="1">
        <f t="shared" si="27"/>
        <v>-202549.85938</v>
      </c>
      <c r="R130" s="1">
        <f t="shared" si="27"/>
        <v>-202549.85938</v>
      </c>
      <c r="S130" s="1">
        <f t="shared" si="27"/>
        <v>-202549.85938</v>
      </c>
      <c r="T130" s="1">
        <f t="shared" si="27"/>
        <v>-202549.85938</v>
      </c>
      <c r="U130" s="1">
        <f t="shared" si="27"/>
        <v>-202549.85938</v>
      </c>
      <c r="V130" s="1">
        <f t="shared" si="27"/>
        <v>-202549.85938</v>
      </c>
      <c r="W130" s="1">
        <f t="shared" si="27"/>
        <v>-202549.85938</v>
      </c>
      <c r="X130" s="1">
        <f t="shared" si="27"/>
        <v>-202549.85938</v>
      </c>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row>
    <row r="131" spans="1:56" s="63" customFormat="1" ht="11.25">
      <c r="A131" s="1" t="s">
        <v>13</v>
      </c>
      <c r="B131" s="1"/>
      <c r="C131" s="1"/>
      <c r="D131" s="1"/>
      <c r="E131" s="1">
        <f>E130+E129</f>
        <v>358301.2629199999</v>
      </c>
      <c r="F131" s="1">
        <f aca="true" t="shared" si="28" ref="F131:X131">F130+F129</f>
        <v>455175.94429499994</v>
      </c>
      <c r="G131" s="1">
        <f t="shared" si="28"/>
        <v>559824.33904323</v>
      </c>
      <c r="H131" s="1">
        <f t="shared" si="28"/>
        <v>672741.3087732048</v>
      </c>
      <c r="I131" s="1">
        <f t="shared" si="28"/>
        <v>815057.6157723956</v>
      </c>
      <c r="J131" s="1">
        <f t="shared" si="28"/>
        <v>968636.9757827676</v>
      </c>
      <c r="K131" s="1">
        <f t="shared" si="28"/>
        <v>1156763.3991803376</v>
      </c>
      <c r="L131" s="1">
        <f t="shared" si="28"/>
        <v>1359708.1914865533</v>
      </c>
      <c r="M131" s="1">
        <f t="shared" si="28"/>
        <v>1430070.5176821603</v>
      </c>
      <c r="N131" s="1">
        <f t="shared" si="28"/>
        <v>1503408.419843207</v>
      </c>
      <c r="O131" s="1">
        <f t="shared" si="28"/>
        <v>1579832.6989438615</v>
      </c>
      <c r="P131" s="1">
        <f t="shared" si="28"/>
        <v>1659457.0375593137</v>
      </c>
      <c r="Q131" s="1">
        <f t="shared" si="28"/>
        <v>1742397.9578544868</v>
      </c>
      <c r="R131" s="1">
        <f t="shared" si="28"/>
        <v>1828774.7644457927</v>
      </c>
      <c r="S131" s="1">
        <f t="shared" si="28"/>
        <v>1918709.4704677344</v>
      </c>
      <c r="T131" s="1">
        <f t="shared" si="28"/>
        <v>2012326.7050289193</v>
      </c>
      <c r="U131" s="1">
        <f t="shared" si="28"/>
        <v>2109753.600082979</v>
      </c>
      <c r="V131" s="1">
        <f t="shared" si="28"/>
        <v>2211119.654568095</v>
      </c>
      <c r="W131" s="1">
        <f t="shared" si="28"/>
        <v>2316556.5734833046</v>
      </c>
      <c r="X131" s="1">
        <f t="shared" si="28"/>
        <v>2426198.079369521</v>
      </c>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row>
    <row r="132" spans="1:56" s="63" customFormat="1" ht="11.25">
      <c r="A132" s="15" t="s">
        <v>26</v>
      </c>
      <c r="B132" s="1"/>
      <c r="C132" s="1"/>
      <c r="D132" s="1"/>
      <c r="E132" s="1">
        <f>-E102</f>
        <v>-264500</v>
      </c>
      <c r="F132" s="1">
        <f aca="true" t="shared" si="29" ref="F132:X132">-F102</f>
        <v>-238049.99999999997</v>
      </c>
      <c r="G132" s="1">
        <f t="shared" si="29"/>
        <v>-211599.99999999997</v>
      </c>
      <c r="H132" s="1">
        <f t="shared" si="29"/>
        <v>-185150</v>
      </c>
      <c r="I132" s="1">
        <f t="shared" si="29"/>
        <v>-158700</v>
      </c>
      <c r="J132" s="1">
        <f t="shared" si="29"/>
        <v>-132250</v>
      </c>
      <c r="K132" s="1">
        <f t="shared" si="29"/>
        <v>-105799.99999999999</v>
      </c>
      <c r="L132" s="1">
        <f t="shared" si="29"/>
        <v>-79350</v>
      </c>
      <c r="M132" s="1">
        <f t="shared" si="29"/>
        <v>-52899.99999999999</v>
      </c>
      <c r="N132" s="1">
        <f t="shared" si="29"/>
        <v>-26449.999999999996</v>
      </c>
      <c r="O132" s="1">
        <f t="shared" si="29"/>
        <v>0</v>
      </c>
      <c r="P132" s="1">
        <f t="shared" si="29"/>
        <v>0</v>
      </c>
      <c r="Q132" s="1">
        <f t="shared" si="29"/>
        <v>0</v>
      </c>
      <c r="R132" s="1">
        <f t="shared" si="29"/>
        <v>0</v>
      </c>
      <c r="S132" s="1">
        <f t="shared" si="29"/>
        <v>0</v>
      </c>
      <c r="T132" s="1">
        <f t="shared" si="29"/>
        <v>0</v>
      </c>
      <c r="U132" s="1">
        <f t="shared" si="29"/>
        <v>0</v>
      </c>
      <c r="V132" s="1">
        <f t="shared" si="29"/>
        <v>0</v>
      </c>
      <c r="W132" s="1">
        <f t="shared" si="29"/>
        <v>0</v>
      </c>
      <c r="X132" s="1">
        <f t="shared" si="29"/>
        <v>0</v>
      </c>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row>
    <row r="133" spans="1:56" s="63" customFormat="1" ht="11.25">
      <c r="A133" s="1" t="s">
        <v>14</v>
      </c>
      <c r="B133" s="1"/>
      <c r="C133" s="1"/>
      <c r="D133" s="1"/>
      <c r="E133" s="1">
        <f>E132+E131</f>
        <v>93801.26291999989</v>
      </c>
      <c r="F133" s="1">
        <f aca="true" t="shared" si="30" ref="F133:X133">F132+F131</f>
        <v>217125.94429499996</v>
      </c>
      <c r="G133" s="1">
        <f t="shared" si="30"/>
        <v>348224.33904323005</v>
      </c>
      <c r="H133" s="1">
        <f t="shared" si="30"/>
        <v>487591.3087732048</v>
      </c>
      <c r="I133" s="1">
        <f t="shared" si="30"/>
        <v>656357.6157723956</v>
      </c>
      <c r="J133" s="1">
        <f t="shared" si="30"/>
        <v>836386.9757827676</v>
      </c>
      <c r="K133" s="1">
        <f t="shared" si="30"/>
        <v>1050963.3991803376</v>
      </c>
      <c r="L133" s="1">
        <f t="shared" si="30"/>
        <v>1280358.1914865533</v>
      </c>
      <c r="M133" s="1">
        <f t="shared" si="30"/>
        <v>1377170.5176821603</v>
      </c>
      <c r="N133" s="1">
        <f t="shared" si="30"/>
        <v>1476958.419843207</v>
      </c>
      <c r="O133" s="1">
        <f t="shared" si="30"/>
        <v>1579832.6989438615</v>
      </c>
      <c r="P133" s="1">
        <f t="shared" si="30"/>
        <v>1659457.0375593137</v>
      </c>
      <c r="Q133" s="1">
        <f t="shared" si="30"/>
        <v>1742397.9578544868</v>
      </c>
      <c r="R133" s="1">
        <f t="shared" si="30"/>
        <v>1828774.7644457927</v>
      </c>
      <c r="S133" s="1">
        <f t="shared" si="30"/>
        <v>1918709.4704677344</v>
      </c>
      <c r="T133" s="1">
        <f t="shared" si="30"/>
        <v>2012326.7050289193</v>
      </c>
      <c r="U133" s="1">
        <f t="shared" si="30"/>
        <v>2109753.600082979</v>
      </c>
      <c r="V133" s="1">
        <f t="shared" si="30"/>
        <v>2211119.654568095</v>
      </c>
      <c r="W133" s="1">
        <f t="shared" si="30"/>
        <v>2316556.5734833046</v>
      </c>
      <c r="X133" s="1">
        <f t="shared" si="30"/>
        <v>2426198.079369521</v>
      </c>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row>
    <row r="134" spans="1:56" s="63" customFormat="1" ht="11.25">
      <c r="A134" s="1" t="s">
        <v>15</v>
      </c>
      <c r="B134" s="1"/>
      <c r="C134" s="1"/>
      <c r="D134" s="1"/>
      <c r="E134" s="1">
        <f>MAX(0,E133)</f>
        <v>93801.26291999989</v>
      </c>
      <c r="F134" s="1">
        <f aca="true" t="shared" si="31" ref="F134:X134">MAX(0,F133)</f>
        <v>217125.94429499996</v>
      </c>
      <c r="G134" s="1">
        <f t="shared" si="31"/>
        <v>348224.33904323005</v>
      </c>
      <c r="H134" s="1">
        <f t="shared" si="31"/>
        <v>487591.3087732048</v>
      </c>
      <c r="I134" s="1">
        <f t="shared" si="31"/>
        <v>656357.6157723956</v>
      </c>
      <c r="J134" s="1">
        <f t="shared" si="31"/>
        <v>836386.9757827676</v>
      </c>
      <c r="K134" s="1">
        <f t="shared" si="31"/>
        <v>1050963.3991803376</v>
      </c>
      <c r="L134" s="1">
        <f t="shared" si="31"/>
        <v>1280358.1914865533</v>
      </c>
      <c r="M134" s="1">
        <f t="shared" si="31"/>
        <v>1377170.5176821603</v>
      </c>
      <c r="N134" s="1">
        <f t="shared" si="31"/>
        <v>1476958.419843207</v>
      </c>
      <c r="O134" s="1">
        <f t="shared" si="31"/>
        <v>1579832.6989438615</v>
      </c>
      <c r="P134" s="1">
        <f t="shared" si="31"/>
        <v>1659457.0375593137</v>
      </c>
      <c r="Q134" s="1">
        <f t="shared" si="31"/>
        <v>1742397.9578544868</v>
      </c>
      <c r="R134" s="1">
        <f t="shared" si="31"/>
        <v>1828774.7644457927</v>
      </c>
      <c r="S134" s="1">
        <f t="shared" si="31"/>
        <v>1918709.4704677344</v>
      </c>
      <c r="T134" s="1">
        <f t="shared" si="31"/>
        <v>2012326.7050289193</v>
      </c>
      <c r="U134" s="1">
        <f t="shared" si="31"/>
        <v>2109753.600082979</v>
      </c>
      <c r="V134" s="1">
        <f t="shared" si="31"/>
        <v>2211119.654568095</v>
      </c>
      <c r="W134" s="1">
        <f t="shared" si="31"/>
        <v>2316556.5734833046</v>
      </c>
      <c r="X134" s="1">
        <f t="shared" si="31"/>
        <v>2426198.079369521</v>
      </c>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row>
    <row r="135" spans="1:56" s="63" customFormat="1" ht="11.25">
      <c r="A135" s="15" t="s">
        <v>66</v>
      </c>
      <c r="B135" s="1"/>
      <c r="C135" s="1"/>
      <c r="D135" s="1"/>
      <c r="E135" s="1">
        <f>-E134*$B$34</f>
        <v>-23450.315729999973</v>
      </c>
      <c r="F135" s="1">
        <f aca="true" t="shared" si="32" ref="F135:X135">-F134*$B$34</f>
        <v>-54281.48607374999</v>
      </c>
      <c r="G135" s="1">
        <f t="shared" si="32"/>
        <v>-87056.08476080751</v>
      </c>
      <c r="H135" s="1">
        <f t="shared" si="32"/>
        <v>-121897.8271933012</v>
      </c>
      <c r="I135" s="1">
        <f t="shared" si="32"/>
        <v>-164089.4039430989</v>
      </c>
      <c r="J135" s="1">
        <f t="shared" si="32"/>
        <v>-209096.7439456919</v>
      </c>
      <c r="K135" s="1">
        <f t="shared" si="32"/>
        <v>-262740.8497950844</v>
      </c>
      <c r="L135" s="1">
        <f t="shared" si="32"/>
        <v>-320089.5478716383</v>
      </c>
      <c r="M135" s="1">
        <f t="shared" si="32"/>
        <v>-344292.62942054006</v>
      </c>
      <c r="N135" s="1">
        <f t="shared" si="32"/>
        <v>-369239.6049608018</v>
      </c>
      <c r="O135" s="1">
        <f t="shared" si="32"/>
        <v>-394958.1747359654</v>
      </c>
      <c r="P135" s="1">
        <f t="shared" si="32"/>
        <v>-414864.2593898284</v>
      </c>
      <c r="Q135" s="1">
        <f t="shared" si="32"/>
        <v>-435599.4894636217</v>
      </c>
      <c r="R135" s="1">
        <f t="shared" si="32"/>
        <v>-457193.69111144816</v>
      </c>
      <c r="S135" s="1">
        <f t="shared" si="32"/>
        <v>-479677.3676169336</v>
      </c>
      <c r="T135" s="1">
        <f t="shared" si="32"/>
        <v>-503081.6762572298</v>
      </c>
      <c r="U135" s="1">
        <f t="shared" si="32"/>
        <v>-527438.4000207448</v>
      </c>
      <c r="V135" s="1">
        <f t="shared" si="32"/>
        <v>-552779.9136420238</v>
      </c>
      <c r="W135" s="1">
        <f t="shared" si="32"/>
        <v>-579139.1433708261</v>
      </c>
      <c r="X135" s="1">
        <f t="shared" si="32"/>
        <v>-606549.5198423802</v>
      </c>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row>
    <row r="136" spans="1:56" s="63" customFormat="1" ht="11.25">
      <c r="A136" s="1" t="s">
        <v>17</v>
      </c>
      <c r="B136" s="1"/>
      <c r="C136" s="1"/>
      <c r="D136" s="1"/>
      <c r="E136" s="1">
        <f aca="true" t="shared" si="33" ref="E136:X136">E133+E135</f>
        <v>70350.94718999992</v>
      </c>
      <c r="F136" s="1">
        <f t="shared" si="33"/>
        <v>162844.45822124998</v>
      </c>
      <c r="G136" s="1">
        <f t="shared" si="33"/>
        <v>261168.25428242254</v>
      </c>
      <c r="H136" s="1">
        <f t="shared" si="33"/>
        <v>365693.48157990363</v>
      </c>
      <c r="I136" s="1">
        <f t="shared" si="33"/>
        <v>492268.2118292967</v>
      </c>
      <c r="J136" s="1">
        <f t="shared" si="33"/>
        <v>627290.2318370757</v>
      </c>
      <c r="K136" s="1">
        <f t="shared" si="33"/>
        <v>788222.5493852531</v>
      </c>
      <c r="L136" s="1">
        <f t="shared" si="33"/>
        <v>960268.643614915</v>
      </c>
      <c r="M136" s="1">
        <f t="shared" si="33"/>
        <v>1032877.8882616202</v>
      </c>
      <c r="N136" s="1">
        <f t="shared" si="33"/>
        <v>1107718.8148824053</v>
      </c>
      <c r="O136" s="1">
        <f t="shared" si="33"/>
        <v>1184874.524207896</v>
      </c>
      <c r="P136" s="1">
        <f t="shared" si="33"/>
        <v>1244592.7781694853</v>
      </c>
      <c r="Q136" s="1">
        <f t="shared" si="33"/>
        <v>1306798.468390865</v>
      </c>
      <c r="R136" s="1">
        <f t="shared" si="33"/>
        <v>1371581.0733343444</v>
      </c>
      <c r="S136" s="1">
        <f t="shared" si="33"/>
        <v>1439032.1028508008</v>
      </c>
      <c r="T136" s="1">
        <f t="shared" si="33"/>
        <v>1509245.0287716894</v>
      </c>
      <c r="U136" s="1">
        <f t="shared" si="33"/>
        <v>1582315.2000622344</v>
      </c>
      <c r="V136" s="1">
        <f t="shared" si="33"/>
        <v>1658339.7409260715</v>
      </c>
      <c r="W136" s="1">
        <f t="shared" si="33"/>
        <v>1737417.4301124783</v>
      </c>
      <c r="X136" s="1">
        <f t="shared" si="33"/>
        <v>1819648.5595271406</v>
      </c>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row>
    <row r="138" spans="1:56" s="63" customFormat="1" ht="11.25">
      <c r="A138" s="6" t="s">
        <v>43</v>
      </c>
      <c r="B138" s="6"/>
      <c r="C138" s="7"/>
      <c r="D138" s="7"/>
      <c r="E138" s="7"/>
      <c r="F138" s="7"/>
      <c r="G138" s="7"/>
      <c r="H138" s="7"/>
      <c r="I138" s="7"/>
      <c r="J138" s="7"/>
      <c r="K138" s="7"/>
      <c r="L138" s="7"/>
      <c r="M138" s="7"/>
      <c r="N138" s="7"/>
      <c r="O138" s="7"/>
      <c r="P138" s="7"/>
      <c r="Q138" s="7"/>
      <c r="R138" s="7"/>
      <c r="S138" s="7"/>
      <c r="T138" s="7"/>
      <c r="U138" s="7"/>
      <c r="V138" s="7"/>
      <c r="W138" s="7"/>
      <c r="X138" s="7"/>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row>
    <row r="139" spans="1:56" s="63" customFormat="1" ht="11.25">
      <c r="A139" s="1"/>
      <c r="B139" s="1"/>
      <c r="C139" s="23">
        <f aca="true" t="shared" si="34" ref="C139:X139">C1</f>
        <v>2013</v>
      </c>
      <c r="D139" s="23">
        <f t="shared" si="34"/>
        <v>2014</v>
      </c>
      <c r="E139" s="23">
        <f t="shared" si="34"/>
        <v>2015</v>
      </c>
      <c r="F139" s="23">
        <f t="shared" si="34"/>
        <v>2016</v>
      </c>
      <c r="G139" s="23">
        <f t="shared" si="34"/>
        <v>2017</v>
      </c>
      <c r="H139" s="23">
        <f t="shared" si="34"/>
        <v>2018</v>
      </c>
      <c r="I139" s="23">
        <f t="shared" si="34"/>
        <v>2019</v>
      </c>
      <c r="J139" s="23">
        <f t="shared" si="34"/>
        <v>2020</v>
      </c>
      <c r="K139" s="23">
        <f t="shared" si="34"/>
        <v>2021</v>
      </c>
      <c r="L139" s="23">
        <f t="shared" si="34"/>
        <v>2022</v>
      </c>
      <c r="M139" s="23">
        <f t="shared" si="34"/>
        <v>2023</v>
      </c>
      <c r="N139" s="23">
        <f t="shared" si="34"/>
        <v>2024</v>
      </c>
      <c r="O139" s="23">
        <f t="shared" si="34"/>
        <v>2025</v>
      </c>
      <c r="P139" s="23">
        <f t="shared" si="34"/>
        <v>2026</v>
      </c>
      <c r="Q139" s="23">
        <f t="shared" si="34"/>
        <v>2027</v>
      </c>
      <c r="R139" s="23">
        <f t="shared" si="34"/>
        <v>2028</v>
      </c>
      <c r="S139" s="23">
        <f t="shared" si="34"/>
        <v>2029</v>
      </c>
      <c r="T139" s="23">
        <f t="shared" si="34"/>
        <v>2030</v>
      </c>
      <c r="U139" s="23">
        <f t="shared" si="34"/>
        <v>2031</v>
      </c>
      <c r="V139" s="23">
        <f t="shared" si="34"/>
        <v>2032</v>
      </c>
      <c r="W139" s="23">
        <f t="shared" si="34"/>
        <v>2033</v>
      </c>
      <c r="X139" s="23">
        <f t="shared" si="34"/>
        <v>2034</v>
      </c>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row>
    <row r="140" spans="1:56" s="63" customFormat="1" ht="12" thickBot="1">
      <c r="A140" s="4" t="s">
        <v>2</v>
      </c>
      <c r="B140" s="69" t="s">
        <v>21</v>
      </c>
      <c r="C140" s="22">
        <v>0</v>
      </c>
      <c r="D140" s="22">
        <v>1</v>
      </c>
      <c r="E140" s="22">
        <v>2</v>
      </c>
      <c r="F140" s="22">
        <v>3</v>
      </c>
      <c r="G140" s="22">
        <v>4</v>
      </c>
      <c r="H140" s="22">
        <v>5</v>
      </c>
      <c r="I140" s="22">
        <v>6</v>
      </c>
      <c r="J140" s="22">
        <v>7</v>
      </c>
      <c r="K140" s="22">
        <v>8</v>
      </c>
      <c r="L140" s="22">
        <v>9</v>
      </c>
      <c r="M140" s="22">
        <v>10</v>
      </c>
      <c r="N140" s="22">
        <v>11</v>
      </c>
      <c r="O140" s="22">
        <v>12</v>
      </c>
      <c r="P140" s="22">
        <v>13</v>
      </c>
      <c r="Q140" s="22">
        <v>14</v>
      </c>
      <c r="R140" s="22">
        <v>15</v>
      </c>
      <c r="S140" s="22">
        <v>16</v>
      </c>
      <c r="T140" s="22">
        <v>17</v>
      </c>
      <c r="U140" s="22">
        <v>18</v>
      </c>
      <c r="V140" s="22">
        <v>19</v>
      </c>
      <c r="W140" s="22">
        <v>20</v>
      </c>
      <c r="X140" s="22">
        <v>21</v>
      </c>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row>
    <row r="141" spans="1:56" s="63" customFormat="1" ht="12" thickTop="1">
      <c r="A141" s="8"/>
      <c r="B141" s="1"/>
      <c r="C141" s="1"/>
      <c r="D141" s="1"/>
      <c r="E141" s="1"/>
      <c r="F141" s="1"/>
      <c r="G141" s="1"/>
      <c r="H141" s="1"/>
      <c r="I141" s="1"/>
      <c r="J141" s="1"/>
      <c r="K141" s="1"/>
      <c r="L141" s="1"/>
      <c r="M141" s="1"/>
      <c r="N141" s="1"/>
      <c r="O141" s="1"/>
      <c r="P141" s="1"/>
      <c r="Q141" s="1"/>
      <c r="R141" s="1"/>
      <c r="S141" s="1"/>
      <c r="T141" s="1"/>
      <c r="U141" s="1"/>
      <c r="V141" s="1"/>
      <c r="W141" s="1"/>
      <c r="X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row>
    <row r="142" spans="1:56" s="63" customFormat="1" ht="11.25">
      <c r="A142" s="1" t="s">
        <v>33</v>
      </c>
      <c r="B142" s="8">
        <f aca="true" t="shared" si="35" ref="B142:B152">NPV($B$38,D142:X142)+C142</f>
        <v>8296642.060239434</v>
      </c>
      <c r="C142" s="1">
        <f>C127</f>
        <v>0</v>
      </c>
      <c r="D142" s="1">
        <f>D127</f>
        <v>0</v>
      </c>
      <c r="E142" s="1">
        <f>E127</f>
        <v>750141</v>
      </c>
      <c r="F142" s="1">
        <f aca="true" t="shared" si="36" ref="F142:X142">F127</f>
        <v>875164.5</v>
      </c>
      <c r="G142" s="1">
        <f t="shared" si="36"/>
        <v>1010814.9975000002</v>
      </c>
      <c r="H142" s="1">
        <f t="shared" si="36"/>
        <v>1157842.6335000002</v>
      </c>
      <c r="I142" s="1">
        <f t="shared" si="36"/>
        <v>1342373.803214063</v>
      </c>
      <c r="J142" s="1">
        <f t="shared" si="36"/>
        <v>1542463.4833157817</v>
      </c>
      <c r="K142" s="1">
        <f t="shared" si="36"/>
        <v>1787130.1048072507</v>
      </c>
      <c r="L142" s="1">
        <f t="shared" si="36"/>
        <v>2052407.2297395768</v>
      </c>
      <c r="M142" s="1">
        <f t="shared" si="36"/>
        <v>2155027.591226556</v>
      </c>
      <c r="N142" s="1">
        <f t="shared" si="36"/>
        <v>2262778.9707878837</v>
      </c>
      <c r="O142" s="1">
        <f t="shared" si="36"/>
        <v>2375917.9193272777</v>
      </c>
      <c r="P142" s="1">
        <f t="shared" si="36"/>
        <v>2494713.8152936418</v>
      </c>
      <c r="Q142" s="1">
        <f t="shared" si="36"/>
        <v>2619449.506058324</v>
      </c>
      <c r="R142" s="1">
        <f t="shared" si="36"/>
        <v>2750421.9813612406</v>
      </c>
      <c r="S142" s="1">
        <f t="shared" si="36"/>
        <v>2887943.0804293025</v>
      </c>
      <c r="T142" s="1">
        <f t="shared" si="36"/>
        <v>3032340.2344507677</v>
      </c>
      <c r="U142" s="1">
        <f t="shared" si="36"/>
        <v>3183957.2461733064</v>
      </c>
      <c r="V142" s="1">
        <f t="shared" si="36"/>
        <v>3343155.108481972</v>
      </c>
      <c r="W142" s="1">
        <f t="shared" si="36"/>
        <v>3510312.863906071</v>
      </c>
      <c r="X142" s="1">
        <f t="shared" si="36"/>
        <v>3685828.5071013747</v>
      </c>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row>
    <row r="143" spans="1:56" s="63" customFormat="1" ht="11.25">
      <c r="A143" s="1" t="s">
        <v>105</v>
      </c>
      <c r="B143" s="8">
        <f t="shared" si="35"/>
        <v>0</v>
      </c>
      <c r="C143" s="1">
        <v>0</v>
      </c>
      <c r="D143" s="1">
        <v>0</v>
      </c>
      <c r="E143" s="1">
        <v>0</v>
      </c>
      <c r="F143" s="1">
        <v>0</v>
      </c>
      <c r="G143" s="1">
        <v>0</v>
      </c>
      <c r="H143" s="1">
        <v>0</v>
      </c>
      <c r="I143" s="1">
        <v>0</v>
      </c>
      <c r="J143" s="1">
        <v>0</v>
      </c>
      <c r="K143" s="1">
        <v>0</v>
      </c>
      <c r="L143" s="1">
        <v>0</v>
      </c>
      <c r="M143" s="1">
        <v>0</v>
      </c>
      <c r="N143" s="1">
        <v>0</v>
      </c>
      <c r="O143" s="1">
        <v>0</v>
      </c>
      <c r="P143" s="1">
        <v>0</v>
      </c>
      <c r="Q143" s="1">
        <v>0</v>
      </c>
      <c r="R143" s="1">
        <v>0</v>
      </c>
      <c r="S143" s="1">
        <v>0</v>
      </c>
      <c r="T143" s="1">
        <v>0</v>
      </c>
      <c r="U143" s="1">
        <v>0</v>
      </c>
      <c r="V143" s="1">
        <v>0</v>
      </c>
      <c r="W143" s="1">
        <v>0</v>
      </c>
      <c r="X143" s="1">
        <v>0</v>
      </c>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row>
    <row r="144" spans="1:56" s="63" customFormat="1" ht="11.25">
      <c r="A144" s="1" t="s">
        <v>11</v>
      </c>
      <c r="B144" s="8">
        <f t="shared" si="35"/>
        <v>-2082633.8186288285</v>
      </c>
      <c r="C144" s="1">
        <f>-C122</f>
        <v>0</v>
      </c>
      <c r="D144" s="1">
        <f>-D122</f>
        <v>0</v>
      </c>
      <c r="E144" s="1">
        <f>-E122</f>
        <v>-189289.8777</v>
      </c>
      <c r="F144" s="1">
        <f aca="true" t="shared" si="37" ref="F144:X144">-F122</f>
        <v>-217438.69632500003</v>
      </c>
      <c r="G144" s="1">
        <f t="shared" si="37"/>
        <v>-248440.79907677008</v>
      </c>
      <c r="H144" s="1">
        <f t="shared" si="37"/>
        <v>-282551.4653467954</v>
      </c>
      <c r="I144" s="1">
        <f t="shared" si="37"/>
        <v>-324766.3280616673</v>
      </c>
      <c r="J144" s="1">
        <f t="shared" si="37"/>
        <v>-371276.6481530139</v>
      </c>
      <c r="K144" s="1">
        <f t="shared" si="37"/>
        <v>-427816.8462469132</v>
      </c>
      <c r="L144" s="1">
        <f t="shared" si="37"/>
        <v>-490149.1788730234</v>
      </c>
      <c r="M144" s="1">
        <f t="shared" si="37"/>
        <v>-522407.2141643956</v>
      </c>
      <c r="N144" s="1">
        <f t="shared" si="37"/>
        <v>-556820.6915646766</v>
      </c>
      <c r="O144" s="1">
        <f t="shared" si="37"/>
        <v>-593535.3610034161</v>
      </c>
      <c r="P144" s="1">
        <f t="shared" si="37"/>
        <v>-632706.918354328</v>
      </c>
      <c r="Q144" s="1">
        <f t="shared" si="37"/>
        <v>-674501.6888238374</v>
      </c>
      <c r="R144" s="1">
        <f t="shared" si="37"/>
        <v>-719097.3575354478</v>
      </c>
      <c r="S144" s="1">
        <f t="shared" si="37"/>
        <v>-766683.750581568</v>
      </c>
      <c r="T144" s="1">
        <f t="shared" si="37"/>
        <v>-817463.6700418484</v>
      </c>
      <c r="U144" s="1">
        <f t="shared" si="37"/>
        <v>-871653.7867103273</v>
      </c>
      <c r="V144" s="1">
        <f t="shared" si="37"/>
        <v>-929485.594533877</v>
      </c>
      <c r="W144" s="1">
        <f t="shared" si="37"/>
        <v>-991206.4310427664</v>
      </c>
      <c r="X144" s="1">
        <f t="shared" si="37"/>
        <v>-1057080.568351854</v>
      </c>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row>
    <row r="145" spans="1:56" s="63" customFormat="1" ht="11.25">
      <c r="A145" s="1" t="s">
        <v>16</v>
      </c>
      <c r="B145" s="8">
        <f t="shared" si="35"/>
        <v>-1100445.9509935412</v>
      </c>
      <c r="C145" s="1">
        <f>C135</f>
        <v>0</v>
      </c>
      <c r="D145" s="1">
        <f>D135</f>
        <v>0</v>
      </c>
      <c r="E145" s="1">
        <f>E135</f>
        <v>-23450.315729999973</v>
      </c>
      <c r="F145" s="1">
        <f aca="true" t="shared" si="38" ref="F145:X145">F135</f>
        <v>-54281.48607374999</v>
      </c>
      <c r="G145" s="1">
        <f t="shared" si="38"/>
        <v>-87056.08476080751</v>
      </c>
      <c r="H145" s="1">
        <f t="shared" si="38"/>
        <v>-121897.8271933012</v>
      </c>
      <c r="I145" s="1">
        <f t="shared" si="38"/>
        <v>-164089.4039430989</v>
      </c>
      <c r="J145" s="1">
        <f t="shared" si="38"/>
        <v>-209096.7439456919</v>
      </c>
      <c r="K145" s="1">
        <f t="shared" si="38"/>
        <v>-262740.8497950844</v>
      </c>
      <c r="L145" s="1">
        <f t="shared" si="38"/>
        <v>-320089.5478716383</v>
      </c>
      <c r="M145" s="1">
        <f t="shared" si="38"/>
        <v>-344292.62942054006</v>
      </c>
      <c r="N145" s="1">
        <f t="shared" si="38"/>
        <v>-369239.6049608018</v>
      </c>
      <c r="O145" s="1">
        <f t="shared" si="38"/>
        <v>-394958.1747359654</v>
      </c>
      <c r="P145" s="1">
        <f t="shared" si="38"/>
        <v>-414864.2593898284</v>
      </c>
      <c r="Q145" s="1">
        <f t="shared" si="38"/>
        <v>-435599.4894636217</v>
      </c>
      <c r="R145" s="1">
        <f t="shared" si="38"/>
        <v>-457193.69111144816</v>
      </c>
      <c r="S145" s="1">
        <f t="shared" si="38"/>
        <v>-479677.3676169336</v>
      </c>
      <c r="T145" s="1">
        <f t="shared" si="38"/>
        <v>-503081.6762572298</v>
      </c>
      <c r="U145" s="1">
        <f t="shared" si="38"/>
        <v>-527438.4000207448</v>
      </c>
      <c r="V145" s="1">
        <f t="shared" si="38"/>
        <v>-552779.9136420238</v>
      </c>
      <c r="W145" s="1">
        <f t="shared" si="38"/>
        <v>-579139.1433708261</v>
      </c>
      <c r="X145" s="1">
        <f t="shared" si="38"/>
        <v>-606549.5198423802</v>
      </c>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row>
    <row r="146" spans="1:56" s="63" customFormat="1" ht="11.25">
      <c r="A146" s="1" t="s">
        <v>38</v>
      </c>
      <c r="B146" s="8">
        <f t="shared" si="35"/>
        <v>-3692542.378148148</v>
      </c>
      <c r="C146" s="1">
        <f>SUM(C147:C151)</f>
        <v>-1388848.23</v>
      </c>
      <c r="D146" s="1">
        <f>SUM(D147:D151)</f>
        <v>-2662148.9576000003</v>
      </c>
      <c r="E146" s="1">
        <f aca="true" t="shared" si="39" ref="E146:X146">SUM(E147:E151)</f>
        <v>0</v>
      </c>
      <c r="F146" s="1">
        <f t="shared" si="39"/>
        <v>0</v>
      </c>
      <c r="G146" s="1">
        <f t="shared" si="39"/>
        <v>0</v>
      </c>
      <c r="H146" s="1">
        <f t="shared" si="39"/>
        <v>0</v>
      </c>
      <c r="I146" s="1">
        <f t="shared" si="39"/>
        <v>0</v>
      </c>
      <c r="J146" s="1">
        <f t="shared" si="39"/>
        <v>0</v>
      </c>
      <c r="K146" s="1">
        <f t="shared" si="39"/>
        <v>0</v>
      </c>
      <c r="L146" s="1">
        <f t="shared" si="39"/>
        <v>0</v>
      </c>
      <c r="M146" s="1">
        <f t="shared" si="39"/>
        <v>0</v>
      </c>
      <c r="N146" s="1">
        <f t="shared" si="39"/>
        <v>0</v>
      </c>
      <c r="O146" s="1">
        <f t="shared" si="39"/>
        <v>0</v>
      </c>
      <c r="P146" s="1">
        <f t="shared" si="39"/>
        <v>0</v>
      </c>
      <c r="Q146" s="1">
        <f t="shared" si="39"/>
        <v>0</v>
      </c>
      <c r="R146" s="1">
        <f t="shared" si="39"/>
        <v>0</v>
      </c>
      <c r="S146" s="1">
        <f t="shared" si="39"/>
        <v>0</v>
      </c>
      <c r="T146" s="1">
        <f t="shared" si="39"/>
        <v>0</v>
      </c>
      <c r="U146" s="1">
        <f t="shared" si="39"/>
        <v>0</v>
      </c>
      <c r="V146" s="1">
        <f t="shared" si="39"/>
        <v>0</v>
      </c>
      <c r="W146" s="1">
        <f t="shared" si="39"/>
        <v>0</v>
      </c>
      <c r="X146" s="1">
        <f t="shared" si="39"/>
        <v>0</v>
      </c>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row>
    <row r="147" spans="1:56" s="63" customFormat="1" ht="11.25">
      <c r="A147" s="15" t="s">
        <v>52</v>
      </c>
      <c r="B147" s="8">
        <f t="shared" si="35"/>
        <v>-501492.98962962965</v>
      </c>
      <c r="C147" s="1">
        <f>-C70</f>
        <v>-282611.61000000004</v>
      </c>
      <c r="D147" s="1">
        <f>-D70</f>
        <v>-252939.3223</v>
      </c>
      <c r="E147" s="1">
        <f aca="true" t="shared" si="40" ref="E147:X147">-E70</f>
        <v>0</v>
      </c>
      <c r="F147" s="1">
        <f t="shared" si="40"/>
        <v>0</v>
      </c>
      <c r="G147" s="1">
        <f t="shared" si="40"/>
        <v>0</v>
      </c>
      <c r="H147" s="1">
        <f t="shared" si="40"/>
        <v>0</v>
      </c>
      <c r="I147" s="1">
        <f t="shared" si="40"/>
        <v>0</v>
      </c>
      <c r="J147" s="1">
        <f t="shared" si="40"/>
        <v>0</v>
      </c>
      <c r="K147" s="1">
        <f t="shared" si="40"/>
        <v>0</v>
      </c>
      <c r="L147" s="1">
        <f t="shared" si="40"/>
        <v>0</v>
      </c>
      <c r="M147" s="1">
        <f t="shared" si="40"/>
        <v>0</v>
      </c>
      <c r="N147" s="1">
        <f t="shared" si="40"/>
        <v>0</v>
      </c>
      <c r="O147" s="1">
        <f t="shared" si="40"/>
        <v>0</v>
      </c>
      <c r="P147" s="1">
        <f t="shared" si="40"/>
        <v>0</v>
      </c>
      <c r="Q147" s="1">
        <f t="shared" si="40"/>
        <v>0</v>
      </c>
      <c r="R147" s="1">
        <f t="shared" si="40"/>
        <v>0</v>
      </c>
      <c r="S147" s="1">
        <f t="shared" si="40"/>
        <v>0</v>
      </c>
      <c r="T147" s="1">
        <f t="shared" si="40"/>
        <v>0</v>
      </c>
      <c r="U147" s="1">
        <f t="shared" si="40"/>
        <v>0</v>
      </c>
      <c r="V147" s="1">
        <f t="shared" si="40"/>
        <v>0</v>
      </c>
      <c r="W147" s="1">
        <f t="shared" si="40"/>
        <v>0</v>
      </c>
      <c r="X147" s="1">
        <f t="shared" si="40"/>
        <v>0</v>
      </c>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row>
    <row r="148" spans="1:56" s="63" customFormat="1" ht="11.25">
      <c r="A148" s="15" t="s">
        <v>50</v>
      </c>
      <c r="B148" s="8">
        <f t="shared" si="35"/>
        <v>-1278154.154074074</v>
      </c>
      <c r="C148" s="1">
        <f>-C71</f>
        <v>-462875.58</v>
      </c>
      <c r="D148" s="1">
        <f aca="true" t="shared" si="41" ref="D148:X150">-D71</f>
        <v>-942135.9202</v>
      </c>
      <c r="E148" s="1">
        <f t="shared" si="41"/>
        <v>0</v>
      </c>
      <c r="F148" s="1">
        <f t="shared" si="41"/>
        <v>0</v>
      </c>
      <c r="G148" s="1">
        <f t="shared" si="41"/>
        <v>0</v>
      </c>
      <c r="H148" s="1">
        <f t="shared" si="41"/>
        <v>0</v>
      </c>
      <c r="I148" s="1">
        <f t="shared" si="41"/>
        <v>0</v>
      </c>
      <c r="J148" s="1">
        <f t="shared" si="41"/>
        <v>0</v>
      </c>
      <c r="K148" s="1">
        <f t="shared" si="41"/>
        <v>0</v>
      </c>
      <c r="L148" s="1">
        <f t="shared" si="41"/>
        <v>0</v>
      </c>
      <c r="M148" s="1">
        <f t="shared" si="41"/>
        <v>0</v>
      </c>
      <c r="N148" s="1">
        <f t="shared" si="41"/>
        <v>0</v>
      </c>
      <c r="O148" s="1">
        <f t="shared" si="41"/>
        <v>0</v>
      </c>
      <c r="P148" s="1">
        <f t="shared" si="41"/>
        <v>0</v>
      </c>
      <c r="Q148" s="1">
        <f t="shared" si="41"/>
        <v>0</v>
      </c>
      <c r="R148" s="1">
        <f t="shared" si="41"/>
        <v>0</v>
      </c>
      <c r="S148" s="1">
        <f t="shared" si="41"/>
        <v>0</v>
      </c>
      <c r="T148" s="1">
        <f t="shared" si="41"/>
        <v>0</v>
      </c>
      <c r="U148" s="1">
        <f t="shared" si="41"/>
        <v>0</v>
      </c>
      <c r="V148" s="1">
        <f t="shared" si="41"/>
        <v>0</v>
      </c>
      <c r="W148" s="1">
        <f t="shared" si="41"/>
        <v>0</v>
      </c>
      <c r="X148" s="1">
        <f t="shared" si="41"/>
        <v>0</v>
      </c>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row>
    <row r="149" spans="1:56" s="63" customFormat="1" ht="11.25">
      <c r="A149" s="15" t="s">
        <v>47</v>
      </c>
      <c r="B149" s="8">
        <f t="shared" si="35"/>
        <v>-1380417.818888889</v>
      </c>
      <c r="C149" s="1">
        <f>-C72</f>
        <v>-432974.43</v>
      </c>
      <c r="D149" s="1">
        <f t="shared" si="41"/>
        <v>-1094865.5802000002</v>
      </c>
      <c r="E149" s="1">
        <f t="shared" si="41"/>
        <v>0</v>
      </c>
      <c r="F149" s="1">
        <f t="shared" si="41"/>
        <v>0</v>
      </c>
      <c r="G149" s="1">
        <f t="shared" si="41"/>
        <v>0</v>
      </c>
      <c r="H149" s="1">
        <f t="shared" si="41"/>
        <v>0</v>
      </c>
      <c r="I149" s="1">
        <f t="shared" si="41"/>
        <v>0</v>
      </c>
      <c r="J149" s="1">
        <f t="shared" si="41"/>
        <v>0</v>
      </c>
      <c r="K149" s="1">
        <f t="shared" si="41"/>
        <v>0</v>
      </c>
      <c r="L149" s="1">
        <f t="shared" si="41"/>
        <v>0</v>
      </c>
      <c r="M149" s="1">
        <f t="shared" si="41"/>
        <v>0</v>
      </c>
      <c r="N149" s="1">
        <f t="shared" si="41"/>
        <v>0</v>
      </c>
      <c r="O149" s="1">
        <f t="shared" si="41"/>
        <v>0</v>
      </c>
      <c r="P149" s="1">
        <f t="shared" si="41"/>
        <v>0</v>
      </c>
      <c r="Q149" s="1">
        <f t="shared" si="41"/>
        <v>0</v>
      </c>
      <c r="R149" s="1">
        <f t="shared" si="41"/>
        <v>0</v>
      </c>
      <c r="S149" s="1">
        <f t="shared" si="41"/>
        <v>0</v>
      </c>
      <c r="T149" s="1">
        <f t="shared" si="41"/>
        <v>0</v>
      </c>
      <c r="U149" s="1">
        <f t="shared" si="41"/>
        <v>0</v>
      </c>
      <c r="V149" s="1">
        <f t="shared" si="41"/>
        <v>0</v>
      </c>
      <c r="W149" s="1">
        <f t="shared" si="41"/>
        <v>0</v>
      </c>
      <c r="X149" s="1">
        <f t="shared" si="41"/>
        <v>0</v>
      </c>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row>
    <row r="150" spans="1:56" s="63" customFormat="1" ht="11.25">
      <c r="A150" s="15" t="s">
        <v>53</v>
      </c>
      <c r="B150" s="8">
        <f t="shared" si="35"/>
        <v>-465830.56333333335</v>
      </c>
      <c r="C150" s="1">
        <f>-C73</f>
        <v>-181085.73</v>
      </c>
      <c r="D150" s="1">
        <f t="shared" si="41"/>
        <v>-329051.12940000003</v>
      </c>
      <c r="E150" s="1">
        <f t="shared" si="41"/>
        <v>0</v>
      </c>
      <c r="F150" s="1">
        <f t="shared" si="41"/>
        <v>0</v>
      </c>
      <c r="G150" s="1">
        <f t="shared" si="41"/>
        <v>0</v>
      </c>
      <c r="H150" s="1">
        <f t="shared" si="41"/>
        <v>0</v>
      </c>
      <c r="I150" s="1">
        <f t="shared" si="41"/>
        <v>0</v>
      </c>
      <c r="J150" s="1">
        <f t="shared" si="41"/>
        <v>0</v>
      </c>
      <c r="K150" s="1">
        <f t="shared" si="41"/>
        <v>0</v>
      </c>
      <c r="L150" s="1">
        <f t="shared" si="41"/>
        <v>0</v>
      </c>
      <c r="M150" s="1">
        <f t="shared" si="41"/>
        <v>0</v>
      </c>
      <c r="N150" s="1">
        <f t="shared" si="41"/>
        <v>0</v>
      </c>
      <c r="O150" s="1">
        <f t="shared" si="41"/>
        <v>0</v>
      </c>
      <c r="P150" s="1">
        <f t="shared" si="41"/>
        <v>0</v>
      </c>
      <c r="Q150" s="1">
        <f t="shared" si="41"/>
        <v>0</v>
      </c>
      <c r="R150" s="1">
        <f t="shared" si="41"/>
        <v>0</v>
      </c>
      <c r="S150" s="1">
        <f t="shared" si="41"/>
        <v>0</v>
      </c>
      <c r="T150" s="1">
        <f t="shared" si="41"/>
        <v>0</v>
      </c>
      <c r="U150" s="1">
        <f t="shared" si="41"/>
        <v>0</v>
      </c>
      <c r="V150" s="1">
        <f t="shared" si="41"/>
        <v>0</v>
      </c>
      <c r="W150" s="1">
        <f t="shared" si="41"/>
        <v>0</v>
      </c>
      <c r="X150" s="1">
        <f t="shared" si="41"/>
        <v>0</v>
      </c>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row>
    <row r="151" spans="1:56" s="63" customFormat="1" ht="11.25">
      <c r="A151" s="15" t="s">
        <v>158</v>
      </c>
      <c r="B151" s="8">
        <f t="shared" si="35"/>
        <v>-66646.85222222222</v>
      </c>
      <c r="C151" s="1">
        <f>-C74</f>
        <v>-29300.88</v>
      </c>
      <c r="D151" s="1">
        <f>-D74</f>
        <v>-43157.00550000001</v>
      </c>
      <c r="E151" s="1">
        <f aca="true" t="shared" si="42" ref="E151:X151">-E75</f>
        <v>0</v>
      </c>
      <c r="F151" s="1">
        <f t="shared" si="42"/>
        <v>0</v>
      </c>
      <c r="G151" s="1">
        <f t="shared" si="42"/>
        <v>0</v>
      </c>
      <c r="H151" s="1">
        <f t="shared" si="42"/>
        <v>0</v>
      </c>
      <c r="I151" s="1">
        <f t="shared" si="42"/>
        <v>0</v>
      </c>
      <c r="J151" s="1">
        <f t="shared" si="42"/>
        <v>0</v>
      </c>
      <c r="K151" s="1">
        <f t="shared" si="42"/>
        <v>0</v>
      </c>
      <c r="L151" s="1">
        <f t="shared" si="42"/>
        <v>0</v>
      </c>
      <c r="M151" s="1">
        <f t="shared" si="42"/>
        <v>0</v>
      </c>
      <c r="N151" s="1">
        <f t="shared" si="42"/>
        <v>0</v>
      </c>
      <c r="O151" s="1">
        <f t="shared" si="42"/>
        <v>0</v>
      </c>
      <c r="P151" s="1">
        <f t="shared" si="42"/>
        <v>0</v>
      </c>
      <c r="Q151" s="1">
        <f t="shared" si="42"/>
        <v>0</v>
      </c>
      <c r="R151" s="1">
        <f t="shared" si="42"/>
        <v>0</v>
      </c>
      <c r="S151" s="1">
        <f t="shared" si="42"/>
        <v>0</v>
      </c>
      <c r="T151" s="1">
        <f t="shared" si="42"/>
        <v>0</v>
      </c>
      <c r="U151" s="1">
        <f t="shared" si="42"/>
        <v>0</v>
      </c>
      <c r="V151" s="1">
        <f t="shared" si="42"/>
        <v>0</v>
      </c>
      <c r="W151" s="1">
        <f t="shared" si="42"/>
        <v>0</v>
      </c>
      <c r="X151" s="1">
        <f t="shared" si="42"/>
        <v>0</v>
      </c>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row>
    <row r="152" spans="1:56" s="63" customFormat="1" ht="11.25">
      <c r="A152" s="1" t="s">
        <v>37</v>
      </c>
      <c r="B152" s="8">
        <f t="shared" si="35"/>
        <v>-6875622.147770517</v>
      </c>
      <c r="C152" s="1">
        <f>C144+C145+C146</f>
        <v>-1388848.23</v>
      </c>
      <c r="D152" s="1">
        <f>D144+D145+D146</f>
        <v>-2662148.9576000003</v>
      </c>
      <c r="E152" s="1">
        <f>E144+E145+E146</f>
        <v>-212740.19342999998</v>
      </c>
      <c r="F152" s="1">
        <f aca="true" t="shared" si="43" ref="F152:X152">F144+F145+F146</f>
        <v>-271720.18239875004</v>
      </c>
      <c r="G152" s="1">
        <f t="shared" si="43"/>
        <v>-335496.8838375776</v>
      </c>
      <c r="H152" s="1">
        <f t="shared" si="43"/>
        <v>-404449.29254009656</v>
      </c>
      <c r="I152" s="1">
        <f t="shared" si="43"/>
        <v>-488855.7320047662</v>
      </c>
      <c r="J152" s="1">
        <f t="shared" si="43"/>
        <v>-580373.3920987057</v>
      </c>
      <c r="K152" s="1">
        <f t="shared" si="43"/>
        <v>-690557.6960419975</v>
      </c>
      <c r="L152" s="1">
        <f t="shared" si="43"/>
        <v>-810238.7267446618</v>
      </c>
      <c r="M152" s="1">
        <f t="shared" si="43"/>
        <v>-866699.8435849356</v>
      </c>
      <c r="N152" s="1">
        <f t="shared" si="43"/>
        <v>-926060.2965254784</v>
      </c>
      <c r="O152" s="1">
        <f t="shared" si="43"/>
        <v>-988493.5357393816</v>
      </c>
      <c r="P152" s="1">
        <f t="shared" si="43"/>
        <v>-1047571.1777441564</v>
      </c>
      <c r="Q152" s="1">
        <f t="shared" si="43"/>
        <v>-1110101.178287459</v>
      </c>
      <c r="R152" s="1">
        <f t="shared" si="43"/>
        <v>-1176291.048646896</v>
      </c>
      <c r="S152" s="1">
        <f t="shared" si="43"/>
        <v>-1246361.1181985016</v>
      </c>
      <c r="T152" s="1">
        <f t="shared" si="43"/>
        <v>-1320545.3462990783</v>
      </c>
      <c r="U152" s="1">
        <f t="shared" si="43"/>
        <v>-1399092.1867310721</v>
      </c>
      <c r="V152" s="1">
        <f t="shared" si="43"/>
        <v>-1482265.5081759007</v>
      </c>
      <c r="W152" s="1">
        <f t="shared" si="43"/>
        <v>-1570345.5744135925</v>
      </c>
      <c r="X152" s="1">
        <f t="shared" si="43"/>
        <v>-1663630.0881942343</v>
      </c>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row>
    <row r="153" spans="1:56" s="63" customFormat="1" ht="11.25">
      <c r="A153" s="2" t="s">
        <v>18</v>
      </c>
      <c r="B153" s="48">
        <f>NPV($B$38,D153:X153)+C153</f>
        <v>1421019.9124689172</v>
      </c>
      <c r="C153" s="1">
        <f>C142+C143+C152</f>
        <v>-1388848.23</v>
      </c>
      <c r="D153" s="1">
        <f aca="true" t="shared" si="44" ref="D153:X153">D142+D143+D152</f>
        <v>-2662148.9576000003</v>
      </c>
      <c r="E153" s="1">
        <f t="shared" si="44"/>
        <v>537400.80657</v>
      </c>
      <c r="F153" s="1">
        <f t="shared" si="44"/>
        <v>603444.31760125</v>
      </c>
      <c r="G153" s="1">
        <f t="shared" si="44"/>
        <v>675318.1136624226</v>
      </c>
      <c r="H153" s="1">
        <f t="shared" si="44"/>
        <v>753393.3409599037</v>
      </c>
      <c r="I153" s="1">
        <f t="shared" si="44"/>
        <v>853518.0712092968</v>
      </c>
      <c r="J153" s="1">
        <f t="shared" si="44"/>
        <v>962090.0912170759</v>
      </c>
      <c r="K153" s="1">
        <f t="shared" si="44"/>
        <v>1096572.4087652531</v>
      </c>
      <c r="L153" s="1">
        <f t="shared" si="44"/>
        <v>1242168.502994915</v>
      </c>
      <c r="M153" s="1">
        <f t="shared" si="44"/>
        <v>1288327.7476416202</v>
      </c>
      <c r="N153" s="1">
        <f t="shared" si="44"/>
        <v>1336718.6742624054</v>
      </c>
      <c r="O153" s="1">
        <f t="shared" si="44"/>
        <v>1387424.3835878961</v>
      </c>
      <c r="P153" s="1">
        <f t="shared" si="44"/>
        <v>1447142.6375494853</v>
      </c>
      <c r="Q153" s="1">
        <f t="shared" si="44"/>
        <v>1509348.327770865</v>
      </c>
      <c r="R153" s="1">
        <f t="shared" si="44"/>
        <v>1574130.9327143447</v>
      </c>
      <c r="S153" s="1">
        <f t="shared" si="44"/>
        <v>1641581.962230801</v>
      </c>
      <c r="T153" s="1">
        <f t="shared" si="44"/>
        <v>1711794.8881516894</v>
      </c>
      <c r="U153" s="1">
        <f t="shared" si="44"/>
        <v>1784865.0594422342</v>
      </c>
      <c r="V153" s="1">
        <f t="shared" si="44"/>
        <v>1860889.6003060713</v>
      </c>
      <c r="W153" s="1">
        <f t="shared" si="44"/>
        <v>1939967.2894924786</v>
      </c>
      <c r="X153" s="1">
        <f t="shared" si="44"/>
        <v>2022198.4189071404</v>
      </c>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row>
    <row r="154" spans="1:56" s="63" customFormat="1" ht="11.25">
      <c r="A154" s="29" t="s">
        <v>24</v>
      </c>
      <c r="B154" s="17">
        <f>IRR(C153:X153,10%)</f>
        <v>0.20340104329395156</v>
      </c>
      <c r="C154" s="1"/>
      <c r="D154" s="1"/>
      <c r="E154" s="1"/>
      <c r="F154" s="1"/>
      <c r="G154" s="1"/>
      <c r="H154" s="1"/>
      <c r="I154" s="1"/>
      <c r="J154" s="1"/>
      <c r="K154" s="1"/>
      <c r="L154" s="1"/>
      <c r="M154" s="1"/>
      <c r="N154" s="1"/>
      <c r="O154" s="1"/>
      <c r="P154" s="1"/>
      <c r="Q154" s="1"/>
      <c r="R154" s="1"/>
      <c r="S154" s="1"/>
      <c r="T154" s="1"/>
      <c r="U154" s="1"/>
      <c r="V154" s="1"/>
      <c r="W154" s="1"/>
      <c r="X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row>
    <row r="155" spans="1:56" s="63" customFormat="1" ht="11.25">
      <c r="A155" s="29" t="s">
        <v>25</v>
      </c>
      <c r="B155" s="56">
        <f>(1+B154)/(1+$B$5)-1</f>
        <v>0.12467387223733772</v>
      </c>
      <c r="C155" s="1"/>
      <c r="D155" s="1"/>
      <c r="E155" s="1"/>
      <c r="F155" s="1"/>
      <c r="G155" s="1"/>
      <c r="H155" s="1"/>
      <c r="I155" s="1"/>
      <c r="J155" s="1"/>
      <c r="K155" s="1"/>
      <c r="L155" s="1"/>
      <c r="M155" s="1"/>
      <c r="N155" s="1"/>
      <c r="O155" s="1"/>
      <c r="P155" s="1"/>
      <c r="Q155" s="1"/>
      <c r="R155" s="1"/>
      <c r="S155" s="1"/>
      <c r="T155" s="1"/>
      <c r="U155" s="1"/>
      <c r="V155" s="1"/>
      <c r="W155" s="1"/>
      <c r="X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row>
    <row r="157" spans="1:56" s="63" customFormat="1" ht="11.25">
      <c r="A157" s="1" t="s">
        <v>39</v>
      </c>
      <c r="B157" s="1"/>
      <c r="C157" s="1">
        <f>-C106</f>
        <v>0</v>
      </c>
      <c r="D157" s="1">
        <f aca="true" t="shared" si="45" ref="D157:X157">-D106</f>
        <v>-2300000</v>
      </c>
      <c r="E157" s="1">
        <f t="shared" si="45"/>
        <v>494500</v>
      </c>
      <c r="F157" s="1">
        <f t="shared" si="45"/>
        <v>468050</v>
      </c>
      <c r="G157" s="1">
        <f t="shared" si="45"/>
        <v>441600</v>
      </c>
      <c r="H157" s="1">
        <f t="shared" si="45"/>
        <v>415150</v>
      </c>
      <c r="I157" s="1">
        <f t="shared" si="45"/>
        <v>388700</v>
      </c>
      <c r="J157" s="1">
        <f t="shared" si="45"/>
        <v>362250</v>
      </c>
      <c r="K157" s="1">
        <f t="shared" si="45"/>
        <v>335800</v>
      </c>
      <c r="L157" s="1">
        <f t="shared" si="45"/>
        <v>309350</v>
      </c>
      <c r="M157" s="1">
        <f t="shared" si="45"/>
        <v>282900</v>
      </c>
      <c r="N157" s="1">
        <f t="shared" si="45"/>
        <v>256450</v>
      </c>
      <c r="O157" s="1">
        <f t="shared" si="45"/>
        <v>0</v>
      </c>
      <c r="P157" s="1">
        <f t="shared" si="45"/>
        <v>0</v>
      </c>
      <c r="Q157" s="1">
        <f t="shared" si="45"/>
        <v>0</v>
      </c>
      <c r="R157" s="1">
        <f t="shared" si="45"/>
        <v>0</v>
      </c>
      <c r="S157" s="1">
        <f t="shared" si="45"/>
        <v>0</v>
      </c>
      <c r="T157" s="1">
        <f t="shared" si="45"/>
        <v>0</v>
      </c>
      <c r="U157" s="1">
        <f t="shared" si="45"/>
        <v>0</v>
      </c>
      <c r="V157" s="1">
        <f t="shared" si="45"/>
        <v>0</v>
      </c>
      <c r="W157" s="1">
        <f t="shared" si="45"/>
        <v>0</v>
      </c>
      <c r="X157" s="1">
        <f t="shared" si="45"/>
        <v>0</v>
      </c>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row>
    <row r="158" spans="1:56" s="63" customFormat="1" ht="11.25">
      <c r="A158" s="16" t="s">
        <v>24</v>
      </c>
      <c r="B158" s="13">
        <f>IRR(C157:X157,10%)</f>
        <v>0.1149999999999999</v>
      </c>
      <c r="C158" s="1"/>
      <c r="D158" s="1"/>
      <c r="E158" s="1"/>
      <c r="F158" s="1"/>
      <c r="G158" s="1"/>
      <c r="H158" s="1"/>
      <c r="I158" s="1"/>
      <c r="J158" s="1"/>
      <c r="K158" s="1"/>
      <c r="L158" s="1"/>
      <c r="M158" s="1"/>
      <c r="N158" s="1"/>
      <c r="O158" s="1"/>
      <c r="P158" s="1"/>
      <c r="Q158" s="1"/>
      <c r="R158" s="1"/>
      <c r="S158" s="1"/>
      <c r="T158" s="1"/>
      <c r="U158" s="1"/>
      <c r="V158" s="1"/>
      <c r="W158" s="1"/>
      <c r="X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row>
    <row r="159" spans="1:56" s="63" customFormat="1" ht="11.25">
      <c r="A159" s="16" t="s">
        <v>25</v>
      </c>
      <c r="B159" s="13">
        <f>(1+B158)/(1+$B$5)-1</f>
        <v>0.04205607476635498</v>
      </c>
      <c r="C159" s="1"/>
      <c r="D159" s="1"/>
      <c r="E159" s="1"/>
      <c r="F159" s="1"/>
      <c r="G159" s="1"/>
      <c r="H159" s="1"/>
      <c r="I159" s="1"/>
      <c r="J159" s="1"/>
      <c r="K159" s="1"/>
      <c r="L159" s="1"/>
      <c r="M159" s="1"/>
      <c r="N159" s="1"/>
      <c r="O159" s="1"/>
      <c r="P159" s="1"/>
      <c r="Q159" s="1"/>
      <c r="R159" s="1"/>
      <c r="S159" s="1"/>
      <c r="T159" s="1"/>
      <c r="U159" s="1"/>
      <c r="V159" s="1"/>
      <c r="W159" s="1"/>
      <c r="X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row>
    <row r="160" spans="1:56" s="63" customFormat="1" ht="11.25">
      <c r="A160" s="16"/>
      <c r="B160" s="1"/>
      <c r="C160" s="1"/>
      <c r="D160" s="1"/>
      <c r="E160" s="1"/>
      <c r="F160" s="1"/>
      <c r="G160" s="1"/>
      <c r="H160" s="1"/>
      <c r="I160" s="1"/>
      <c r="J160" s="1"/>
      <c r="K160" s="1"/>
      <c r="L160" s="1"/>
      <c r="M160" s="1"/>
      <c r="N160" s="1"/>
      <c r="O160" s="1"/>
      <c r="P160" s="1"/>
      <c r="Q160" s="1"/>
      <c r="R160" s="1"/>
      <c r="S160" s="1"/>
      <c r="T160" s="1"/>
      <c r="U160" s="1"/>
      <c r="V160" s="1"/>
      <c r="W160" s="1"/>
      <c r="X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row>
    <row r="161" spans="1:56" s="63" customFormat="1" ht="11.25">
      <c r="A161" s="2" t="s">
        <v>22</v>
      </c>
      <c r="B161" s="48">
        <f>NPV($B$40,D161:X161)+C161</f>
        <v>383432.07116406015</v>
      </c>
      <c r="C161" s="1">
        <f>C153-C157</f>
        <v>-1388848.23</v>
      </c>
      <c r="D161" s="1">
        <f>D153-D157</f>
        <v>-362148.9576000003</v>
      </c>
      <c r="E161" s="1">
        <f aca="true" t="shared" si="46" ref="E161:X161">E153-E157</f>
        <v>42900.806570000015</v>
      </c>
      <c r="F161" s="1">
        <f t="shared" si="46"/>
        <v>135394.31760125002</v>
      </c>
      <c r="G161" s="1">
        <f t="shared" si="46"/>
        <v>233718.11366242263</v>
      </c>
      <c r="H161" s="1">
        <f t="shared" si="46"/>
        <v>338243.34095990367</v>
      </c>
      <c r="I161" s="1">
        <f t="shared" si="46"/>
        <v>464818.0712092968</v>
      </c>
      <c r="J161" s="1">
        <f t="shared" si="46"/>
        <v>599840.0912170759</v>
      </c>
      <c r="K161" s="1">
        <f t="shared" si="46"/>
        <v>760772.4087652531</v>
      </c>
      <c r="L161" s="1">
        <f t="shared" si="46"/>
        <v>932818.502994915</v>
      </c>
      <c r="M161" s="1">
        <f t="shared" si="46"/>
        <v>1005427.7476416202</v>
      </c>
      <c r="N161" s="1">
        <f t="shared" si="46"/>
        <v>1080268.6742624054</v>
      </c>
      <c r="O161" s="1">
        <f t="shared" si="46"/>
        <v>1387424.3835878961</v>
      </c>
      <c r="P161" s="1">
        <f t="shared" si="46"/>
        <v>1447142.6375494853</v>
      </c>
      <c r="Q161" s="1">
        <f t="shared" si="46"/>
        <v>1509348.327770865</v>
      </c>
      <c r="R161" s="1">
        <f t="shared" si="46"/>
        <v>1574130.9327143447</v>
      </c>
      <c r="S161" s="1">
        <f t="shared" si="46"/>
        <v>1641581.962230801</v>
      </c>
      <c r="T161" s="1">
        <f t="shared" si="46"/>
        <v>1711794.8881516894</v>
      </c>
      <c r="U161" s="1">
        <f t="shared" si="46"/>
        <v>1784865.0594422342</v>
      </c>
      <c r="V161" s="1">
        <f t="shared" si="46"/>
        <v>1860889.6003060713</v>
      </c>
      <c r="W161" s="1">
        <f t="shared" si="46"/>
        <v>1939967.2894924786</v>
      </c>
      <c r="X161" s="1">
        <f t="shared" si="46"/>
        <v>2022198.4189071404</v>
      </c>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row>
    <row r="162" spans="1:56" s="63" customFormat="1" ht="11.25">
      <c r="A162" s="29" t="s">
        <v>24</v>
      </c>
      <c r="B162" s="17">
        <f>IRR(C161:X161,10%)</f>
        <v>0.2342267510991543</v>
      </c>
      <c r="C162" s="1"/>
      <c r="D162" s="1"/>
      <c r="E162" s="1"/>
      <c r="F162" s="1"/>
      <c r="G162" s="1"/>
      <c r="H162" s="1"/>
      <c r="I162" s="1"/>
      <c r="J162" s="1"/>
      <c r="K162" s="1"/>
      <c r="L162" s="1"/>
      <c r="M162" s="1"/>
      <c r="N162" s="1"/>
      <c r="O162" s="1"/>
      <c r="P162" s="1"/>
      <c r="Q162" s="1"/>
      <c r="R162" s="1"/>
      <c r="S162" s="1"/>
      <c r="T162" s="1"/>
      <c r="U162" s="1"/>
      <c r="V162" s="1"/>
      <c r="W162" s="1"/>
      <c r="X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row>
    <row r="163" spans="1:56" s="63" customFormat="1" ht="11.25">
      <c r="A163" s="29" t="s">
        <v>25</v>
      </c>
      <c r="B163" s="56">
        <f>(1+B162)/(1+$B$5)-1</f>
        <v>0.1534829449524806</v>
      </c>
      <c r="C163" s="1"/>
      <c r="D163" s="1"/>
      <c r="E163" s="1"/>
      <c r="F163" s="1"/>
      <c r="G163" s="1"/>
      <c r="H163" s="1"/>
      <c r="I163" s="1"/>
      <c r="J163" s="1"/>
      <c r="K163" s="1"/>
      <c r="L163" s="1"/>
      <c r="M163" s="1"/>
      <c r="N163" s="1"/>
      <c r="O163" s="1"/>
      <c r="P163" s="1"/>
      <c r="Q163" s="1"/>
      <c r="R163" s="1"/>
      <c r="S163" s="1"/>
      <c r="T163" s="1"/>
      <c r="U163" s="1"/>
      <c r="V163" s="1"/>
      <c r="W163" s="1"/>
      <c r="X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row>
    <row r="166" spans="1:56" s="63" customFormat="1" ht="11.25">
      <c r="A166" s="71" t="s">
        <v>28</v>
      </c>
      <c r="B166" s="72">
        <f>AVERAGE(E166:N166)</f>
        <v>2.761909806366875</v>
      </c>
      <c r="C166" s="1"/>
      <c r="D166" s="10"/>
      <c r="E166" s="72">
        <f>E153/E157</f>
        <v>1.0867559283518706</v>
      </c>
      <c r="F166" s="72">
        <f aca="true" t="shared" si="47" ref="F166:N166">F153/F157</f>
        <v>1.2892731921829934</v>
      </c>
      <c r="G166" s="72">
        <f t="shared" si="47"/>
        <v>1.5292529747790367</v>
      </c>
      <c r="H166" s="72">
        <f t="shared" si="47"/>
        <v>1.8147497072381156</v>
      </c>
      <c r="I166" s="72">
        <f t="shared" si="47"/>
        <v>2.1958272992263876</v>
      </c>
      <c r="J166" s="72">
        <f t="shared" si="47"/>
        <v>2.655873267679989</v>
      </c>
      <c r="K166" s="72">
        <f t="shared" si="47"/>
        <v>3.265552140456382</v>
      </c>
      <c r="L166" s="72">
        <f t="shared" si="47"/>
        <v>4.015414588637191</v>
      </c>
      <c r="M166" s="72">
        <f t="shared" si="47"/>
        <v>4.5540040567042075</v>
      </c>
      <c r="N166" s="72">
        <f t="shared" si="47"/>
        <v>5.212394908412577</v>
      </c>
      <c r="O166" s="10"/>
      <c r="P166" s="10"/>
      <c r="Q166" s="10"/>
      <c r="R166" s="10"/>
      <c r="S166" s="10"/>
      <c r="T166" s="10"/>
      <c r="U166" s="10"/>
      <c r="V166" s="10"/>
      <c r="W166" s="10"/>
      <c r="X166" s="10"/>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row>
    <row r="167" spans="1:56" s="63" customFormat="1" ht="11.25">
      <c r="A167" s="20"/>
      <c r="B167" s="10"/>
      <c r="C167" s="1"/>
      <c r="D167" s="10"/>
      <c r="E167" s="10"/>
      <c r="F167" s="10"/>
      <c r="G167" s="10"/>
      <c r="H167" s="10"/>
      <c r="I167" s="10"/>
      <c r="J167" s="10"/>
      <c r="K167" s="10"/>
      <c r="L167" s="10"/>
      <c r="M167" s="10"/>
      <c r="N167" s="10"/>
      <c r="O167" s="10"/>
      <c r="P167" s="10"/>
      <c r="Q167" s="10"/>
      <c r="R167" s="10"/>
      <c r="S167" s="10"/>
      <c r="T167" s="10"/>
      <c r="U167" s="10"/>
      <c r="V167" s="10"/>
      <c r="W167" s="10"/>
      <c r="X167" s="10"/>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row>
    <row r="168" spans="1:56" s="63" customFormat="1" ht="11.25">
      <c r="A168" s="54" t="s">
        <v>118</v>
      </c>
      <c r="B168" s="13"/>
      <c r="C168" s="13"/>
      <c r="D168" s="13"/>
      <c r="E168" s="10"/>
      <c r="F168" s="10"/>
      <c r="G168" s="10"/>
      <c r="H168" s="10"/>
      <c r="I168" s="10"/>
      <c r="J168" s="10"/>
      <c r="K168" s="10"/>
      <c r="L168" s="10"/>
      <c r="M168" s="10"/>
      <c r="N168" s="10"/>
      <c r="O168" s="10"/>
      <c r="P168" s="10"/>
      <c r="Q168" s="10"/>
      <c r="R168" s="10"/>
      <c r="S168" s="10"/>
      <c r="T168" s="10"/>
      <c r="U168" s="10"/>
      <c r="V168" s="10"/>
      <c r="W168" s="10"/>
      <c r="X168" s="10"/>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row>
    <row r="169" spans="1:56" s="63" customFormat="1" ht="11.25">
      <c r="A169" s="42" t="s">
        <v>121</v>
      </c>
      <c r="B169" s="57">
        <f>B153/1000</f>
        <v>1421.0199124689173</v>
      </c>
      <c r="C169" s="13" t="s">
        <v>107</v>
      </c>
      <c r="D169" s="13" t="s">
        <v>109</v>
      </c>
      <c r="E169" s="10"/>
      <c r="F169" s="10"/>
      <c r="G169" s="10"/>
      <c r="H169" s="10"/>
      <c r="I169" s="10"/>
      <c r="J169" s="10"/>
      <c r="K169" s="10"/>
      <c r="L169" s="10"/>
      <c r="M169" s="10"/>
      <c r="N169" s="10"/>
      <c r="O169" s="10"/>
      <c r="P169" s="10"/>
      <c r="Q169" s="10"/>
      <c r="R169" s="10"/>
      <c r="S169" s="10"/>
      <c r="T169" s="10"/>
      <c r="U169" s="10"/>
      <c r="V169" s="10"/>
      <c r="W169" s="10"/>
      <c r="X169" s="10"/>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row>
    <row r="170" spans="1:56" s="63" customFormat="1" ht="11.25">
      <c r="A170" s="42" t="s">
        <v>122</v>
      </c>
      <c r="B170" s="13">
        <f>B155</f>
        <v>0.12467387223733772</v>
      </c>
      <c r="C170" s="13"/>
      <c r="D170" s="13" t="s">
        <v>123</v>
      </c>
      <c r="E170" s="10"/>
      <c r="F170" s="10"/>
      <c r="G170" s="10"/>
      <c r="H170" s="10"/>
      <c r="I170" s="10"/>
      <c r="J170" s="10"/>
      <c r="K170" s="10"/>
      <c r="L170" s="10"/>
      <c r="M170" s="10"/>
      <c r="N170" s="10"/>
      <c r="O170" s="10"/>
      <c r="P170" s="10"/>
      <c r="Q170" s="10"/>
      <c r="R170" s="10"/>
      <c r="S170" s="10"/>
      <c r="T170" s="10"/>
      <c r="U170" s="10"/>
      <c r="V170" s="10"/>
      <c r="W170" s="10"/>
      <c r="X170" s="10"/>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row>
    <row r="171" spans="1:56" s="63" customFormat="1" ht="11.25">
      <c r="A171" s="42" t="s">
        <v>124</v>
      </c>
      <c r="B171" s="13"/>
      <c r="C171" s="13"/>
      <c r="D171" s="13"/>
      <c r="E171" s="10"/>
      <c r="F171" s="10"/>
      <c r="G171" s="10"/>
      <c r="H171" s="10"/>
      <c r="I171" s="10"/>
      <c r="J171" s="10"/>
      <c r="K171" s="10"/>
      <c r="L171" s="10"/>
      <c r="M171" s="10"/>
      <c r="N171" s="10"/>
      <c r="O171" s="10"/>
      <c r="P171" s="10"/>
      <c r="Q171" s="10"/>
      <c r="R171" s="10"/>
      <c r="S171" s="10"/>
      <c r="T171" s="10"/>
      <c r="U171" s="10"/>
      <c r="V171" s="10"/>
      <c r="W171" s="10"/>
      <c r="X171" s="10"/>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row>
    <row r="172" spans="1:56" s="63" customFormat="1" ht="11.25">
      <c r="A172" s="18"/>
      <c r="B172" s="13"/>
      <c r="C172" s="13"/>
      <c r="D172" s="13"/>
      <c r="E172" s="10"/>
      <c r="F172" s="10"/>
      <c r="G172" s="10"/>
      <c r="H172" s="10"/>
      <c r="I172" s="10"/>
      <c r="J172" s="10"/>
      <c r="K172" s="10"/>
      <c r="L172" s="10"/>
      <c r="M172" s="10"/>
      <c r="N172" s="10"/>
      <c r="O172" s="10"/>
      <c r="P172" s="10"/>
      <c r="Q172" s="10"/>
      <c r="R172" s="10"/>
      <c r="S172" s="10"/>
      <c r="T172" s="10"/>
      <c r="U172" s="10"/>
      <c r="V172" s="10"/>
      <c r="W172" s="10"/>
      <c r="X172" s="10"/>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row>
    <row r="173" spans="1:56" s="63" customFormat="1" ht="11.25">
      <c r="A173" s="14" t="s">
        <v>166</v>
      </c>
      <c r="B173" s="57">
        <f>MIN(E166:N166)</f>
        <v>1.0867559283518706</v>
      </c>
      <c r="C173" s="13"/>
      <c r="D173" s="13"/>
      <c r="E173" s="10"/>
      <c r="F173" s="10"/>
      <c r="G173" s="10"/>
      <c r="H173" s="10"/>
      <c r="I173" s="10"/>
      <c r="J173" s="10"/>
      <c r="K173" s="10"/>
      <c r="L173" s="10"/>
      <c r="M173" s="10"/>
      <c r="N173" s="10"/>
      <c r="O173" s="10"/>
      <c r="P173" s="10"/>
      <c r="Q173" s="10"/>
      <c r="R173" s="10"/>
      <c r="S173" s="10"/>
      <c r="T173" s="10"/>
      <c r="U173" s="10"/>
      <c r="V173" s="10"/>
      <c r="W173" s="10"/>
      <c r="X173" s="10"/>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row>
    <row r="174" spans="1:56" s="63" customFormat="1" ht="11.25">
      <c r="A174" s="14" t="s">
        <v>165</v>
      </c>
      <c r="B174" s="13"/>
      <c r="C174" s="13"/>
      <c r="D174" s="13"/>
      <c r="E174" s="10"/>
      <c r="F174" s="10"/>
      <c r="G174" s="10"/>
      <c r="H174" s="10"/>
      <c r="I174" s="10"/>
      <c r="J174" s="10"/>
      <c r="K174" s="10"/>
      <c r="L174" s="10"/>
      <c r="M174" s="10"/>
      <c r="N174" s="10"/>
      <c r="O174" s="10"/>
      <c r="P174" s="10"/>
      <c r="Q174" s="10"/>
      <c r="R174" s="10"/>
      <c r="S174" s="10"/>
      <c r="T174" s="10"/>
      <c r="U174" s="10"/>
      <c r="V174" s="10"/>
      <c r="W174" s="10"/>
      <c r="X174" s="10"/>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row>
    <row r="175" spans="1:24" ht="11.25">
      <c r="A175" s="14" t="s">
        <v>125</v>
      </c>
      <c r="B175" s="13"/>
      <c r="C175" s="13"/>
      <c r="D175" s="13"/>
      <c r="E175" s="10"/>
      <c r="F175" s="10"/>
      <c r="G175" s="10"/>
      <c r="H175" s="10"/>
      <c r="I175" s="10"/>
      <c r="J175" s="10"/>
      <c r="K175" s="10"/>
      <c r="L175" s="10"/>
      <c r="M175" s="10"/>
      <c r="N175" s="10"/>
      <c r="O175" s="10"/>
      <c r="P175" s="10"/>
      <c r="Q175" s="10"/>
      <c r="R175" s="10"/>
      <c r="S175" s="10"/>
      <c r="T175" s="10"/>
      <c r="U175" s="10"/>
      <c r="V175" s="10"/>
      <c r="W175" s="10"/>
      <c r="X175" s="10"/>
    </row>
    <row r="176" spans="1:24" ht="11.25">
      <c r="A176" s="18"/>
      <c r="B176" s="13"/>
      <c r="C176" s="13"/>
      <c r="D176" s="13"/>
      <c r="E176" s="10"/>
      <c r="F176" s="10"/>
      <c r="G176" s="10"/>
      <c r="H176" s="10"/>
      <c r="I176" s="10"/>
      <c r="J176" s="10"/>
      <c r="K176" s="10"/>
      <c r="L176" s="10"/>
      <c r="M176" s="10"/>
      <c r="N176" s="10"/>
      <c r="O176" s="10"/>
      <c r="P176" s="10"/>
      <c r="Q176" s="10"/>
      <c r="R176" s="10"/>
      <c r="S176" s="10"/>
      <c r="T176" s="10"/>
      <c r="U176" s="10"/>
      <c r="V176" s="10"/>
      <c r="W176" s="10"/>
      <c r="X176" s="10"/>
    </row>
    <row r="177" spans="1:24" ht="11.25">
      <c r="A177" s="42" t="s">
        <v>126</v>
      </c>
      <c r="B177" s="57">
        <f>B161/1000</f>
        <v>383.4320711640602</v>
      </c>
      <c r="C177" s="13"/>
      <c r="D177" s="13" t="s">
        <v>109</v>
      </c>
      <c r="E177" s="10"/>
      <c r="F177" s="10"/>
      <c r="G177" s="10"/>
      <c r="H177" s="10"/>
      <c r="I177" s="10"/>
      <c r="J177" s="10"/>
      <c r="K177" s="10"/>
      <c r="L177" s="10"/>
      <c r="M177" s="10"/>
      <c r="N177" s="10"/>
      <c r="O177" s="10"/>
      <c r="P177" s="10"/>
      <c r="Q177" s="10"/>
      <c r="R177" s="10"/>
      <c r="S177" s="10"/>
      <c r="T177" s="10"/>
      <c r="U177" s="10"/>
      <c r="V177" s="10"/>
      <c r="W177" s="10"/>
      <c r="X177" s="10"/>
    </row>
    <row r="178" spans="1:24" ht="11.25">
      <c r="A178" s="42" t="s">
        <v>127</v>
      </c>
      <c r="B178" s="13">
        <f>B163</f>
        <v>0.1534829449524806</v>
      </c>
      <c r="C178" s="13"/>
      <c r="D178" s="13" t="s">
        <v>128</v>
      </c>
      <c r="E178" s="10"/>
      <c r="F178" s="10"/>
      <c r="G178" s="10"/>
      <c r="H178" s="10"/>
      <c r="I178" s="10"/>
      <c r="J178" s="10"/>
      <c r="K178" s="10"/>
      <c r="L178" s="10"/>
      <c r="M178" s="10"/>
      <c r="N178" s="10"/>
      <c r="O178" s="10"/>
      <c r="P178" s="10"/>
      <c r="Q178" s="10"/>
      <c r="R178" s="10"/>
      <c r="S178" s="10"/>
      <c r="T178" s="10"/>
      <c r="U178" s="10"/>
      <c r="V178" s="10"/>
      <c r="W178" s="10"/>
      <c r="X178" s="10"/>
    </row>
    <row r="179" spans="1:24" ht="11.25">
      <c r="A179" s="42" t="s">
        <v>129</v>
      </c>
      <c r="B179" s="13"/>
      <c r="C179" s="13"/>
      <c r="D179" s="13"/>
      <c r="E179" s="10"/>
      <c r="F179" s="10"/>
      <c r="G179" s="10"/>
      <c r="H179" s="10"/>
      <c r="I179" s="10"/>
      <c r="J179" s="10"/>
      <c r="K179" s="10"/>
      <c r="L179" s="10"/>
      <c r="M179" s="10"/>
      <c r="N179" s="10"/>
      <c r="O179" s="10"/>
      <c r="P179" s="10"/>
      <c r="Q179" s="10"/>
      <c r="R179" s="10"/>
      <c r="S179" s="10"/>
      <c r="T179" s="10"/>
      <c r="U179" s="10"/>
      <c r="V179" s="10"/>
      <c r="W179" s="10"/>
      <c r="X179" s="10"/>
    </row>
    <row r="180" spans="1:24" ht="11.25">
      <c r="A180" s="18"/>
      <c r="B180" s="13"/>
      <c r="C180" s="13"/>
      <c r="D180" s="13"/>
      <c r="E180" s="10"/>
      <c r="F180" s="10"/>
      <c r="G180" s="10"/>
      <c r="H180" s="10"/>
      <c r="I180" s="10"/>
      <c r="J180" s="10"/>
      <c r="K180" s="10"/>
      <c r="L180" s="10"/>
      <c r="M180" s="10"/>
      <c r="N180" s="10"/>
      <c r="O180" s="10"/>
      <c r="P180" s="10"/>
      <c r="Q180" s="10"/>
      <c r="R180" s="10"/>
      <c r="S180" s="10"/>
      <c r="T180" s="10"/>
      <c r="U180" s="10"/>
      <c r="V180" s="10"/>
      <c r="W180" s="10"/>
      <c r="X180" s="10"/>
    </row>
    <row r="181" spans="1:24" ht="11.25">
      <c r="A181" s="14" t="s">
        <v>167</v>
      </c>
      <c r="B181" s="13"/>
      <c r="C181" s="13"/>
      <c r="D181" s="13"/>
      <c r="E181" s="10"/>
      <c r="F181" s="10"/>
      <c r="G181" s="10"/>
      <c r="H181" s="10"/>
      <c r="I181" s="10"/>
      <c r="J181" s="10"/>
      <c r="K181" s="10"/>
      <c r="L181" s="10"/>
      <c r="M181" s="10"/>
      <c r="N181" s="10"/>
      <c r="O181" s="10"/>
      <c r="P181" s="10"/>
      <c r="Q181" s="10"/>
      <c r="R181" s="10"/>
      <c r="S181" s="10"/>
      <c r="T181" s="10"/>
      <c r="U181" s="10"/>
      <c r="V181" s="10"/>
      <c r="W181" s="10"/>
      <c r="X181" s="10"/>
    </row>
    <row r="182" spans="1:24" ht="11.25">
      <c r="A182" s="14" t="s">
        <v>168</v>
      </c>
      <c r="B182" s="13"/>
      <c r="C182" s="13"/>
      <c r="D182" s="13"/>
      <c r="E182" s="10"/>
      <c r="F182" s="10"/>
      <c r="G182" s="10"/>
      <c r="H182" s="10"/>
      <c r="I182" s="10"/>
      <c r="J182" s="10"/>
      <c r="K182" s="10"/>
      <c r="L182" s="10"/>
      <c r="M182" s="10"/>
      <c r="N182" s="10"/>
      <c r="O182" s="10"/>
      <c r="P182" s="10"/>
      <c r="Q182" s="10"/>
      <c r="R182" s="10"/>
      <c r="S182" s="10"/>
      <c r="T182" s="10"/>
      <c r="U182" s="10"/>
      <c r="V182" s="10"/>
      <c r="W182" s="10"/>
      <c r="X182" s="10"/>
    </row>
    <row r="183" spans="1:24" ht="11.25">
      <c r="A183" s="42"/>
      <c r="B183" s="13"/>
      <c r="C183" s="13"/>
      <c r="D183" s="13"/>
      <c r="E183" s="10"/>
      <c r="F183" s="10"/>
      <c r="G183" s="10"/>
      <c r="H183" s="10"/>
      <c r="I183" s="10"/>
      <c r="J183" s="10"/>
      <c r="K183" s="10"/>
      <c r="L183" s="10"/>
      <c r="M183" s="10"/>
      <c r="N183" s="10"/>
      <c r="O183" s="10"/>
      <c r="P183" s="10"/>
      <c r="Q183" s="10"/>
      <c r="R183" s="10"/>
      <c r="S183" s="10"/>
      <c r="T183" s="10"/>
      <c r="U183" s="10"/>
      <c r="V183" s="10"/>
      <c r="W183" s="10"/>
      <c r="X183" s="10"/>
    </row>
    <row r="184" spans="1:24" ht="11.25">
      <c r="A184" s="55" t="s">
        <v>119</v>
      </c>
      <c r="B184" s="10"/>
      <c r="D184" s="10"/>
      <c r="E184" s="10"/>
      <c r="F184" s="10"/>
      <c r="G184" s="10"/>
      <c r="H184" s="10"/>
      <c r="I184" s="10"/>
      <c r="J184" s="10"/>
      <c r="K184" s="10"/>
      <c r="L184" s="10"/>
      <c r="M184" s="10"/>
      <c r="N184" s="10"/>
      <c r="O184" s="10"/>
      <c r="P184" s="10"/>
      <c r="Q184" s="10"/>
      <c r="R184" s="10"/>
      <c r="S184" s="10"/>
      <c r="T184" s="10"/>
      <c r="U184" s="10"/>
      <c r="V184" s="10"/>
      <c r="W184" s="10"/>
      <c r="X184" s="10"/>
    </row>
    <row r="185" ht="11.25">
      <c r="A185" s="2" t="s">
        <v>88</v>
      </c>
    </row>
    <row r="186" s="14" customFormat="1" ht="11.25">
      <c r="Y186" s="61"/>
    </row>
    <row r="187" spans="1:25" s="14" customFormat="1" ht="11.25">
      <c r="A187" s="18" t="s">
        <v>101</v>
      </c>
      <c r="B187" s="44"/>
      <c r="C187" s="44"/>
      <c r="D187" s="44"/>
      <c r="E187" s="46"/>
      <c r="Y187" s="61"/>
    </row>
    <row r="188" spans="1:25" s="32" customFormat="1" ht="11.25">
      <c r="A188" s="14" t="s">
        <v>76</v>
      </c>
      <c r="E188" s="32">
        <f aca="true" t="shared" si="48" ref="E188:X192">E47*E$58</f>
        <v>416622.42378400004</v>
      </c>
      <c r="F188" s="32">
        <f t="shared" si="48"/>
        <v>192300.32864705005</v>
      </c>
      <c r="G188" s="32">
        <f t="shared" si="48"/>
        <v>277137.20922766655</v>
      </c>
      <c r="H188" s="32">
        <f t="shared" si="48"/>
        <v>275994.8168174941</v>
      </c>
      <c r="I188" s="32">
        <f t="shared" si="48"/>
        <v>377034.2791141826</v>
      </c>
      <c r="J188" s="32">
        <f t="shared" si="48"/>
        <v>417297.5956819585</v>
      </c>
      <c r="K188" s="32">
        <f t="shared" si="48"/>
        <v>585233.0441712833</v>
      </c>
      <c r="L188" s="32">
        <f t="shared" si="48"/>
        <v>537829.016839754</v>
      </c>
      <c r="M188" s="32">
        <f t="shared" si="48"/>
        <v>492737.4226255825</v>
      </c>
      <c r="N188" s="32">
        <f t="shared" si="48"/>
        <v>632359.0933904756</v>
      </c>
      <c r="O188" s="32">
        <f t="shared" si="48"/>
        <v>676624.2299278089</v>
      </c>
      <c r="P188" s="32">
        <f t="shared" si="48"/>
        <v>56108.90310837917</v>
      </c>
      <c r="Q188" s="32">
        <f t="shared" si="48"/>
        <v>60036.526325965715</v>
      </c>
      <c r="R188" s="32">
        <f t="shared" si="48"/>
        <v>64239.08316878333</v>
      </c>
      <c r="S188" s="32">
        <f t="shared" si="48"/>
        <v>136362.8938421476</v>
      </c>
      <c r="T188" s="32">
        <f t="shared" si="48"/>
        <v>145908.29641109795</v>
      </c>
      <c r="U188" s="32">
        <f t="shared" si="48"/>
        <v>234817.5163222107</v>
      </c>
      <c r="V188" s="32">
        <f t="shared" si="48"/>
        <v>251254.74246476547</v>
      </c>
      <c r="W188" s="32">
        <f t="shared" si="48"/>
        <v>357487.87432068144</v>
      </c>
      <c r="X188" s="32">
        <f t="shared" si="48"/>
        <v>382512.0255231292</v>
      </c>
      <c r="Y188" s="61"/>
    </row>
    <row r="189" spans="1:25" s="32" customFormat="1" ht="11.25">
      <c r="A189" s="14" t="s">
        <v>75</v>
      </c>
      <c r="E189" s="32">
        <f t="shared" si="48"/>
        <v>685344.1811350001</v>
      </c>
      <c r="F189" s="32">
        <f t="shared" si="48"/>
        <v>95689.41952601002</v>
      </c>
      <c r="G189" s="32">
        <f t="shared" si="48"/>
        <v>170811.16507503024</v>
      </c>
      <c r="H189" s="32">
        <f t="shared" si="48"/>
        <v>145899.504076408</v>
      </c>
      <c r="I189" s="32">
        <f t="shared" si="48"/>
        <v>195561.70289440214</v>
      </c>
      <c r="J189" s="32">
        <f t="shared" si="48"/>
        <v>209251.0220970103</v>
      </c>
      <c r="K189" s="32">
        <f t="shared" si="48"/>
        <v>268420.56039098</v>
      </c>
      <c r="L189" s="32">
        <f t="shared" si="48"/>
        <v>287209.99961834855</v>
      </c>
      <c r="M189" s="32">
        <f t="shared" si="48"/>
        <v>614631.5040352183</v>
      </c>
      <c r="N189" s="32">
        <f t="shared" si="48"/>
        <v>437909.3759827759</v>
      </c>
      <c r="O189" s="32">
        <f t="shared" si="48"/>
        <v>1054687.943092316</v>
      </c>
      <c r="P189" s="32">
        <f t="shared" si="48"/>
        <v>0</v>
      </c>
      <c r="Q189" s="32">
        <f t="shared" si="48"/>
        <v>671057.1693958655</v>
      </c>
      <c r="R189" s="32">
        <f t="shared" si="48"/>
        <v>0</v>
      </c>
      <c r="S189" s="32">
        <f t="shared" si="48"/>
        <v>0</v>
      </c>
      <c r="T189" s="32">
        <f t="shared" si="48"/>
        <v>0</v>
      </c>
      <c r="U189" s="32">
        <f t="shared" si="48"/>
        <v>703186.7643293702</v>
      </c>
      <c r="V189" s="32">
        <f t="shared" si="48"/>
        <v>0</v>
      </c>
      <c r="W189" s="32">
        <f t="shared" si="48"/>
        <v>0</v>
      </c>
      <c r="X189" s="32">
        <f t="shared" si="48"/>
        <v>0</v>
      </c>
      <c r="Y189" s="61"/>
    </row>
    <row r="190" spans="1:25" s="32" customFormat="1" ht="11.25">
      <c r="A190" s="14" t="s">
        <v>77</v>
      </c>
      <c r="E190" s="32">
        <f t="shared" si="48"/>
        <v>30956.836610000002</v>
      </c>
      <c r="F190" s="32">
        <f t="shared" si="48"/>
        <v>35884.35156976001</v>
      </c>
      <c r="G190" s="32">
        <f t="shared" si="48"/>
        <v>42825.514545193815</v>
      </c>
      <c r="H190" s="32">
        <f t="shared" si="48"/>
        <v>48983.83868435137</v>
      </c>
      <c r="I190" s="32">
        <f t="shared" si="48"/>
        <v>59174.653189706645</v>
      </c>
      <c r="J190" s="32">
        <f t="shared" si="48"/>
        <v>68746.34724125499</v>
      </c>
      <c r="K190" s="32">
        <f t="shared" si="48"/>
        <v>81300.34329164412</v>
      </c>
      <c r="L190" s="32">
        <f t="shared" si="48"/>
        <v>97348.41921818878</v>
      </c>
      <c r="M190" s="32">
        <f t="shared" si="48"/>
        <v>113028.44498654892</v>
      </c>
      <c r="N190" s="32">
        <f t="shared" si="48"/>
        <v>132793.72046830817</v>
      </c>
      <c r="O190" s="32">
        <f t="shared" si="48"/>
        <v>155622.970422146</v>
      </c>
      <c r="P190" s="32">
        <f t="shared" si="48"/>
        <v>166516.57835169623</v>
      </c>
      <c r="Q190" s="32">
        <f t="shared" si="48"/>
        <v>178172.738836315</v>
      </c>
      <c r="R190" s="32">
        <f t="shared" si="48"/>
        <v>190644.83055485706</v>
      </c>
      <c r="S190" s="32">
        <f t="shared" si="48"/>
        <v>203989.96869369707</v>
      </c>
      <c r="T190" s="32">
        <f t="shared" si="48"/>
        <v>218269.2665022559</v>
      </c>
      <c r="U190" s="32">
        <f t="shared" si="48"/>
        <v>233548.11515741382</v>
      </c>
      <c r="V190" s="32">
        <f t="shared" si="48"/>
        <v>249896.4832184328</v>
      </c>
      <c r="W190" s="32">
        <f t="shared" si="48"/>
        <v>267389.2370437231</v>
      </c>
      <c r="X190" s="32">
        <f t="shared" si="48"/>
        <v>286106.4836367838</v>
      </c>
      <c r="Y190" s="61"/>
    </row>
    <row r="191" spans="1:25" s="32" customFormat="1" ht="11.25">
      <c r="A191" s="14" t="s">
        <v>78</v>
      </c>
      <c r="E191" s="32">
        <f t="shared" si="48"/>
        <v>181009.903594</v>
      </c>
      <c r="F191" s="32">
        <f t="shared" si="48"/>
        <v>209782.41503242005</v>
      </c>
      <c r="G191" s="32">
        <f t="shared" si="48"/>
        <v>253509.82277229437</v>
      </c>
      <c r="H191" s="32">
        <f t="shared" si="48"/>
        <v>296010.0575201043</v>
      </c>
      <c r="I191" s="32">
        <f t="shared" si="48"/>
        <v>349419.655063183</v>
      </c>
      <c r="J191" s="32">
        <f t="shared" si="48"/>
        <v>409457.5121433854</v>
      </c>
      <c r="K191" s="32">
        <f t="shared" si="48"/>
        <v>483284.9654649484</v>
      </c>
      <c r="L191" s="32">
        <f t="shared" si="48"/>
        <v>565445.8547447422</v>
      </c>
      <c r="M191" s="32">
        <f t="shared" si="48"/>
        <v>665602.5989121111</v>
      </c>
      <c r="N191" s="32">
        <f t="shared" si="48"/>
        <v>786496.8335473655</v>
      </c>
      <c r="O191" s="32">
        <f t="shared" si="48"/>
        <v>920208.9527018202</v>
      </c>
      <c r="P191" s="32">
        <f t="shared" si="48"/>
        <v>984623.5793909476</v>
      </c>
      <c r="Q191" s="32">
        <f t="shared" si="48"/>
        <v>1053547.2299483141</v>
      </c>
      <c r="R191" s="32">
        <f t="shared" si="48"/>
        <v>1127295.536044696</v>
      </c>
      <c r="S191" s="32">
        <f t="shared" si="48"/>
        <v>1206206.223567825</v>
      </c>
      <c r="T191" s="32">
        <f t="shared" si="48"/>
        <v>1290640.6592175728</v>
      </c>
      <c r="U191" s="32">
        <f t="shared" si="48"/>
        <v>1380985.5053628031</v>
      </c>
      <c r="V191" s="32">
        <f t="shared" si="48"/>
        <v>1477654.4907381996</v>
      </c>
      <c r="W191" s="32">
        <f t="shared" si="48"/>
        <v>1581090.3050898735</v>
      </c>
      <c r="X191" s="32">
        <f t="shared" si="48"/>
        <v>1691766.626446165</v>
      </c>
      <c r="Y191" s="61"/>
    </row>
    <row r="192" spans="1:25" s="32" customFormat="1" ht="11.25">
      <c r="A192" s="14" t="s">
        <v>79</v>
      </c>
      <c r="E192" s="32">
        <f t="shared" si="48"/>
        <v>47294.01005800001</v>
      </c>
      <c r="F192" s="32">
        <f t="shared" si="48"/>
        <v>55205.48475716001</v>
      </c>
      <c r="G192" s="32">
        <f t="shared" si="48"/>
        <v>64977.41657986962</v>
      </c>
      <c r="H192" s="32">
        <f t="shared" si="48"/>
        <v>76898.92395909464</v>
      </c>
      <c r="I192" s="32">
        <f t="shared" si="48"/>
        <v>89609.02951340235</v>
      </c>
      <c r="J192" s="32">
        <f t="shared" si="48"/>
        <v>106134.07851439758</v>
      </c>
      <c r="K192" s="32">
        <f t="shared" si="48"/>
        <v>123884.57402893218</v>
      </c>
      <c r="L192" s="32">
        <f t="shared" si="48"/>
        <v>146367.8638904875</v>
      </c>
      <c r="M192" s="32">
        <f t="shared" si="48"/>
        <v>172126.3732512714</v>
      </c>
      <c r="N192" s="32">
        <f t="shared" si="48"/>
        <v>201564.39063722693</v>
      </c>
      <c r="O192" s="32">
        <f t="shared" si="48"/>
        <v>237663.73360854908</v>
      </c>
      <c r="P192" s="32">
        <f t="shared" si="48"/>
        <v>254300.19496114756</v>
      </c>
      <c r="Q192" s="32">
        <f t="shared" si="48"/>
        <v>272101.2086084279</v>
      </c>
      <c r="R192" s="32">
        <f t="shared" si="48"/>
        <v>291148.2932110179</v>
      </c>
      <c r="S192" s="32">
        <f t="shared" si="48"/>
        <v>311528.67373578914</v>
      </c>
      <c r="T192" s="32">
        <f t="shared" si="48"/>
        <v>333335.6808972944</v>
      </c>
      <c r="U192" s="32">
        <f t="shared" si="48"/>
        <v>356669.1785601051</v>
      </c>
      <c r="V192" s="32">
        <f t="shared" si="48"/>
        <v>381636.02105931245</v>
      </c>
      <c r="W192" s="32">
        <f t="shared" si="48"/>
        <v>408350.5425334644</v>
      </c>
      <c r="X192" s="32">
        <f t="shared" si="48"/>
        <v>436935.08051080693</v>
      </c>
      <c r="Y192" s="61"/>
    </row>
    <row r="193" spans="1:25" s="32" customFormat="1" ht="11.25">
      <c r="A193" s="32" t="s">
        <v>69</v>
      </c>
      <c r="E193" s="32">
        <f>SUM(E188:E192)</f>
        <v>1361227.3551810002</v>
      </c>
      <c r="F193" s="32">
        <f aca="true" t="shared" si="49" ref="F193:X193">SUM(F188:F192)</f>
        <v>588861.9995324002</v>
      </c>
      <c r="G193" s="32">
        <f t="shared" si="49"/>
        <v>809261.1282000545</v>
      </c>
      <c r="H193" s="32">
        <f t="shared" si="49"/>
        <v>843787.1410574524</v>
      </c>
      <c r="I193" s="32">
        <f t="shared" si="49"/>
        <v>1070799.3197748768</v>
      </c>
      <c r="J193" s="32">
        <f t="shared" si="49"/>
        <v>1210886.5556780067</v>
      </c>
      <c r="K193" s="32">
        <f t="shared" si="49"/>
        <v>1542123.487347788</v>
      </c>
      <c r="L193" s="32">
        <f t="shared" si="49"/>
        <v>1634201.1543115207</v>
      </c>
      <c r="M193" s="32">
        <f t="shared" si="49"/>
        <v>2058126.3438107325</v>
      </c>
      <c r="N193" s="32">
        <f t="shared" si="49"/>
        <v>2191123.414026152</v>
      </c>
      <c r="O193" s="32">
        <f t="shared" si="49"/>
        <v>3044807.82975264</v>
      </c>
      <c r="P193" s="32">
        <f t="shared" si="49"/>
        <v>1461549.2558121707</v>
      </c>
      <c r="Q193" s="32">
        <f t="shared" si="49"/>
        <v>2234914.8731148886</v>
      </c>
      <c r="R193" s="32">
        <f t="shared" si="49"/>
        <v>1673327.7429793545</v>
      </c>
      <c r="S193" s="32">
        <f t="shared" si="49"/>
        <v>1858087.7598394589</v>
      </c>
      <c r="T193" s="32">
        <f t="shared" si="49"/>
        <v>1988153.9030282209</v>
      </c>
      <c r="U193" s="32">
        <f t="shared" si="49"/>
        <v>2909207.079731903</v>
      </c>
      <c r="V193" s="32">
        <f t="shared" si="49"/>
        <v>2360441.7374807103</v>
      </c>
      <c r="W193" s="32">
        <f t="shared" si="49"/>
        <v>2614317.958987742</v>
      </c>
      <c r="X193" s="32">
        <f t="shared" si="49"/>
        <v>2797320.2161168847</v>
      </c>
      <c r="Y193" s="61"/>
    </row>
    <row r="194" s="32" customFormat="1" ht="11.25">
      <c r="Y194" s="61"/>
    </row>
    <row r="195" spans="1:25" s="32" customFormat="1" ht="11.25">
      <c r="A195" s="33" t="s">
        <v>180</v>
      </c>
      <c r="Y195" s="61"/>
    </row>
    <row r="196" spans="1:25" s="32" customFormat="1" ht="11.25">
      <c r="A196" s="1" t="s">
        <v>11</v>
      </c>
      <c r="B196" s="10">
        <v>1</v>
      </c>
      <c r="Y196" s="61"/>
    </row>
    <row r="197" spans="1:25" s="32" customFormat="1" ht="11.25">
      <c r="A197" s="1" t="s">
        <v>16</v>
      </c>
      <c r="B197" s="10">
        <v>0</v>
      </c>
      <c r="Y197" s="61"/>
    </row>
    <row r="198" spans="1:25" s="32" customFormat="1" ht="11.25">
      <c r="A198" s="1" t="s">
        <v>38</v>
      </c>
      <c r="B198" s="10"/>
      <c r="Y198" s="61"/>
    </row>
    <row r="199" spans="1:25" s="32" customFormat="1" ht="11.25">
      <c r="A199" s="15" t="s">
        <v>52</v>
      </c>
      <c r="B199" s="10">
        <v>1</v>
      </c>
      <c r="Y199" s="61"/>
    </row>
    <row r="200" spans="1:25" s="32" customFormat="1" ht="11.25">
      <c r="A200" s="15" t="s">
        <v>50</v>
      </c>
      <c r="B200" s="10">
        <f>1-B44+B44*B43</f>
        <v>0.8200000000000001</v>
      </c>
      <c r="Y200" s="61"/>
    </row>
    <row r="201" spans="1:25" s="32" customFormat="1" ht="11.25">
      <c r="A201" s="15" t="s">
        <v>47</v>
      </c>
      <c r="B201" s="10">
        <f>$B$42</f>
        <v>1.05</v>
      </c>
      <c r="Y201" s="61"/>
    </row>
    <row r="202" spans="1:25" s="32" customFormat="1" ht="11.25">
      <c r="A202" s="15" t="s">
        <v>53</v>
      </c>
      <c r="B202" s="10">
        <f>$B$42</f>
        <v>1.05</v>
      </c>
      <c r="Y202" s="61"/>
    </row>
    <row r="203" spans="1:25" s="32" customFormat="1" ht="11.25">
      <c r="A203" s="15" t="s">
        <v>158</v>
      </c>
      <c r="B203" s="10">
        <f>$B$42</f>
        <v>1.05</v>
      </c>
      <c r="Y203" s="61"/>
    </row>
    <row r="204" s="32" customFormat="1" ht="11.25">
      <c r="Y204" s="61"/>
    </row>
    <row r="205" spans="1:25" s="32" customFormat="1" ht="11.25">
      <c r="A205" s="6" t="s">
        <v>80</v>
      </c>
      <c r="B205" s="6"/>
      <c r="C205" s="7"/>
      <c r="D205" s="7"/>
      <c r="E205" s="7"/>
      <c r="F205" s="7"/>
      <c r="G205" s="7"/>
      <c r="H205" s="7"/>
      <c r="I205" s="7"/>
      <c r="J205" s="7"/>
      <c r="K205" s="7"/>
      <c r="L205" s="7"/>
      <c r="M205" s="7"/>
      <c r="N205" s="7"/>
      <c r="O205" s="7"/>
      <c r="P205" s="7"/>
      <c r="Q205" s="7"/>
      <c r="R205" s="7"/>
      <c r="S205" s="7"/>
      <c r="T205" s="7"/>
      <c r="U205" s="7"/>
      <c r="V205" s="7"/>
      <c r="W205" s="7"/>
      <c r="X205" s="7"/>
      <c r="Y205" s="61"/>
    </row>
    <row r="206" spans="1:25" s="32" customFormat="1" ht="11.25">
      <c r="A206" s="1"/>
      <c r="B206" s="1"/>
      <c r="C206" s="23">
        <f aca="true" t="shared" si="50" ref="C206:X206">C139</f>
        <v>2013</v>
      </c>
      <c r="D206" s="23">
        <f t="shared" si="50"/>
        <v>2014</v>
      </c>
      <c r="E206" s="23">
        <f t="shared" si="50"/>
        <v>2015</v>
      </c>
      <c r="F206" s="23">
        <f t="shared" si="50"/>
        <v>2016</v>
      </c>
      <c r="G206" s="23">
        <f t="shared" si="50"/>
        <v>2017</v>
      </c>
      <c r="H206" s="23">
        <f t="shared" si="50"/>
        <v>2018</v>
      </c>
      <c r="I206" s="23">
        <f t="shared" si="50"/>
        <v>2019</v>
      </c>
      <c r="J206" s="23">
        <f t="shared" si="50"/>
        <v>2020</v>
      </c>
      <c r="K206" s="23">
        <f t="shared" si="50"/>
        <v>2021</v>
      </c>
      <c r="L206" s="23">
        <f t="shared" si="50"/>
        <v>2022</v>
      </c>
      <c r="M206" s="23">
        <f t="shared" si="50"/>
        <v>2023</v>
      </c>
      <c r="N206" s="23">
        <f t="shared" si="50"/>
        <v>2024</v>
      </c>
      <c r="O206" s="23">
        <f t="shared" si="50"/>
        <v>2025</v>
      </c>
      <c r="P206" s="23">
        <f t="shared" si="50"/>
        <v>2026</v>
      </c>
      <c r="Q206" s="23">
        <f t="shared" si="50"/>
        <v>2027</v>
      </c>
      <c r="R206" s="23">
        <f t="shared" si="50"/>
        <v>2028</v>
      </c>
      <c r="S206" s="23">
        <f t="shared" si="50"/>
        <v>2029</v>
      </c>
      <c r="T206" s="23">
        <f t="shared" si="50"/>
        <v>2030</v>
      </c>
      <c r="U206" s="23">
        <f t="shared" si="50"/>
        <v>2031</v>
      </c>
      <c r="V206" s="23">
        <f t="shared" si="50"/>
        <v>2032</v>
      </c>
      <c r="W206" s="23">
        <f t="shared" si="50"/>
        <v>2033</v>
      </c>
      <c r="X206" s="23">
        <f t="shared" si="50"/>
        <v>2034</v>
      </c>
      <c r="Y206" s="61"/>
    </row>
    <row r="207" spans="1:25" s="32" customFormat="1" ht="12" thickBot="1">
      <c r="A207" s="4" t="s">
        <v>2</v>
      </c>
      <c r="B207" s="4" t="s">
        <v>21</v>
      </c>
      <c r="C207" s="22">
        <v>0</v>
      </c>
      <c r="D207" s="22">
        <v>1</v>
      </c>
      <c r="E207" s="22">
        <v>2</v>
      </c>
      <c r="F207" s="22">
        <v>3</v>
      </c>
      <c r="G207" s="22">
        <v>4</v>
      </c>
      <c r="H207" s="22">
        <v>5</v>
      </c>
      <c r="I207" s="22">
        <v>6</v>
      </c>
      <c r="J207" s="22">
        <v>7</v>
      </c>
      <c r="K207" s="22">
        <v>8</v>
      </c>
      <c r="L207" s="22">
        <v>9</v>
      </c>
      <c r="M207" s="22">
        <v>10</v>
      </c>
      <c r="N207" s="22">
        <v>11</v>
      </c>
      <c r="O207" s="22">
        <v>12</v>
      </c>
      <c r="P207" s="22">
        <v>13</v>
      </c>
      <c r="Q207" s="22">
        <v>14</v>
      </c>
      <c r="R207" s="22">
        <v>15</v>
      </c>
      <c r="S207" s="22">
        <v>16</v>
      </c>
      <c r="T207" s="22">
        <v>17</v>
      </c>
      <c r="U207" s="22">
        <v>18</v>
      </c>
      <c r="V207" s="22">
        <v>19</v>
      </c>
      <c r="W207" s="22">
        <v>20</v>
      </c>
      <c r="X207" s="22">
        <v>21</v>
      </c>
      <c r="Y207" s="61"/>
    </row>
    <row r="208" spans="1:25" s="32" customFormat="1" ht="12" thickTop="1">
      <c r="A208" s="8"/>
      <c r="B208" s="1"/>
      <c r="C208" s="1"/>
      <c r="D208" s="1"/>
      <c r="E208" s="1"/>
      <c r="F208" s="1"/>
      <c r="G208" s="1"/>
      <c r="H208" s="1"/>
      <c r="I208" s="1"/>
      <c r="J208" s="1"/>
      <c r="K208" s="1"/>
      <c r="L208" s="1"/>
      <c r="M208" s="1"/>
      <c r="N208" s="1"/>
      <c r="O208" s="1"/>
      <c r="P208" s="1"/>
      <c r="Q208" s="1"/>
      <c r="R208" s="1"/>
      <c r="S208" s="1"/>
      <c r="T208" s="1"/>
      <c r="U208" s="1"/>
      <c r="V208" s="1"/>
      <c r="W208" s="1"/>
      <c r="X208" s="1"/>
      <c r="Y208" s="61"/>
    </row>
    <row r="209" spans="1:25" s="32" customFormat="1" ht="11.25">
      <c r="A209" s="1" t="s">
        <v>33</v>
      </c>
      <c r="B209" s="8">
        <f aca="true" t="shared" si="51" ref="B209:B219">NPV($B$38,D209:X209)+C209</f>
        <v>7260211.965105532</v>
      </c>
      <c r="C209" s="1">
        <f>C193</f>
        <v>0</v>
      </c>
      <c r="D209" s="1">
        <f aca="true" t="shared" si="52" ref="D209:X209">D193</f>
        <v>0</v>
      </c>
      <c r="E209" s="1">
        <f t="shared" si="52"/>
        <v>1361227.3551810002</v>
      </c>
      <c r="F209" s="1">
        <f t="shared" si="52"/>
        <v>588861.9995324002</v>
      </c>
      <c r="G209" s="1">
        <f t="shared" si="52"/>
        <v>809261.1282000545</v>
      </c>
      <c r="H209" s="1">
        <f t="shared" si="52"/>
        <v>843787.1410574524</v>
      </c>
      <c r="I209" s="1">
        <f t="shared" si="52"/>
        <v>1070799.3197748768</v>
      </c>
      <c r="J209" s="1">
        <f t="shared" si="52"/>
        <v>1210886.5556780067</v>
      </c>
      <c r="K209" s="1">
        <f t="shared" si="52"/>
        <v>1542123.487347788</v>
      </c>
      <c r="L209" s="1">
        <f t="shared" si="52"/>
        <v>1634201.1543115207</v>
      </c>
      <c r="M209" s="1">
        <f t="shared" si="52"/>
        <v>2058126.3438107325</v>
      </c>
      <c r="N209" s="1">
        <f t="shared" si="52"/>
        <v>2191123.414026152</v>
      </c>
      <c r="O209" s="1">
        <f t="shared" si="52"/>
        <v>3044807.82975264</v>
      </c>
      <c r="P209" s="1">
        <f t="shared" si="52"/>
        <v>1461549.2558121707</v>
      </c>
      <c r="Q209" s="1">
        <f t="shared" si="52"/>
        <v>2234914.8731148886</v>
      </c>
      <c r="R209" s="1">
        <f t="shared" si="52"/>
        <v>1673327.7429793545</v>
      </c>
      <c r="S209" s="1">
        <f t="shared" si="52"/>
        <v>1858087.7598394589</v>
      </c>
      <c r="T209" s="1">
        <f t="shared" si="52"/>
        <v>1988153.9030282209</v>
      </c>
      <c r="U209" s="1">
        <f t="shared" si="52"/>
        <v>2909207.079731903</v>
      </c>
      <c r="V209" s="1">
        <f t="shared" si="52"/>
        <v>2360441.7374807103</v>
      </c>
      <c r="W209" s="1">
        <f t="shared" si="52"/>
        <v>2614317.958987742</v>
      </c>
      <c r="X209" s="1">
        <f t="shared" si="52"/>
        <v>2797320.2161168847</v>
      </c>
      <c r="Y209" s="61"/>
    </row>
    <row r="210" spans="1:25" s="32" customFormat="1" ht="11.25">
      <c r="A210" s="1" t="s">
        <v>11</v>
      </c>
      <c r="B210" s="8">
        <f t="shared" si="51"/>
        <v>-2082633.8186288285</v>
      </c>
      <c r="C210" s="1">
        <f>C144*$B196</f>
        <v>0</v>
      </c>
      <c r="D210" s="1">
        <f>D144*$B196</f>
        <v>0</v>
      </c>
      <c r="E210" s="1">
        <f>E144*$B196</f>
        <v>-189289.8777</v>
      </c>
      <c r="F210" s="1">
        <f>F144*$B196</f>
        <v>-217438.69632500003</v>
      </c>
      <c r="G210" s="1">
        <f>G144*$B196</f>
        <v>-248440.79907677008</v>
      </c>
      <c r="H210" s="1">
        <f>H144*$B196</f>
        <v>-282551.4653467954</v>
      </c>
      <c r="I210" s="1">
        <f>I144*$B196</f>
        <v>-324766.3280616673</v>
      </c>
      <c r="J210" s="1">
        <f>J144*$B196</f>
        <v>-371276.6481530139</v>
      </c>
      <c r="K210" s="1">
        <f>K144*$B196</f>
        <v>-427816.8462469132</v>
      </c>
      <c r="L210" s="1">
        <f>L144*$B196</f>
        <v>-490149.1788730234</v>
      </c>
      <c r="M210" s="1">
        <f>M144*$B196</f>
        <v>-522407.2141643956</v>
      </c>
      <c r="N210" s="1">
        <f>N144*$B196</f>
        <v>-556820.6915646766</v>
      </c>
      <c r="O210" s="1">
        <f>O144*$B196</f>
        <v>-593535.3610034161</v>
      </c>
      <c r="P210" s="1">
        <f>P144*$B196</f>
        <v>-632706.918354328</v>
      </c>
      <c r="Q210" s="1">
        <f>Q144*$B196</f>
        <v>-674501.6888238374</v>
      </c>
      <c r="R210" s="1">
        <f>R144*$B196</f>
        <v>-719097.3575354478</v>
      </c>
      <c r="S210" s="1">
        <f>S144*$B196</f>
        <v>-766683.750581568</v>
      </c>
      <c r="T210" s="1">
        <f>T144*$B196</f>
        <v>-817463.6700418484</v>
      </c>
      <c r="U210" s="1">
        <f>U144*$B196</f>
        <v>-871653.7867103273</v>
      </c>
      <c r="V210" s="1">
        <f>V144*$B196</f>
        <v>-929485.594533877</v>
      </c>
      <c r="W210" s="1">
        <f>W144*$B196</f>
        <v>-991206.4310427664</v>
      </c>
      <c r="X210" s="1">
        <f>X144*$B196</f>
        <v>-1057080.568351854</v>
      </c>
      <c r="Y210" s="61"/>
    </row>
    <row r="211" spans="1:25" s="32" customFormat="1" ht="11.25">
      <c r="A211" s="1" t="s">
        <v>16</v>
      </c>
      <c r="B211" s="8">
        <f t="shared" si="51"/>
        <v>0</v>
      </c>
      <c r="C211" s="1">
        <f>C145*$B197</f>
        <v>0</v>
      </c>
      <c r="D211" s="1">
        <f>D145*$B197</f>
        <v>0</v>
      </c>
      <c r="E211" s="1">
        <f>E145*$B197</f>
        <v>0</v>
      </c>
      <c r="F211" s="1">
        <f>F145*$B197</f>
        <v>0</v>
      </c>
      <c r="G211" s="1">
        <f>G145*$B197</f>
        <v>0</v>
      </c>
      <c r="H211" s="1">
        <f>H145*$B197</f>
        <v>0</v>
      </c>
      <c r="I211" s="1">
        <f>I145*$B197</f>
        <v>0</v>
      </c>
      <c r="J211" s="1">
        <f>J145*$B197</f>
        <v>0</v>
      </c>
      <c r="K211" s="1">
        <f>K145*$B197</f>
        <v>0</v>
      </c>
      <c r="L211" s="1">
        <f>L145*$B197</f>
        <v>0</v>
      </c>
      <c r="M211" s="1">
        <f>M145*$B197</f>
        <v>0</v>
      </c>
      <c r="N211" s="1">
        <f>N145*$B197</f>
        <v>0</v>
      </c>
      <c r="O211" s="1">
        <f>O145*$B197</f>
        <v>0</v>
      </c>
      <c r="P211" s="1">
        <f>P145*$B197</f>
        <v>0</v>
      </c>
      <c r="Q211" s="1">
        <f>Q145*$B197</f>
        <v>0</v>
      </c>
      <c r="R211" s="1">
        <f>R145*$B197</f>
        <v>0</v>
      </c>
      <c r="S211" s="1">
        <f>S145*$B197</f>
        <v>0</v>
      </c>
      <c r="T211" s="1">
        <f>T145*$B197</f>
        <v>0</v>
      </c>
      <c r="U211" s="1">
        <f>U145*$B197</f>
        <v>0</v>
      </c>
      <c r="V211" s="1">
        <f>V145*$B197</f>
        <v>0</v>
      </c>
      <c r="W211" s="1">
        <f>W145*$B197</f>
        <v>0</v>
      </c>
      <c r="X211" s="1">
        <f>X145*$B197</f>
        <v>0</v>
      </c>
      <c r="Y211" s="61"/>
    </row>
    <row r="212" spans="1:25" s="32" customFormat="1" ht="11.25">
      <c r="A212" s="1" t="s">
        <v>38</v>
      </c>
      <c r="B212" s="8">
        <f t="shared" si="51"/>
        <v>-3558119.3921370376</v>
      </c>
      <c r="C212" s="1">
        <f aca="true" t="shared" si="53" ref="C212:X212">SUM(C213:C217)</f>
        <v>-1337698.6776</v>
      </c>
      <c r="D212" s="1">
        <f t="shared" si="53"/>
        <v>-2565918.1777190007</v>
      </c>
      <c r="E212" s="1">
        <f t="shared" si="53"/>
        <v>0</v>
      </c>
      <c r="F212" s="1">
        <f t="shared" si="53"/>
        <v>0</v>
      </c>
      <c r="G212" s="1">
        <f t="shared" si="53"/>
        <v>0</v>
      </c>
      <c r="H212" s="1">
        <f t="shared" si="53"/>
        <v>0</v>
      </c>
      <c r="I212" s="1">
        <f t="shared" si="53"/>
        <v>0</v>
      </c>
      <c r="J212" s="1">
        <f t="shared" si="53"/>
        <v>0</v>
      </c>
      <c r="K212" s="1">
        <f t="shared" si="53"/>
        <v>0</v>
      </c>
      <c r="L212" s="1">
        <f t="shared" si="53"/>
        <v>0</v>
      </c>
      <c r="M212" s="1">
        <f t="shared" si="53"/>
        <v>0</v>
      </c>
      <c r="N212" s="1">
        <f t="shared" si="53"/>
        <v>0</v>
      </c>
      <c r="O212" s="1">
        <f t="shared" si="53"/>
        <v>0</v>
      </c>
      <c r="P212" s="1">
        <f t="shared" si="53"/>
        <v>0</v>
      </c>
      <c r="Q212" s="1">
        <f t="shared" si="53"/>
        <v>0</v>
      </c>
      <c r="R212" s="1">
        <f t="shared" si="53"/>
        <v>0</v>
      </c>
      <c r="S212" s="1">
        <f t="shared" si="53"/>
        <v>0</v>
      </c>
      <c r="T212" s="1">
        <f t="shared" si="53"/>
        <v>0</v>
      </c>
      <c r="U212" s="1">
        <f t="shared" si="53"/>
        <v>0</v>
      </c>
      <c r="V212" s="1">
        <f t="shared" si="53"/>
        <v>0</v>
      </c>
      <c r="W212" s="1">
        <f t="shared" si="53"/>
        <v>0</v>
      </c>
      <c r="X212" s="1">
        <f t="shared" si="53"/>
        <v>0</v>
      </c>
      <c r="Y212" s="61"/>
    </row>
    <row r="213" spans="1:25" s="32" customFormat="1" ht="11.25">
      <c r="A213" s="15" t="s">
        <v>52</v>
      </c>
      <c r="B213" s="8">
        <f t="shared" si="51"/>
        <v>-501492.98962962965</v>
      </c>
      <c r="C213" s="1">
        <f>C147*$B199</f>
        <v>-282611.61000000004</v>
      </c>
      <c r="D213" s="1">
        <f>D147*$B199</f>
        <v>-252939.3223</v>
      </c>
      <c r="E213" s="1">
        <f>E147*$B199</f>
        <v>0</v>
      </c>
      <c r="F213" s="1">
        <f>F147*$B199</f>
        <v>0</v>
      </c>
      <c r="G213" s="1">
        <f>G147*$B199</f>
        <v>0</v>
      </c>
      <c r="H213" s="1">
        <f>H147*$B199</f>
        <v>0</v>
      </c>
      <c r="I213" s="1">
        <f>I147*$B199</f>
        <v>0</v>
      </c>
      <c r="J213" s="1">
        <f>J147*$B199</f>
        <v>0</v>
      </c>
      <c r="K213" s="1">
        <f>K147*$B199</f>
        <v>0</v>
      </c>
      <c r="L213" s="1">
        <f>L147*$B199</f>
        <v>0</v>
      </c>
      <c r="M213" s="1">
        <f>M147*$B199</f>
        <v>0</v>
      </c>
      <c r="N213" s="1">
        <f>N147*$B199</f>
        <v>0</v>
      </c>
      <c r="O213" s="1">
        <f>O147*$B199</f>
        <v>0</v>
      </c>
      <c r="P213" s="1">
        <f>P147*$B199</f>
        <v>0</v>
      </c>
      <c r="Q213" s="1">
        <f>Q147*$B199</f>
        <v>0</v>
      </c>
      <c r="R213" s="1">
        <f>R147*$B199</f>
        <v>0</v>
      </c>
      <c r="S213" s="1">
        <f>S147*$B199</f>
        <v>0</v>
      </c>
      <c r="T213" s="1">
        <f>T147*$B199</f>
        <v>0</v>
      </c>
      <c r="U213" s="1">
        <f>U147*$B199</f>
        <v>0</v>
      </c>
      <c r="V213" s="1">
        <f>V147*$B199</f>
        <v>0</v>
      </c>
      <c r="W213" s="1">
        <f>W147*$B199</f>
        <v>0</v>
      </c>
      <c r="X213" s="1">
        <f>X147*$B199</f>
        <v>0</v>
      </c>
      <c r="Y213" s="61"/>
    </row>
    <row r="214" spans="1:25" s="32" customFormat="1" ht="11.25">
      <c r="A214" s="15" t="s">
        <v>50</v>
      </c>
      <c r="B214" s="8">
        <f t="shared" si="51"/>
        <v>-1048086.4063407409</v>
      </c>
      <c r="C214" s="1">
        <f>C148*$B200</f>
        <v>-379557.97560000006</v>
      </c>
      <c r="D214" s="1">
        <f>D148*$B200</f>
        <v>-772551.4545640001</v>
      </c>
      <c r="E214" s="1">
        <f>E148*$B200</f>
        <v>0</v>
      </c>
      <c r="F214" s="1">
        <f>F148*$B200</f>
        <v>0</v>
      </c>
      <c r="G214" s="1">
        <f>G148*$B200</f>
        <v>0</v>
      </c>
      <c r="H214" s="1">
        <f>H148*$B200</f>
        <v>0</v>
      </c>
      <c r="I214" s="1">
        <f>I148*$B200</f>
        <v>0</v>
      </c>
      <c r="J214" s="1">
        <f>J148*$B200</f>
        <v>0</v>
      </c>
      <c r="K214" s="1">
        <f>K148*$B200</f>
        <v>0</v>
      </c>
      <c r="L214" s="1">
        <f>L148*$B200</f>
        <v>0</v>
      </c>
      <c r="M214" s="1">
        <f>M148*$B200</f>
        <v>0</v>
      </c>
      <c r="N214" s="1">
        <f>N148*$B200</f>
        <v>0</v>
      </c>
      <c r="O214" s="1">
        <f>O148*$B200</f>
        <v>0</v>
      </c>
      <c r="P214" s="1">
        <f>P148*$B200</f>
        <v>0</v>
      </c>
      <c r="Q214" s="1">
        <f>Q148*$B200</f>
        <v>0</v>
      </c>
      <c r="R214" s="1">
        <f>R148*$B200</f>
        <v>0</v>
      </c>
      <c r="S214" s="1">
        <f>S148*$B200</f>
        <v>0</v>
      </c>
      <c r="T214" s="1">
        <f>T148*$B200</f>
        <v>0</v>
      </c>
      <c r="U214" s="1">
        <f>U148*$B200</f>
        <v>0</v>
      </c>
      <c r="V214" s="1">
        <f>V148*$B200</f>
        <v>0</v>
      </c>
      <c r="W214" s="1">
        <f>W148*$B200</f>
        <v>0</v>
      </c>
      <c r="X214" s="1">
        <f>X148*$B200</f>
        <v>0</v>
      </c>
      <c r="Y214" s="61"/>
    </row>
    <row r="215" spans="1:25" s="32" customFormat="1" ht="11.25">
      <c r="A215" s="15" t="s">
        <v>47</v>
      </c>
      <c r="B215" s="8">
        <f t="shared" si="51"/>
        <v>-1449438.7098333335</v>
      </c>
      <c r="C215" s="1">
        <f>C149*$B201</f>
        <v>-454623.15150000004</v>
      </c>
      <c r="D215" s="1">
        <f>D149*$B201</f>
        <v>-1149608.8592100004</v>
      </c>
      <c r="E215" s="1">
        <f>E149*$B201</f>
        <v>0</v>
      </c>
      <c r="F215" s="1">
        <f>F149*$B201</f>
        <v>0</v>
      </c>
      <c r="G215" s="1">
        <f>G149*$B201</f>
        <v>0</v>
      </c>
      <c r="H215" s="1">
        <f>H149*$B201</f>
        <v>0</v>
      </c>
      <c r="I215" s="1">
        <f>I149*$B201</f>
        <v>0</v>
      </c>
      <c r="J215" s="1">
        <f>J149*$B201</f>
        <v>0</v>
      </c>
      <c r="K215" s="1">
        <f>K149*$B201</f>
        <v>0</v>
      </c>
      <c r="L215" s="1">
        <f>L149*$B201</f>
        <v>0</v>
      </c>
      <c r="M215" s="1">
        <f>M149*$B201</f>
        <v>0</v>
      </c>
      <c r="N215" s="1">
        <f>N149*$B201</f>
        <v>0</v>
      </c>
      <c r="O215" s="1">
        <f>O149*$B201</f>
        <v>0</v>
      </c>
      <c r="P215" s="1">
        <f>P149*$B201</f>
        <v>0</v>
      </c>
      <c r="Q215" s="1">
        <f>Q149*$B201</f>
        <v>0</v>
      </c>
      <c r="R215" s="1">
        <f>R149*$B201</f>
        <v>0</v>
      </c>
      <c r="S215" s="1">
        <f>S149*$B201</f>
        <v>0</v>
      </c>
      <c r="T215" s="1">
        <f>T149*$B201</f>
        <v>0</v>
      </c>
      <c r="U215" s="1">
        <f>U149*$B201</f>
        <v>0</v>
      </c>
      <c r="V215" s="1">
        <f>V149*$B201</f>
        <v>0</v>
      </c>
      <c r="W215" s="1">
        <f>W149*$B201</f>
        <v>0</v>
      </c>
      <c r="X215" s="1">
        <f>X149*$B201</f>
        <v>0</v>
      </c>
      <c r="Y215" s="61"/>
    </row>
    <row r="216" spans="1:25" s="32" customFormat="1" ht="11.25">
      <c r="A216" s="15" t="s">
        <v>53</v>
      </c>
      <c r="B216" s="8">
        <f t="shared" si="51"/>
        <v>-489122.09150000004</v>
      </c>
      <c r="C216" s="1">
        <f>C150*$B202</f>
        <v>-190140.01650000003</v>
      </c>
      <c r="D216" s="1">
        <f>D150*$B202</f>
        <v>-345503.68587000004</v>
      </c>
      <c r="E216" s="1">
        <f>E150*$B202</f>
        <v>0</v>
      </c>
      <c r="F216" s="1">
        <f>F150*$B202</f>
        <v>0</v>
      </c>
      <c r="G216" s="1">
        <f>G150*$B202</f>
        <v>0</v>
      </c>
      <c r="H216" s="1">
        <f>H150*$B202</f>
        <v>0</v>
      </c>
      <c r="I216" s="1">
        <f>I150*$B202</f>
        <v>0</v>
      </c>
      <c r="J216" s="1">
        <f>J150*$B202</f>
        <v>0</v>
      </c>
      <c r="K216" s="1">
        <f>K150*$B202</f>
        <v>0</v>
      </c>
      <c r="L216" s="1">
        <f>L150*$B202</f>
        <v>0</v>
      </c>
      <c r="M216" s="1">
        <f>M150*$B202</f>
        <v>0</v>
      </c>
      <c r="N216" s="1">
        <f>N150*$B202</f>
        <v>0</v>
      </c>
      <c r="O216" s="1">
        <f>O150*$B202</f>
        <v>0</v>
      </c>
      <c r="P216" s="1">
        <f>P150*$B202</f>
        <v>0</v>
      </c>
      <c r="Q216" s="1">
        <f>Q150*$B202</f>
        <v>0</v>
      </c>
      <c r="R216" s="1">
        <f>R150*$B202</f>
        <v>0</v>
      </c>
      <c r="S216" s="1">
        <f>S150*$B202</f>
        <v>0</v>
      </c>
      <c r="T216" s="1">
        <f>T150*$B202</f>
        <v>0</v>
      </c>
      <c r="U216" s="1">
        <f>U150*$B202</f>
        <v>0</v>
      </c>
      <c r="V216" s="1">
        <f>V150*$B202</f>
        <v>0</v>
      </c>
      <c r="W216" s="1">
        <f>W150*$B202</f>
        <v>0</v>
      </c>
      <c r="X216" s="1">
        <f>X150*$B202</f>
        <v>0</v>
      </c>
      <c r="Y216" s="61"/>
    </row>
    <row r="217" spans="1:25" s="32" customFormat="1" ht="11.25">
      <c r="A217" s="15" t="s">
        <v>158</v>
      </c>
      <c r="B217" s="8">
        <f t="shared" si="51"/>
        <v>-69979.19483333334</v>
      </c>
      <c r="C217" s="1">
        <f>C151*$B203</f>
        <v>-30765.924000000003</v>
      </c>
      <c r="D217" s="1">
        <f>D151*$B203</f>
        <v>-45314.85577500001</v>
      </c>
      <c r="E217" s="1">
        <f>E151*$B203</f>
        <v>0</v>
      </c>
      <c r="F217" s="1">
        <f>F151*$B203</f>
        <v>0</v>
      </c>
      <c r="G217" s="1">
        <f>G151*$B203</f>
        <v>0</v>
      </c>
      <c r="H217" s="1">
        <f>H151*$B203</f>
        <v>0</v>
      </c>
      <c r="I217" s="1">
        <f>I151*$B203</f>
        <v>0</v>
      </c>
      <c r="J217" s="1">
        <f>J151*$B203</f>
        <v>0</v>
      </c>
      <c r="K217" s="1">
        <f>K151*$B203</f>
        <v>0</v>
      </c>
      <c r="L217" s="1">
        <f>L151*$B203</f>
        <v>0</v>
      </c>
      <c r="M217" s="1">
        <f>M151*$B203</f>
        <v>0</v>
      </c>
      <c r="N217" s="1">
        <f>N151*$B203</f>
        <v>0</v>
      </c>
      <c r="O217" s="1">
        <f>O151*$B203</f>
        <v>0</v>
      </c>
      <c r="P217" s="1">
        <f>P151*$B203</f>
        <v>0</v>
      </c>
      <c r="Q217" s="1">
        <f>Q151*$B203</f>
        <v>0</v>
      </c>
      <c r="R217" s="1">
        <f>R151*$B203</f>
        <v>0</v>
      </c>
      <c r="S217" s="1">
        <f>S151*$B203</f>
        <v>0</v>
      </c>
      <c r="T217" s="1">
        <f>T151*$B203</f>
        <v>0</v>
      </c>
      <c r="U217" s="1">
        <f>U151*$B203</f>
        <v>0</v>
      </c>
      <c r="V217" s="1">
        <f>V151*$B203</f>
        <v>0</v>
      </c>
      <c r="W217" s="1">
        <f>W151*$B203</f>
        <v>0</v>
      </c>
      <c r="X217" s="1">
        <f>X151*$B203</f>
        <v>0</v>
      </c>
      <c r="Y217" s="61"/>
    </row>
    <row r="218" spans="1:25" s="32" customFormat="1" ht="11.25">
      <c r="A218" s="1" t="s">
        <v>37</v>
      </c>
      <c r="B218" s="8">
        <f t="shared" si="51"/>
        <v>-5640753.210765866</v>
      </c>
      <c r="C218" s="1">
        <f>C210+C211+C212</f>
        <v>-1337698.6776</v>
      </c>
      <c r="D218" s="1">
        <f>D210+D211+D212</f>
        <v>-2565918.1777190007</v>
      </c>
      <c r="E218" s="1">
        <f>E210+E211+E212</f>
        <v>-189289.8777</v>
      </c>
      <c r="F218" s="1">
        <f>F210+F211+F212</f>
        <v>-217438.69632500003</v>
      </c>
      <c r="G218" s="1">
        <f>G210+G211+G212</f>
        <v>-248440.79907677008</v>
      </c>
      <c r="H218" s="1">
        <f>H210+H211+H212</f>
        <v>-282551.4653467954</v>
      </c>
      <c r="I218" s="1">
        <f>I210+I211+I212</f>
        <v>-324766.3280616673</v>
      </c>
      <c r="J218" s="1">
        <f>J210+J211+J212</f>
        <v>-371276.6481530139</v>
      </c>
      <c r="K218" s="1">
        <f>K210+K211+K212</f>
        <v>-427816.8462469132</v>
      </c>
      <c r="L218" s="1">
        <f>L210+L211+L212</f>
        <v>-490149.1788730234</v>
      </c>
      <c r="M218" s="1">
        <f>M210+M211+M212</f>
        <v>-522407.2141643956</v>
      </c>
      <c r="N218" s="1">
        <f>N210+N211+N212</f>
        <v>-556820.6915646766</v>
      </c>
      <c r="O218" s="1">
        <f>O210+O211+O212</f>
        <v>-593535.3610034161</v>
      </c>
      <c r="P218" s="1">
        <f>P210+P211+P212</f>
        <v>-632706.918354328</v>
      </c>
      <c r="Q218" s="1">
        <f>Q210+Q211+Q212</f>
        <v>-674501.6888238374</v>
      </c>
      <c r="R218" s="1">
        <f>R210+R211+R212</f>
        <v>-719097.3575354478</v>
      </c>
      <c r="S218" s="1">
        <f>S210+S211+S212</f>
        <v>-766683.750581568</v>
      </c>
      <c r="T218" s="1">
        <f>T210+T211+T212</f>
        <v>-817463.6700418484</v>
      </c>
      <c r="U218" s="1">
        <f>U210+U211+U212</f>
        <v>-871653.7867103273</v>
      </c>
      <c r="V218" s="1">
        <f>V210+V211+V212</f>
        <v>-929485.594533877</v>
      </c>
      <c r="W218" s="1">
        <f>W210+W211+W212</f>
        <v>-991206.4310427664</v>
      </c>
      <c r="X218" s="1">
        <f>X210+X211+X212</f>
        <v>-1057080.568351854</v>
      </c>
      <c r="Y218" s="61"/>
    </row>
    <row r="219" spans="1:25" s="32" customFormat="1" ht="11.25">
      <c r="A219" s="2" t="s">
        <v>18</v>
      </c>
      <c r="B219" s="2">
        <f t="shared" si="51"/>
        <v>1619458.7543396652</v>
      </c>
      <c r="C219" s="1">
        <f>C209+C218</f>
        <v>-1337698.6776</v>
      </c>
      <c r="D219" s="1">
        <f>D209+D218</f>
        <v>-2565918.1777190007</v>
      </c>
      <c r="E219" s="1">
        <f>E209+E218</f>
        <v>1171937.4774810001</v>
      </c>
      <c r="F219" s="1">
        <f>F209+F218</f>
        <v>371423.30320740014</v>
      </c>
      <c r="G219" s="1">
        <f>G209+G218</f>
        <v>560820.3291232844</v>
      </c>
      <c r="H219" s="1">
        <f>H209+H218</f>
        <v>561235.675710657</v>
      </c>
      <c r="I219" s="1">
        <f>I209+I218</f>
        <v>746032.9917132095</v>
      </c>
      <c r="J219" s="1">
        <f>J209+J218</f>
        <v>839609.9075249928</v>
      </c>
      <c r="K219" s="1">
        <f>K209+K218</f>
        <v>1114306.6411008746</v>
      </c>
      <c r="L219" s="1">
        <f>L209+L218</f>
        <v>1144051.9754384973</v>
      </c>
      <c r="M219" s="1">
        <f>M209+M218</f>
        <v>1535719.129646337</v>
      </c>
      <c r="N219" s="1">
        <f>N209+N218</f>
        <v>1634302.7224614753</v>
      </c>
      <c r="O219" s="1">
        <f>O209+O218</f>
        <v>2451272.4687492237</v>
      </c>
      <c r="P219" s="1">
        <f>P209+P218</f>
        <v>828842.3374578427</v>
      </c>
      <c r="Q219" s="1">
        <f>Q209+Q218</f>
        <v>1560413.1842910512</v>
      </c>
      <c r="R219" s="1">
        <f>R209+R218</f>
        <v>954230.3854439066</v>
      </c>
      <c r="S219" s="1">
        <f>S209+S218</f>
        <v>1091404.0092578907</v>
      </c>
      <c r="T219" s="1">
        <f>T209+T218</f>
        <v>1170690.2329863724</v>
      </c>
      <c r="U219" s="1">
        <f>U209+U218</f>
        <v>2037553.2930215758</v>
      </c>
      <c r="V219" s="1">
        <f>V209+V218</f>
        <v>1430956.1429468333</v>
      </c>
      <c r="W219" s="1">
        <f>W209+W218</f>
        <v>1623111.5279449758</v>
      </c>
      <c r="X219" s="1">
        <f>X209+X218</f>
        <v>1740239.6477650306</v>
      </c>
      <c r="Y219" s="61"/>
    </row>
    <row r="220" spans="1:25" s="32" customFormat="1" ht="11.25">
      <c r="A220" s="29" t="s">
        <v>24</v>
      </c>
      <c r="B220" s="17">
        <f>IRR(C219:X219,10%)</f>
        <v>0.2159032951020971</v>
      </c>
      <c r="C220" s="1"/>
      <c r="D220" s="1"/>
      <c r="E220" s="1"/>
      <c r="F220" s="1"/>
      <c r="G220" s="1"/>
      <c r="H220" s="1"/>
      <c r="I220" s="1"/>
      <c r="J220" s="1"/>
      <c r="K220" s="1"/>
      <c r="L220" s="1"/>
      <c r="M220" s="1"/>
      <c r="N220" s="1"/>
      <c r="O220" s="1"/>
      <c r="P220" s="1"/>
      <c r="Q220" s="1"/>
      <c r="R220" s="1"/>
      <c r="S220" s="1"/>
      <c r="T220" s="1"/>
      <c r="U220" s="1"/>
      <c r="V220" s="1"/>
      <c r="W220" s="1"/>
      <c r="X220" s="1"/>
      <c r="Y220" s="61"/>
    </row>
    <row r="221" spans="1:25" s="32" customFormat="1" ht="11.25">
      <c r="A221" s="29" t="s">
        <v>25</v>
      </c>
      <c r="B221" s="17">
        <f>(1+B220)/(1+$B$5)-1</f>
        <v>0.13635821972158602</v>
      </c>
      <c r="C221" s="1"/>
      <c r="D221" s="1"/>
      <c r="E221" s="1"/>
      <c r="F221" s="1"/>
      <c r="G221" s="1"/>
      <c r="H221" s="1"/>
      <c r="I221" s="1"/>
      <c r="J221" s="1"/>
      <c r="K221" s="1"/>
      <c r="L221" s="1"/>
      <c r="M221" s="1"/>
      <c r="N221" s="1"/>
      <c r="O221" s="1"/>
      <c r="P221" s="1"/>
      <c r="Q221" s="1"/>
      <c r="R221" s="1"/>
      <c r="S221" s="1"/>
      <c r="T221" s="1"/>
      <c r="U221" s="1"/>
      <c r="V221" s="1"/>
      <c r="W221" s="1"/>
      <c r="X221" s="1"/>
      <c r="Y221" s="61"/>
    </row>
    <row r="222" spans="1:25" s="32" customFormat="1" ht="11.25">
      <c r="A222" s="29"/>
      <c r="B222" s="17"/>
      <c r="C222" s="1"/>
      <c r="D222" s="1"/>
      <c r="E222" s="1"/>
      <c r="F222" s="1"/>
      <c r="G222" s="1"/>
      <c r="H222" s="1"/>
      <c r="I222" s="1"/>
      <c r="J222" s="1"/>
      <c r="K222" s="1"/>
      <c r="L222" s="1"/>
      <c r="M222" s="1"/>
      <c r="N222" s="1"/>
      <c r="O222" s="1"/>
      <c r="P222" s="1"/>
      <c r="Q222" s="1"/>
      <c r="R222" s="1"/>
      <c r="S222" s="1"/>
      <c r="T222" s="1"/>
      <c r="U222" s="1"/>
      <c r="V222" s="1"/>
      <c r="W222" s="1"/>
      <c r="X222" s="1"/>
      <c r="Y222" s="61"/>
    </row>
    <row r="223" spans="1:25" s="32" customFormat="1" ht="11.25">
      <c r="A223" s="59" t="s">
        <v>120</v>
      </c>
      <c r="B223" s="17"/>
      <c r="C223" s="1"/>
      <c r="D223" s="1"/>
      <c r="E223" s="1"/>
      <c r="F223" s="1"/>
      <c r="G223" s="1"/>
      <c r="H223" s="1"/>
      <c r="I223" s="1"/>
      <c r="J223" s="1"/>
      <c r="K223" s="1"/>
      <c r="L223" s="1"/>
      <c r="M223" s="1"/>
      <c r="N223" s="1"/>
      <c r="O223" s="1"/>
      <c r="P223" s="1"/>
      <c r="Q223" s="1"/>
      <c r="R223" s="1"/>
      <c r="S223" s="1"/>
      <c r="T223" s="1"/>
      <c r="U223" s="1"/>
      <c r="V223" s="1"/>
      <c r="W223" s="1"/>
      <c r="X223" s="1"/>
      <c r="Y223" s="61"/>
    </row>
    <row r="224" spans="1:25" s="32" customFormat="1" ht="11.25">
      <c r="A224" s="49" t="s">
        <v>132</v>
      </c>
      <c r="B224" s="17"/>
      <c r="C224" s="1"/>
      <c r="D224" s="1"/>
      <c r="E224" s="1"/>
      <c r="F224" s="1"/>
      <c r="G224" s="1"/>
      <c r="H224" s="1"/>
      <c r="I224" s="1"/>
      <c r="J224" s="1"/>
      <c r="K224" s="1"/>
      <c r="L224" s="1"/>
      <c r="M224" s="1"/>
      <c r="N224" s="1"/>
      <c r="O224" s="1"/>
      <c r="P224" s="1"/>
      <c r="Q224" s="1"/>
      <c r="R224" s="1"/>
      <c r="S224" s="1"/>
      <c r="T224" s="1"/>
      <c r="U224" s="1"/>
      <c r="V224" s="1"/>
      <c r="W224" s="1"/>
      <c r="X224" s="1"/>
      <c r="Y224" s="61"/>
    </row>
    <row r="225" spans="1:25" s="32" customFormat="1" ht="11.25">
      <c r="A225" s="51" t="s">
        <v>77</v>
      </c>
      <c r="B225" s="17"/>
      <c r="C225" s="1"/>
      <c r="D225" s="1"/>
      <c r="E225" s="1"/>
      <c r="F225" s="1"/>
      <c r="G225" s="1"/>
      <c r="H225" s="1"/>
      <c r="I225" s="1"/>
      <c r="J225" s="1"/>
      <c r="K225" s="1"/>
      <c r="L225" s="1"/>
      <c r="M225" s="1"/>
      <c r="N225" s="1"/>
      <c r="O225" s="1"/>
      <c r="P225" s="1"/>
      <c r="Q225" s="1"/>
      <c r="R225" s="1"/>
      <c r="S225" s="1"/>
      <c r="T225" s="1"/>
      <c r="U225" s="1"/>
      <c r="V225" s="1"/>
      <c r="W225" s="1"/>
      <c r="X225" s="1"/>
      <c r="Y225" s="61"/>
    </row>
    <row r="226" spans="1:25" s="32" customFormat="1" ht="11.25">
      <c r="A226" s="16" t="s">
        <v>96</v>
      </c>
      <c r="B226" s="86">
        <v>0.85</v>
      </c>
      <c r="C226" s="1"/>
      <c r="D226" s="1"/>
      <c r="E226" s="1">
        <f>E$228*$B226</f>
        <v>21479.5</v>
      </c>
      <c r="F226" s="1">
        <f>F$228*$B226</f>
        <v>23269.6</v>
      </c>
      <c r="G226" s="1">
        <f>G$228*$B226</f>
        <v>25953.899999999998</v>
      </c>
      <c r="H226" s="1">
        <f>H$228*$B226</f>
        <v>27744</v>
      </c>
      <c r="I226" s="1">
        <f>I$228*$B226</f>
        <v>31323.35</v>
      </c>
      <c r="J226" s="1">
        <f>J$228*$B226</f>
        <v>34009.35</v>
      </c>
      <c r="K226" s="1">
        <f>K$228*$B226</f>
        <v>37588.7</v>
      </c>
      <c r="L226" s="1">
        <f>L$228*$B226</f>
        <v>42063.95</v>
      </c>
      <c r="M226" s="1">
        <f>M$228*$B226</f>
        <v>45644.15</v>
      </c>
      <c r="N226" s="1">
        <f>N$228*$B226</f>
        <v>50117.7</v>
      </c>
      <c r="O226" s="1">
        <f>O$228*$B226</f>
        <v>54891.299999999996</v>
      </c>
      <c r="P226" s="1">
        <f>P$228*$B226</f>
        <v>54891.299999999996</v>
      </c>
      <c r="Q226" s="1">
        <f>Q$228*$B226</f>
        <v>54891.299999999996</v>
      </c>
      <c r="R226" s="1">
        <f>R$228*$B226</f>
        <v>54891.299999999996</v>
      </c>
      <c r="S226" s="1">
        <f>S$228*$B226</f>
        <v>54891.299999999996</v>
      </c>
      <c r="T226" s="1">
        <f>T$228*$B226</f>
        <v>54891.299999999996</v>
      </c>
      <c r="U226" s="1">
        <f>U$228*$B226</f>
        <v>54891.299999999996</v>
      </c>
      <c r="V226" s="1">
        <f>V$228*$B226</f>
        <v>54891.299999999996</v>
      </c>
      <c r="W226" s="1">
        <f>W$228*$B226</f>
        <v>54891.299999999996</v>
      </c>
      <c r="X226" s="1">
        <f>X$228*$B226</f>
        <v>54891.299999999996</v>
      </c>
      <c r="Y226" s="61"/>
    </row>
    <row r="227" spans="1:25" s="32" customFormat="1" ht="11.25">
      <c r="A227" s="16" t="s">
        <v>97</v>
      </c>
      <c r="B227" s="86">
        <v>0.7</v>
      </c>
      <c r="C227" s="1"/>
      <c r="D227" s="1"/>
      <c r="E227" s="1">
        <f>E$228*$B227</f>
        <v>17689</v>
      </c>
      <c r="F227" s="1">
        <f>F$228*$B227</f>
        <v>19163.199999999997</v>
      </c>
      <c r="G227" s="1">
        <f>G$228*$B227</f>
        <v>21373.8</v>
      </c>
      <c r="H227" s="1">
        <f>H$228*$B227</f>
        <v>22848</v>
      </c>
      <c r="I227" s="1">
        <f>I$228*$B227</f>
        <v>25795.699999999997</v>
      </c>
      <c r="J227" s="1">
        <f>J$228*$B227</f>
        <v>28007.699999999997</v>
      </c>
      <c r="K227" s="1">
        <f>K$228*$B227</f>
        <v>30955.399999999998</v>
      </c>
      <c r="L227" s="1">
        <f>L$228*$B227</f>
        <v>34640.899999999994</v>
      </c>
      <c r="M227" s="1">
        <f>M$228*$B227</f>
        <v>37589.299999999996</v>
      </c>
      <c r="N227" s="1">
        <f>N$228*$B227</f>
        <v>41273.399999999994</v>
      </c>
      <c r="O227" s="1">
        <f>O$228*$B227</f>
        <v>45204.6</v>
      </c>
      <c r="P227" s="1">
        <f>P$228*$B227</f>
        <v>45204.6</v>
      </c>
      <c r="Q227" s="1">
        <f>Q$228*$B227</f>
        <v>45204.6</v>
      </c>
      <c r="R227" s="1">
        <f>R$228*$B227</f>
        <v>45204.6</v>
      </c>
      <c r="S227" s="1">
        <f>S$228*$B227</f>
        <v>45204.6</v>
      </c>
      <c r="T227" s="1">
        <f>T$228*$B227</f>
        <v>45204.6</v>
      </c>
      <c r="U227" s="1">
        <f>U$228*$B227</f>
        <v>45204.6</v>
      </c>
      <c r="V227" s="1">
        <f>V$228*$B227</f>
        <v>45204.6</v>
      </c>
      <c r="W227" s="1">
        <f>W$228*$B227</f>
        <v>45204.6</v>
      </c>
      <c r="X227" s="1">
        <f>X$228*$B227</f>
        <v>45204.6</v>
      </c>
      <c r="Y227" s="61"/>
    </row>
    <row r="228" spans="1:25" s="32" customFormat="1" ht="11.25">
      <c r="A228" s="16" t="s">
        <v>95</v>
      </c>
      <c r="B228" s="87"/>
      <c r="C228" s="1"/>
      <c r="D228" s="1"/>
      <c r="E228" s="42">
        <v>25270</v>
      </c>
      <c r="F228" s="42">
        <v>27376</v>
      </c>
      <c r="G228" s="42">
        <v>30534</v>
      </c>
      <c r="H228" s="42">
        <v>32640</v>
      </c>
      <c r="I228" s="42">
        <v>36851</v>
      </c>
      <c r="J228" s="42">
        <v>40011</v>
      </c>
      <c r="K228" s="42">
        <v>44222</v>
      </c>
      <c r="L228" s="42">
        <v>49487</v>
      </c>
      <c r="M228" s="42">
        <v>53699</v>
      </c>
      <c r="N228" s="42">
        <v>58962</v>
      </c>
      <c r="O228" s="42">
        <v>64578</v>
      </c>
      <c r="P228" s="42">
        <v>64578</v>
      </c>
      <c r="Q228" s="42">
        <v>64578</v>
      </c>
      <c r="R228" s="42">
        <v>64578</v>
      </c>
      <c r="S228" s="42">
        <v>64578</v>
      </c>
      <c r="T228" s="42">
        <v>64578</v>
      </c>
      <c r="U228" s="42">
        <v>64578</v>
      </c>
      <c r="V228" s="42">
        <v>64578</v>
      </c>
      <c r="W228" s="42">
        <v>64578</v>
      </c>
      <c r="X228" s="42">
        <v>64578</v>
      </c>
      <c r="Y228" s="61"/>
    </row>
    <row r="229" spans="1:25" s="32" customFormat="1" ht="11.25">
      <c r="A229" s="51" t="s">
        <v>78</v>
      </c>
      <c r="B229" s="88"/>
      <c r="C229" s="42"/>
      <c r="D229" s="42"/>
      <c r="E229" s="42"/>
      <c r="F229" s="42"/>
      <c r="G229" s="42"/>
      <c r="H229" s="42"/>
      <c r="I229" s="42"/>
      <c r="J229" s="42"/>
      <c r="K229" s="42"/>
      <c r="L229" s="42"/>
      <c r="M229" s="42"/>
      <c r="N229" s="42"/>
      <c r="O229" s="42"/>
      <c r="P229" s="42"/>
      <c r="Q229" s="42"/>
      <c r="R229" s="42"/>
      <c r="S229" s="42"/>
      <c r="T229" s="42"/>
      <c r="U229" s="42"/>
      <c r="V229" s="42"/>
      <c r="W229" s="42"/>
      <c r="X229" s="42"/>
      <c r="Y229" s="61"/>
    </row>
    <row r="230" spans="1:25" s="32" customFormat="1" ht="11.25">
      <c r="A230" s="16" t="s">
        <v>96</v>
      </c>
      <c r="B230" s="89">
        <f>B226</f>
        <v>0.85</v>
      </c>
      <c r="C230" s="42"/>
      <c r="D230" s="42"/>
      <c r="E230" s="1">
        <f>E$232*$B230</f>
        <v>125594.3</v>
      </c>
      <c r="F230" s="1">
        <f>F$232*$B230</f>
        <v>136035.69999999998</v>
      </c>
      <c r="G230" s="1">
        <f>G$232*$B230</f>
        <v>153636.65</v>
      </c>
      <c r="H230" s="1">
        <f>H$232*$B230</f>
        <v>167657.4</v>
      </c>
      <c r="I230" s="1">
        <f>I$232*$B230</f>
        <v>184960.85</v>
      </c>
      <c r="J230" s="1">
        <f>J$232*$B230</f>
        <v>202561.8</v>
      </c>
      <c r="K230" s="1">
        <f>K$232*$B230</f>
        <v>223443.75</v>
      </c>
      <c r="L230" s="1">
        <f>L$232*$B230</f>
        <v>244327.4</v>
      </c>
      <c r="M230" s="1">
        <f>M$232*$B230</f>
        <v>268789.55</v>
      </c>
      <c r="N230" s="1">
        <f>N$232*$B230</f>
        <v>296831.89999999997</v>
      </c>
      <c r="O230" s="1">
        <f>O$232*$B230</f>
        <v>324575.89999999997</v>
      </c>
      <c r="P230" s="1">
        <f>P$232*$B230</f>
        <v>324575.89999999997</v>
      </c>
      <c r="Q230" s="1">
        <f>Q$232*$B230</f>
        <v>324575.89999999997</v>
      </c>
      <c r="R230" s="1">
        <f>R$232*$B230</f>
        <v>324575.89999999997</v>
      </c>
      <c r="S230" s="1">
        <f>S$232*$B230</f>
        <v>324575.89999999997</v>
      </c>
      <c r="T230" s="1">
        <f>T$232*$B230</f>
        <v>324575.89999999997</v>
      </c>
      <c r="U230" s="1">
        <f>U$232*$B230</f>
        <v>324575.89999999997</v>
      </c>
      <c r="V230" s="1">
        <f>V$232*$B230</f>
        <v>324575.89999999997</v>
      </c>
      <c r="W230" s="1">
        <f>W$232*$B230</f>
        <v>324575.89999999997</v>
      </c>
      <c r="X230" s="1">
        <f>X$232*$B230</f>
        <v>324575.89999999997</v>
      </c>
      <c r="Y230" s="61"/>
    </row>
    <row r="231" spans="1:25" s="32" customFormat="1" ht="11.25">
      <c r="A231" s="16" t="s">
        <v>97</v>
      </c>
      <c r="B231" s="89">
        <f>B227</f>
        <v>0.7</v>
      </c>
      <c r="C231" s="42"/>
      <c r="D231" s="42"/>
      <c r="E231" s="1">
        <f>E$232*$B231</f>
        <v>103430.59999999999</v>
      </c>
      <c r="F231" s="1">
        <f>F$232*$B231</f>
        <v>112029.4</v>
      </c>
      <c r="G231" s="1">
        <f>G$232*$B231</f>
        <v>126524.29999999999</v>
      </c>
      <c r="H231" s="1">
        <f>H$232*$B231</f>
        <v>138070.8</v>
      </c>
      <c r="I231" s="1">
        <f>I$232*$B231</f>
        <v>152320.69999999998</v>
      </c>
      <c r="J231" s="1">
        <f>J$232*$B231</f>
        <v>166815.59999999998</v>
      </c>
      <c r="K231" s="1">
        <f>K$232*$B231</f>
        <v>184012.5</v>
      </c>
      <c r="L231" s="1">
        <f>L$232*$B231</f>
        <v>201210.8</v>
      </c>
      <c r="M231" s="1">
        <f>M$232*$B231</f>
        <v>221356.09999999998</v>
      </c>
      <c r="N231" s="1">
        <f>N$232*$B231</f>
        <v>244449.8</v>
      </c>
      <c r="O231" s="1">
        <f>O$232*$B231</f>
        <v>267297.8</v>
      </c>
      <c r="P231" s="1">
        <f>P$232*$B231</f>
        <v>267297.8</v>
      </c>
      <c r="Q231" s="1">
        <f>Q$232*$B231</f>
        <v>267297.8</v>
      </c>
      <c r="R231" s="1">
        <f>R$232*$B231</f>
        <v>267297.8</v>
      </c>
      <c r="S231" s="1">
        <f>S$232*$B231</f>
        <v>267297.8</v>
      </c>
      <c r="T231" s="1">
        <f>T$232*$B231</f>
        <v>267297.8</v>
      </c>
      <c r="U231" s="1">
        <f>U$232*$B231</f>
        <v>267297.8</v>
      </c>
      <c r="V231" s="1">
        <f>V$232*$B231</f>
        <v>267297.8</v>
      </c>
      <c r="W231" s="1">
        <f>W$232*$B231</f>
        <v>267297.8</v>
      </c>
      <c r="X231" s="1">
        <f>X$232*$B231</f>
        <v>267297.8</v>
      </c>
      <c r="Y231" s="61"/>
    </row>
    <row r="232" spans="1:25" s="32" customFormat="1" ht="11.25">
      <c r="A232" s="16" t="s">
        <v>95</v>
      </c>
      <c r="B232" s="88"/>
      <c r="C232" s="42"/>
      <c r="D232" s="42"/>
      <c r="E232" s="42">
        <v>147758</v>
      </c>
      <c r="F232" s="42">
        <v>160042</v>
      </c>
      <c r="G232" s="42">
        <v>180749</v>
      </c>
      <c r="H232" s="42">
        <v>197244</v>
      </c>
      <c r="I232" s="42">
        <v>217601</v>
      </c>
      <c r="J232" s="42">
        <v>238308</v>
      </c>
      <c r="K232" s="42">
        <v>262875</v>
      </c>
      <c r="L232" s="42">
        <v>287444</v>
      </c>
      <c r="M232" s="42">
        <v>316223</v>
      </c>
      <c r="N232" s="42">
        <v>349214</v>
      </c>
      <c r="O232" s="42">
        <v>381854</v>
      </c>
      <c r="P232" s="42">
        <v>381854</v>
      </c>
      <c r="Q232" s="42">
        <v>381854</v>
      </c>
      <c r="R232" s="42">
        <v>381854</v>
      </c>
      <c r="S232" s="42">
        <v>381854</v>
      </c>
      <c r="T232" s="42">
        <v>381854</v>
      </c>
      <c r="U232" s="42">
        <v>381854</v>
      </c>
      <c r="V232" s="42">
        <v>381854</v>
      </c>
      <c r="W232" s="42">
        <v>381854</v>
      </c>
      <c r="X232" s="42">
        <v>381854</v>
      </c>
      <c r="Y232" s="61"/>
    </row>
    <row r="233" spans="1:25" s="32" customFormat="1" ht="11.25">
      <c r="A233" s="50"/>
      <c r="B233" s="88"/>
      <c r="C233" s="42"/>
      <c r="D233" s="42"/>
      <c r="E233" s="42"/>
      <c r="F233" s="42"/>
      <c r="G233" s="42"/>
      <c r="H233" s="42"/>
      <c r="I233" s="42"/>
      <c r="J233" s="42"/>
      <c r="K233" s="42"/>
      <c r="L233" s="42"/>
      <c r="M233" s="42"/>
      <c r="N233" s="42"/>
      <c r="O233" s="42"/>
      <c r="P233" s="42"/>
      <c r="Q233" s="42"/>
      <c r="R233" s="42"/>
      <c r="S233" s="42"/>
      <c r="T233" s="42"/>
      <c r="U233" s="42"/>
      <c r="V233" s="42"/>
      <c r="W233" s="42"/>
      <c r="X233" s="42"/>
      <c r="Y233" s="61"/>
    </row>
    <row r="234" spans="1:25" s="32" customFormat="1" ht="11.25">
      <c r="A234" s="29" t="s">
        <v>98</v>
      </c>
      <c r="B234" s="87">
        <v>3</v>
      </c>
      <c r="C234" s="1"/>
      <c r="D234" s="1"/>
      <c r="E234" s="1"/>
      <c r="F234" s="1"/>
      <c r="G234" s="1"/>
      <c r="H234" s="1"/>
      <c r="I234" s="1"/>
      <c r="J234" s="1"/>
      <c r="K234" s="1"/>
      <c r="L234" s="1"/>
      <c r="M234" s="1"/>
      <c r="N234" s="1"/>
      <c r="O234" s="1"/>
      <c r="P234" s="1"/>
      <c r="Q234" s="1"/>
      <c r="R234" s="1"/>
      <c r="S234" s="1"/>
      <c r="T234" s="1"/>
      <c r="U234" s="1"/>
      <c r="V234" s="1"/>
      <c r="W234" s="1"/>
      <c r="X234" s="1"/>
      <c r="Y234" s="61"/>
    </row>
    <row r="235" spans="1:25" s="32" customFormat="1" ht="11.25">
      <c r="A235" s="29"/>
      <c r="B235" s="17"/>
      <c r="C235" s="1"/>
      <c r="D235" s="1"/>
      <c r="E235" s="1"/>
      <c r="F235" s="1"/>
      <c r="G235" s="1"/>
      <c r="H235" s="1"/>
      <c r="I235" s="1"/>
      <c r="J235" s="1"/>
      <c r="K235" s="1"/>
      <c r="L235" s="1"/>
      <c r="M235" s="1"/>
      <c r="N235" s="1"/>
      <c r="O235" s="1"/>
      <c r="P235" s="1"/>
      <c r="Q235" s="1"/>
      <c r="R235" s="1"/>
      <c r="S235" s="1"/>
      <c r="T235" s="1"/>
      <c r="U235" s="1"/>
      <c r="V235" s="1"/>
      <c r="W235" s="1"/>
      <c r="X235" s="1"/>
      <c r="Y235" s="61"/>
    </row>
    <row r="236" spans="1:25" s="32" customFormat="1" ht="11.25">
      <c r="A236" s="29" t="s">
        <v>99</v>
      </c>
      <c r="B236" s="17"/>
      <c r="C236" s="1"/>
      <c r="D236" s="1"/>
      <c r="E236" s="1"/>
      <c r="F236" s="1"/>
      <c r="G236" s="1"/>
      <c r="H236" s="1"/>
      <c r="I236" s="1"/>
      <c r="J236" s="1"/>
      <c r="K236" s="1"/>
      <c r="L236" s="1"/>
      <c r="M236" s="1"/>
      <c r="N236" s="1"/>
      <c r="O236" s="1"/>
      <c r="P236" s="1"/>
      <c r="Q236" s="1"/>
      <c r="R236" s="1"/>
      <c r="S236" s="1"/>
      <c r="T236" s="1"/>
      <c r="U236" s="1"/>
      <c r="V236" s="1"/>
      <c r="W236" s="1"/>
      <c r="X236" s="1"/>
      <c r="Y236" s="61"/>
    </row>
    <row r="237" spans="1:25" s="32" customFormat="1" ht="11.25">
      <c r="A237" s="29"/>
      <c r="B237" s="60" t="s">
        <v>100</v>
      </c>
      <c r="C237" s="60">
        <v>1</v>
      </c>
      <c r="D237" s="60">
        <v>2</v>
      </c>
      <c r="E237" s="42"/>
      <c r="F237" s="1"/>
      <c r="G237" s="1"/>
      <c r="H237" s="1"/>
      <c r="I237" s="1"/>
      <c r="J237" s="1"/>
      <c r="K237" s="1"/>
      <c r="L237" s="1"/>
      <c r="M237" s="1"/>
      <c r="N237" s="1"/>
      <c r="O237" s="1"/>
      <c r="P237" s="1"/>
      <c r="Q237" s="1"/>
      <c r="R237" s="1"/>
      <c r="S237" s="1"/>
      <c r="T237" s="1"/>
      <c r="U237" s="1"/>
      <c r="V237" s="1"/>
      <c r="W237" s="1"/>
      <c r="X237" s="1"/>
      <c r="Y237" s="61"/>
    </row>
    <row r="238" spans="1:25" s="32" customFormat="1" ht="11.25">
      <c r="A238" s="16" t="str">
        <f>A209</f>
        <v>Doanh thu</v>
      </c>
      <c r="B238" s="42">
        <f>B209</f>
        <v>7260211.965105532</v>
      </c>
      <c r="C238" s="1">
        <f t="dataTable" ref="C238:D250" dt2D="0" dtr="1" r1="B234"/>
        <v>6795203.368699786</v>
      </c>
      <c r="D238" s="1">
        <v>6330194.772294044</v>
      </c>
      <c r="E238" s="1"/>
      <c r="F238" s="1"/>
      <c r="G238" s="1"/>
      <c r="H238" s="1"/>
      <c r="I238" s="1"/>
      <c r="J238" s="1"/>
      <c r="K238" s="1"/>
      <c r="L238" s="1"/>
      <c r="M238" s="1"/>
      <c r="N238" s="1"/>
      <c r="O238" s="1"/>
      <c r="P238" s="1"/>
      <c r="Q238" s="1"/>
      <c r="R238" s="1"/>
      <c r="S238" s="1"/>
      <c r="T238" s="1"/>
      <c r="U238" s="1"/>
      <c r="V238" s="1"/>
      <c r="W238" s="1"/>
      <c r="X238" s="1"/>
      <c r="Y238" s="61"/>
    </row>
    <row r="239" spans="1:25" s="32" customFormat="1" ht="11.25">
      <c r="A239" s="16" t="str">
        <f>A210</f>
        <v>Chi phí hoạt động</v>
      </c>
      <c r="B239" s="42">
        <f>B210</f>
        <v>-2082633.8186288285</v>
      </c>
      <c r="C239" s="1">
        <v>-2082633.8186288285</v>
      </c>
      <c r="D239" s="1">
        <v>-2082633.8186288285</v>
      </c>
      <c r="E239" s="1"/>
      <c r="F239" s="1"/>
      <c r="G239" s="1"/>
      <c r="H239" s="1"/>
      <c r="I239" s="1"/>
      <c r="J239" s="1"/>
      <c r="K239" s="1"/>
      <c r="L239" s="1"/>
      <c r="M239" s="1"/>
      <c r="N239" s="1"/>
      <c r="O239" s="1"/>
      <c r="P239" s="1"/>
      <c r="Q239" s="1"/>
      <c r="R239" s="1"/>
      <c r="S239" s="1"/>
      <c r="T239" s="1"/>
      <c r="U239" s="1"/>
      <c r="V239" s="1"/>
      <c r="W239" s="1"/>
      <c r="X239" s="1"/>
      <c r="Y239" s="61"/>
    </row>
    <row r="240" spans="1:25" s="32" customFormat="1" ht="11.25">
      <c r="A240" s="16" t="str">
        <f>A211</f>
        <v>Thuế thu nhập doanh nghiệp</v>
      </c>
      <c r="B240" s="42">
        <f>B211</f>
        <v>0</v>
      </c>
      <c r="C240" s="1">
        <v>0</v>
      </c>
      <c r="D240" s="1">
        <v>0</v>
      </c>
      <c r="E240" s="1"/>
      <c r="F240" s="1"/>
      <c r="G240" s="1"/>
      <c r="H240" s="1"/>
      <c r="I240" s="1"/>
      <c r="J240" s="1"/>
      <c r="K240" s="1"/>
      <c r="L240" s="1"/>
      <c r="M240" s="1"/>
      <c r="N240" s="1"/>
      <c r="O240" s="1"/>
      <c r="P240" s="1"/>
      <c r="Q240" s="1"/>
      <c r="R240" s="1"/>
      <c r="S240" s="1"/>
      <c r="T240" s="1"/>
      <c r="U240" s="1"/>
      <c r="V240" s="1"/>
      <c r="W240" s="1"/>
      <c r="X240" s="1"/>
      <c r="Y240" s="61"/>
    </row>
    <row r="241" spans="1:25" s="32" customFormat="1" ht="11.25">
      <c r="A241" s="16" t="str">
        <f>A212</f>
        <v>Chi phí đầu tư</v>
      </c>
      <c r="B241" s="42">
        <f>B212</f>
        <v>-3558119.3921370376</v>
      </c>
      <c r="C241" s="1">
        <v>-3558119.3921370376</v>
      </c>
      <c r="D241" s="1">
        <v>-3558119.3921370376</v>
      </c>
      <c r="E241" s="1"/>
      <c r="F241" s="1"/>
      <c r="G241" s="1"/>
      <c r="H241" s="1"/>
      <c r="I241" s="1"/>
      <c r="J241" s="1"/>
      <c r="K241" s="1"/>
      <c r="L241" s="1"/>
      <c r="M241" s="1"/>
      <c r="N241" s="1"/>
      <c r="O241" s="1"/>
      <c r="P241" s="1"/>
      <c r="Q241" s="1"/>
      <c r="R241" s="1"/>
      <c r="S241" s="1"/>
      <c r="T241" s="1"/>
      <c r="U241" s="1"/>
      <c r="V241" s="1"/>
      <c r="W241" s="1"/>
      <c r="X241" s="1"/>
      <c r="Y241" s="61"/>
    </row>
    <row r="242" spans="1:25" s="32" customFormat="1" ht="11.25">
      <c r="A242" s="16" t="str">
        <f>A213</f>
        <v>Trạm và kho bãi</v>
      </c>
      <c r="B242" s="42">
        <f>B213</f>
        <v>-501492.98962962965</v>
      </c>
      <c r="C242" s="1">
        <v>-501492.98962962965</v>
      </c>
      <c r="D242" s="1">
        <v>-501492.98962962965</v>
      </c>
      <c r="E242" s="1"/>
      <c r="F242" s="1"/>
      <c r="G242" s="1"/>
      <c r="H242" s="1"/>
      <c r="I242" s="1"/>
      <c r="J242" s="1"/>
      <c r="K242" s="1"/>
      <c r="L242" s="1"/>
      <c r="M242" s="1"/>
      <c r="N242" s="1"/>
      <c r="O242" s="1"/>
      <c r="P242" s="1"/>
      <c r="Q242" s="1"/>
      <c r="R242" s="1"/>
      <c r="S242" s="1"/>
      <c r="T242" s="1"/>
      <c r="U242" s="1"/>
      <c r="V242" s="1"/>
      <c r="W242" s="1"/>
      <c r="X242" s="1"/>
      <c r="Y242" s="61"/>
    </row>
    <row r="243" spans="1:25" s="32" customFormat="1" ht="11.25">
      <c r="A243" s="16" t="str">
        <f>A214</f>
        <v>Vận chuyển và lắp đặt đường ống</v>
      </c>
      <c r="B243" s="42">
        <f>B214</f>
        <v>-1048086.4063407409</v>
      </c>
      <c r="C243" s="1">
        <v>-1048086.4063407409</v>
      </c>
      <c r="D243" s="1">
        <v>-1048086.4063407409</v>
      </c>
      <c r="E243" s="1"/>
      <c r="F243" s="1"/>
      <c r="G243" s="1"/>
      <c r="H243" s="1"/>
      <c r="I243" s="1"/>
      <c r="J243" s="1"/>
      <c r="K243" s="1"/>
      <c r="L243" s="1"/>
      <c r="M243" s="1"/>
      <c r="N243" s="1"/>
      <c r="O243" s="1"/>
      <c r="P243" s="1"/>
      <c r="Q243" s="1"/>
      <c r="R243" s="1"/>
      <c r="S243" s="1"/>
      <c r="T243" s="1"/>
      <c r="U243" s="1"/>
      <c r="V243" s="1"/>
      <c r="W243" s="1"/>
      <c r="X243" s="1"/>
      <c r="Y243" s="61"/>
    </row>
    <row r="244" spans="1:25" s="32" customFormat="1" ht="11.25">
      <c r="A244" s="16" t="str">
        <f>A215</f>
        <v>Đường ống</v>
      </c>
      <c r="B244" s="42">
        <f>B215</f>
        <v>-1449438.7098333335</v>
      </c>
      <c r="C244" s="1">
        <v>-1449438.7098333335</v>
      </c>
      <c r="D244" s="1">
        <v>-1449438.7098333335</v>
      </c>
      <c r="E244" s="1"/>
      <c r="F244" s="1"/>
      <c r="G244" s="1"/>
      <c r="H244" s="1"/>
      <c r="I244" s="1"/>
      <c r="J244" s="1"/>
      <c r="K244" s="1"/>
      <c r="L244" s="1"/>
      <c r="M244" s="1"/>
      <c r="N244" s="1"/>
      <c r="O244" s="1"/>
      <c r="P244" s="1"/>
      <c r="Q244" s="1"/>
      <c r="R244" s="1"/>
      <c r="S244" s="1"/>
      <c r="T244" s="1"/>
      <c r="U244" s="1"/>
      <c r="V244" s="1"/>
      <c r="W244" s="1"/>
      <c r="X244" s="1"/>
      <c r="Y244" s="61"/>
    </row>
    <row r="245" spans="1:25" s="32" customFormat="1" ht="11.25">
      <c r="A245" s="16" t="str">
        <f aca="true" t="shared" si="54" ref="A245:B250">A216</f>
        <v>Máy bơm</v>
      </c>
      <c r="B245" s="42">
        <f t="shared" si="54"/>
        <v>-489122.09150000004</v>
      </c>
      <c r="C245" s="1">
        <v>-489122.09150000004</v>
      </c>
      <c r="D245" s="1">
        <v>-489122.09150000004</v>
      </c>
      <c r="E245" s="1"/>
      <c r="F245" s="1"/>
      <c r="G245" s="1"/>
      <c r="H245" s="1"/>
      <c r="I245" s="1"/>
      <c r="J245" s="1"/>
      <c r="K245" s="1"/>
      <c r="L245" s="1"/>
      <c r="M245" s="1"/>
      <c r="N245" s="1"/>
      <c r="O245" s="1"/>
      <c r="P245" s="1"/>
      <c r="Q245" s="1"/>
      <c r="R245" s="1"/>
      <c r="S245" s="1"/>
      <c r="T245" s="1"/>
      <c r="U245" s="1"/>
      <c r="V245" s="1"/>
      <c r="W245" s="1"/>
      <c r="X245" s="1"/>
      <c r="Y245" s="61"/>
    </row>
    <row r="246" spans="1:25" s="32" customFormat="1" ht="11.25">
      <c r="A246" s="16" t="str">
        <f t="shared" si="54"/>
        <v>Chi phí tư vấn nước ngoài</v>
      </c>
      <c r="B246" s="42">
        <f t="shared" si="54"/>
        <v>-69979.19483333334</v>
      </c>
      <c r="C246" s="1">
        <v>-69979.19483333334</v>
      </c>
      <c r="D246" s="1">
        <v>-69979.19483333334</v>
      </c>
      <c r="E246" s="1"/>
      <c r="F246" s="1"/>
      <c r="G246" s="1"/>
      <c r="H246" s="1"/>
      <c r="I246" s="1"/>
      <c r="J246" s="1"/>
      <c r="K246" s="1"/>
      <c r="L246" s="1"/>
      <c r="M246" s="1"/>
      <c r="N246" s="1"/>
      <c r="O246" s="1"/>
      <c r="P246" s="1"/>
      <c r="Q246" s="1"/>
      <c r="R246" s="1"/>
      <c r="S246" s="1"/>
      <c r="T246" s="1"/>
      <c r="U246" s="1"/>
      <c r="V246" s="1"/>
      <c r="W246" s="1"/>
      <c r="X246" s="1"/>
      <c r="Y246" s="61"/>
    </row>
    <row r="247" spans="1:25" s="32" customFormat="1" ht="11.25">
      <c r="A247" s="16" t="str">
        <f t="shared" si="54"/>
        <v>Tổng ngân lưu ra</v>
      </c>
      <c r="B247" s="42">
        <f t="shared" si="54"/>
        <v>-5640753.210765866</v>
      </c>
      <c r="C247" s="1">
        <v>-5640753.210765866</v>
      </c>
      <c r="D247" s="1">
        <v>-5640753.210765866</v>
      </c>
      <c r="E247" s="1"/>
      <c r="F247" s="1"/>
      <c r="G247" s="1"/>
      <c r="H247" s="1"/>
      <c r="I247" s="1"/>
      <c r="J247" s="1"/>
      <c r="K247" s="1"/>
      <c r="L247" s="1"/>
      <c r="M247" s="1"/>
      <c r="N247" s="1"/>
      <c r="O247" s="1"/>
      <c r="P247" s="1"/>
      <c r="Q247" s="1"/>
      <c r="R247" s="1"/>
      <c r="S247" s="1"/>
      <c r="T247" s="1"/>
      <c r="U247" s="1"/>
      <c r="V247" s="1"/>
      <c r="W247" s="1"/>
      <c r="X247" s="1"/>
      <c r="Y247" s="61"/>
    </row>
    <row r="248" spans="1:25" s="32" customFormat="1" ht="11.25">
      <c r="A248" s="16" t="str">
        <f t="shared" si="54"/>
        <v>Ngân lưu tự do của dự án</v>
      </c>
      <c r="B248" s="42">
        <f t="shared" si="54"/>
        <v>1619458.7543396652</v>
      </c>
      <c r="C248" s="1">
        <v>1154450.1579339225</v>
      </c>
      <c r="D248" s="1">
        <v>689441.5615281796</v>
      </c>
      <c r="E248" s="1"/>
      <c r="F248" s="1"/>
      <c r="G248" s="1"/>
      <c r="H248" s="1"/>
      <c r="I248" s="1"/>
      <c r="J248" s="1"/>
      <c r="K248" s="1"/>
      <c r="L248" s="1"/>
      <c r="M248" s="1"/>
      <c r="N248" s="1"/>
      <c r="O248" s="1"/>
      <c r="P248" s="1"/>
      <c r="Q248" s="1"/>
      <c r="R248" s="1"/>
      <c r="S248" s="1"/>
      <c r="T248" s="1"/>
      <c r="U248" s="1"/>
      <c r="V248" s="1"/>
      <c r="W248" s="1"/>
      <c r="X248" s="1"/>
      <c r="Y248" s="61"/>
    </row>
    <row r="249" spans="1:25" s="32" customFormat="1" ht="11.25">
      <c r="A249" s="16" t="str">
        <f t="shared" si="54"/>
        <v>IRR danh nghĩa</v>
      </c>
      <c r="B249" s="43">
        <f t="shared" si="54"/>
        <v>0.2159032951020971</v>
      </c>
      <c r="C249" s="11">
        <v>0.20072391596834088</v>
      </c>
      <c r="D249" s="11">
        <v>0.18410821238617625</v>
      </c>
      <c r="E249" s="1"/>
      <c r="F249" s="1"/>
      <c r="G249" s="1"/>
      <c r="H249" s="1"/>
      <c r="I249" s="1"/>
      <c r="J249" s="1"/>
      <c r="K249" s="1"/>
      <c r="L249" s="1"/>
      <c r="M249" s="1"/>
      <c r="N249" s="1"/>
      <c r="O249" s="1"/>
      <c r="P249" s="1"/>
      <c r="Q249" s="1"/>
      <c r="R249" s="1"/>
      <c r="S249" s="1"/>
      <c r="T249" s="1"/>
      <c r="U249" s="1"/>
      <c r="V249" s="1"/>
      <c r="W249" s="1"/>
      <c r="X249" s="1"/>
      <c r="Y249" s="61"/>
    </row>
    <row r="250" spans="1:25" s="32" customFormat="1" ht="11.25">
      <c r="A250" s="16" t="str">
        <f t="shared" si="54"/>
        <v>IRR thực</v>
      </c>
      <c r="B250" s="43">
        <f t="shared" si="54"/>
        <v>0.13635821972158602</v>
      </c>
      <c r="C250" s="11">
        <v>0.12217188408256163</v>
      </c>
      <c r="D250" s="11">
        <v>0.10664318914595916</v>
      </c>
      <c r="E250" s="1"/>
      <c r="F250" s="1"/>
      <c r="G250" s="1"/>
      <c r="H250" s="1"/>
      <c r="I250" s="1"/>
      <c r="J250" s="1"/>
      <c r="K250" s="1"/>
      <c r="L250" s="1"/>
      <c r="M250" s="1"/>
      <c r="N250" s="1"/>
      <c r="O250" s="1"/>
      <c r="P250" s="1"/>
      <c r="Q250" s="1"/>
      <c r="R250" s="1"/>
      <c r="S250" s="1"/>
      <c r="T250" s="1"/>
      <c r="U250" s="1"/>
      <c r="V250" s="1"/>
      <c r="W250" s="1"/>
      <c r="X250" s="1"/>
      <c r="Y250" s="61"/>
    </row>
    <row r="251" spans="1:25" s="32" customFormat="1" ht="11.25">
      <c r="A251" s="16"/>
      <c r="B251" s="43"/>
      <c r="C251" s="1"/>
      <c r="D251" s="1"/>
      <c r="E251" s="1"/>
      <c r="F251" s="1"/>
      <c r="G251" s="1"/>
      <c r="H251" s="1"/>
      <c r="I251" s="1"/>
      <c r="J251" s="1"/>
      <c r="K251" s="1"/>
      <c r="L251" s="1"/>
      <c r="M251" s="1"/>
      <c r="N251" s="1"/>
      <c r="O251" s="1"/>
      <c r="P251" s="1"/>
      <c r="Q251" s="1"/>
      <c r="R251" s="1"/>
      <c r="S251" s="1"/>
      <c r="T251" s="1"/>
      <c r="U251" s="1"/>
      <c r="V251" s="1"/>
      <c r="W251" s="1"/>
      <c r="X251" s="1"/>
      <c r="Y251" s="61"/>
    </row>
    <row r="252" spans="1:25" s="32" customFormat="1" ht="11.25">
      <c r="A252" s="35" t="s">
        <v>106</v>
      </c>
      <c r="B252" s="35">
        <f>B219/1000</f>
        <v>1619.4587543396651</v>
      </c>
      <c r="C252" s="32" t="s">
        <v>107</v>
      </c>
      <c r="D252" s="32" t="str">
        <f>IF(B252&gt;0,"&gt;0","&lt;0")</f>
        <v>&gt;0</v>
      </c>
      <c r="E252" s="42"/>
      <c r="F252" s="42"/>
      <c r="G252" s="42"/>
      <c r="H252" s="42"/>
      <c r="I252" s="42"/>
      <c r="J252" s="42"/>
      <c r="K252" s="42"/>
      <c r="L252" s="42"/>
      <c r="M252" s="42"/>
      <c r="N252" s="42"/>
      <c r="O252" s="42"/>
      <c r="P252" s="42"/>
      <c r="Q252" s="42"/>
      <c r="R252" s="42"/>
      <c r="S252" s="42"/>
      <c r="T252" s="42"/>
      <c r="U252" s="42"/>
      <c r="V252" s="42"/>
      <c r="W252" s="42"/>
      <c r="X252" s="42"/>
      <c r="Y252" s="61"/>
    </row>
    <row r="253" spans="1:25" s="32" customFormat="1" ht="11.25">
      <c r="A253" s="53" t="s">
        <v>108</v>
      </c>
      <c r="B253" s="52">
        <f>B221</f>
        <v>0.13635821972158602</v>
      </c>
      <c r="D253" s="32" t="str">
        <f>IF(B253&gt;B41,"&gt; chi vốn kinh tế","&lt; chi phí vốn kinh tế")</f>
        <v>&gt; chi vốn kinh tế</v>
      </c>
      <c r="E253" s="42"/>
      <c r="F253" s="42"/>
      <c r="G253" s="42"/>
      <c r="H253" s="42"/>
      <c r="I253" s="42"/>
      <c r="J253" s="42"/>
      <c r="K253" s="42"/>
      <c r="L253" s="42"/>
      <c r="M253" s="42"/>
      <c r="N253" s="42"/>
      <c r="O253" s="42"/>
      <c r="P253" s="42"/>
      <c r="Q253" s="42"/>
      <c r="R253" s="42"/>
      <c r="S253" s="42"/>
      <c r="T253" s="42"/>
      <c r="U253" s="42"/>
      <c r="V253" s="42"/>
      <c r="W253" s="42"/>
      <c r="X253" s="42"/>
      <c r="Y253" s="61"/>
    </row>
    <row r="254" spans="1:25" s="32" customFormat="1" ht="11.25">
      <c r="A254" s="38" t="str">
        <f>IF(B252&gt;0,"Vậy, theo mô hình cơ sở, dự án khả thi về mặt kinh tế. Nói một cách khác, dự án làm tăng giá trị kinh tế ròng cho cả nền kinh tế.","Vậy, theo mô hình cơ sở, dự án không khả thi về mặt kinh tế. Nói một cách khác, dự án làm giảm giá trị kinh tế ròng cho cả nền kinh tế.")</f>
        <v>Vậy, theo mô hình cơ sở, dự án khả thi về mặt kinh tế. Nói một cách khác, dự án làm tăng giá trị kinh tế ròng cho cả nền kinh tế.</v>
      </c>
      <c r="E254" s="42"/>
      <c r="F254" s="42"/>
      <c r="G254" s="42"/>
      <c r="H254" s="42"/>
      <c r="I254" s="42"/>
      <c r="J254" s="42"/>
      <c r="K254" s="42"/>
      <c r="L254" s="42"/>
      <c r="M254" s="42"/>
      <c r="N254" s="42"/>
      <c r="O254" s="42"/>
      <c r="P254" s="42"/>
      <c r="Q254" s="42"/>
      <c r="R254" s="42"/>
      <c r="S254" s="42"/>
      <c r="T254" s="42"/>
      <c r="U254" s="42"/>
      <c r="V254" s="42"/>
      <c r="W254" s="42"/>
      <c r="X254" s="42"/>
      <c r="Y254" s="61"/>
    </row>
    <row r="255" spans="1:25" s="32" customFormat="1" ht="11.25">
      <c r="A255" s="33"/>
      <c r="E255" s="42"/>
      <c r="F255" s="42"/>
      <c r="G255" s="42"/>
      <c r="H255" s="42"/>
      <c r="I255" s="42"/>
      <c r="J255" s="42"/>
      <c r="K255" s="42"/>
      <c r="L255" s="42"/>
      <c r="M255" s="42"/>
      <c r="N255" s="42"/>
      <c r="O255" s="42"/>
      <c r="P255" s="42"/>
      <c r="Q255" s="42"/>
      <c r="R255" s="42"/>
      <c r="S255" s="42"/>
      <c r="T255" s="42"/>
      <c r="U255" s="42"/>
      <c r="V255" s="42"/>
      <c r="W255" s="42"/>
      <c r="X255" s="42"/>
      <c r="Y255" s="61"/>
    </row>
    <row r="256" spans="1:34" s="32" customFormat="1" ht="11.25">
      <c r="A256" s="32" t="s">
        <v>157</v>
      </c>
      <c r="Y256" s="65"/>
      <c r="Z256" s="34"/>
      <c r="AA256" s="34"/>
      <c r="AB256" s="34"/>
      <c r="AC256" s="34"/>
      <c r="AD256" s="34"/>
      <c r="AE256" s="34"/>
      <c r="AF256" s="34"/>
      <c r="AG256" s="34"/>
      <c r="AH256" s="34"/>
    </row>
    <row r="257" spans="1:34" s="32" customFormat="1" ht="11.25">
      <c r="A257" s="32" t="s">
        <v>110</v>
      </c>
      <c r="Y257" s="65"/>
      <c r="Z257" s="34"/>
      <c r="AA257" s="34"/>
      <c r="AB257" s="34"/>
      <c r="AC257" s="34"/>
      <c r="AD257" s="34"/>
      <c r="AE257" s="34"/>
      <c r="AF257" s="34"/>
      <c r="AG257" s="34"/>
      <c r="AH257" s="34"/>
    </row>
    <row r="258" spans="1:25" s="32" customFormat="1" ht="11.25">
      <c r="A258" s="32" t="s">
        <v>111</v>
      </c>
      <c r="Y258" s="61"/>
    </row>
    <row r="259" spans="1:25" s="32" customFormat="1" ht="11.25">
      <c r="A259" s="32" t="s">
        <v>112</v>
      </c>
      <c r="Y259" s="61"/>
    </row>
    <row r="260" spans="1:25" s="32" customFormat="1" ht="11.25">
      <c r="A260" s="33"/>
      <c r="Y260" s="61"/>
    </row>
    <row r="261" spans="1:25" s="32" customFormat="1" ht="11.25">
      <c r="A261" s="32" t="s">
        <v>113</v>
      </c>
      <c r="Y261" s="61"/>
    </row>
    <row r="262" spans="1:25" s="32" customFormat="1" ht="11.25">
      <c r="A262" s="33"/>
      <c r="Y262" s="61"/>
    </row>
    <row r="263" spans="1:25" s="32" customFormat="1" ht="11.25">
      <c r="A263" s="32" t="s">
        <v>114</v>
      </c>
      <c r="Y263" s="61"/>
    </row>
    <row r="264" spans="1:25" s="32" customFormat="1" ht="11.25">
      <c r="A264" s="32" t="s">
        <v>115</v>
      </c>
      <c r="Y264" s="61"/>
    </row>
    <row r="265" spans="1:25" s="32" customFormat="1" ht="11.25">
      <c r="A265" s="32" t="s">
        <v>116</v>
      </c>
      <c r="Y265" s="61"/>
    </row>
    <row r="266" s="32" customFormat="1" ht="11.25">
      <c r="Y266" s="61"/>
    </row>
    <row r="267" spans="1:25" s="32" customFormat="1" ht="12" thickBot="1">
      <c r="A267" s="58" t="s">
        <v>130</v>
      </c>
      <c r="Y267" s="61"/>
    </row>
    <row r="268" spans="1:25" s="32" customFormat="1" ht="22.5">
      <c r="A268" s="33" t="s">
        <v>81</v>
      </c>
      <c r="B268" s="73" t="s">
        <v>82</v>
      </c>
      <c r="C268" s="74" t="s">
        <v>83</v>
      </c>
      <c r="D268" s="74"/>
      <c r="E268" s="75" t="s">
        <v>84</v>
      </c>
      <c r="F268" s="47"/>
      <c r="G268" s="81" t="s">
        <v>94</v>
      </c>
      <c r="H268" s="74" t="s">
        <v>85</v>
      </c>
      <c r="I268" s="82" t="s">
        <v>161</v>
      </c>
      <c r="J268" s="75" t="s">
        <v>86</v>
      </c>
      <c r="K268" s="47"/>
      <c r="Y268" s="61"/>
    </row>
    <row r="269" spans="1:25" s="32" customFormat="1" ht="11.25">
      <c r="A269" s="1" t="s">
        <v>33</v>
      </c>
      <c r="B269" s="76">
        <f>B142</f>
        <v>8296642.060239434</v>
      </c>
      <c r="C269" s="32">
        <f>B209</f>
        <v>7260211.965105532</v>
      </c>
      <c r="E269" s="77">
        <f aca="true" t="shared" si="55" ref="E269:E276">C269-B269</f>
        <v>-1036430.0951339025</v>
      </c>
      <c r="G269" s="83">
        <f>E269</f>
        <v>-1036430.0951339025</v>
      </c>
      <c r="J269" s="77"/>
      <c r="Y269" s="61"/>
    </row>
    <row r="270" spans="1:25" s="32" customFormat="1" ht="11.25">
      <c r="A270" s="1" t="s">
        <v>11</v>
      </c>
      <c r="B270" s="76">
        <f>B144</f>
        <v>-2082633.8186288285</v>
      </c>
      <c r="C270" s="32">
        <f>B210</f>
        <v>-2082633.8186288285</v>
      </c>
      <c r="E270" s="77">
        <f t="shared" si="55"/>
        <v>0</v>
      </c>
      <c r="G270" s="83"/>
      <c r="J270" s="77"/>
      <c r="Y270" s="61"/>
    </row>
    <row r="271" spans="1:25" s="32" customFormat="1" ht="11.25">
      <c r="A271" s="1" t="s">
        <v>16</v>
      </c>
      <c r="B271" s="76">
        <f>B145</f>
        <v>-1100445.9509935412</v>
      </c>
      <c r="C271" s="32">
        <f>B211</f>
        <v>0</v>
      </c>
      <c r="E271" s="77">
        <f t="shared" si="55"/>
        <v>1100445.9509935412</v>
      </c>
      <c r="G271" s="83"/>
      <c r="H271" s="32">
        <f>E271</f>
        <v>1100445.9509935412</v>
      </c>
      <c r="J271" s="77"/>
      <c r="Y271" s="61"/>
    </row>
    <row r="272" spans="1:25" s="32" customFormat="1" ht="11.25">
      <c r="A272" s="28" t="s">
        <v>90</v>
      </c>
      <c r="B272" s="76">
        <f>B147</f>
        <v>-501492.98962962965</v>
      </c>
      <c r="C272" s="32">
        <f>B213</f>
        <v>-501492.98962962965</v>
      </c>
      <c r="E272" s="77">
        <f t="shared" si="55"/>
        <v>0</v>
      </c>
      <c r="G272" s="83"/>
      <c r="J272" s="77"/>
      <c r="Y272" s="61"/>
    </row>
    <row r="273" spans="1:25" s="32" customFormat="1" ht="11.25">
      <c r="A273" s="28" t="s">
        <v>91</v>
      </c>
      <c r="B273" s="76">
        <f>B148</f>
        <v>-1278154.154074074</v>
      </c>
      <c r="C273" s="32">
        <f>B214</f>
        <v>-1048086.4063407409</v>
      </c>
      <c r="E273" s="77">
        <f t="shared" si="55"/>
        <v>230067.74773333315</v>
      </c>
      <c r="G273" s="83"/>
      <c r="I273" s="32">
        <f>E273</f>
        <v>230067.74773333315</v>
      </c>
      <c r="J273" s="77"/>
      <c r="Y273" s="61"/>
    </row>
    <row r="274" spans="1:25" s="32" customFormat="1" ht="11.25">
      <c r="A274" s="28" t="s">
        <v>92</v>
      </c>
      <c r="B274" s="76">
        <f>B149</f>
        <v>-1380417.818888889</v>
      </c>
      <c r="C274" s="32">
        <f>B215</f>
        <v>-1449438.7098333335</v>
      </c>
      <c r="E274" s="77">
        <f t="shared" si="55"/>
        <v>-69020.89094444457</v>
      </c>
      <c r="G274" s="83"/>
      <c r="J274" s="77">
        <f>E274</f>
        <v>-69020.89094444457</v>
      </c>
      <c r="Y274" s="61"/>
    </row>
    <row r="275" spans="1:25" s="32" customFormat="1" ht="11.25">
      <c r="A275" s="28" t="s">
        <v>93</v>
      </c>
      <c r="B275" s="76">
        <f>B150</f>
        <v>-465830.56333333335</v>
      </c>
      <c r="C275" s="32">
        <f>B216</f>
        <v>-489122.09150000004</v>
      </c>
      <c r="E275" s="77">
        <f t="shared" si="55"/>
        <v>-23291.528166666685</v>
      </c>
      <c r="G275" s="83"/>
      <c r="J275" s="77">
        <f>E275</f>
        <v>-23291.528166666685</v>
      </c>
      <c r="Y275" s="61"/>
    </row>
    <row r="276" spans="1:25" s="32" customFormat="1" ht="11.25">
      <c r="A276" s="28" t="s">
        <v>44</v>
      </c>
      <c r="B276" s="76">
        <f>B151</f>
        <v>-66646.85222222222</v>
      </c>
      <c r="C276" s="32">
        <f>B217</f>
        <v>-69979.19483333334</v>
      </c>
      <c r="E276" s="77">
        <f t="shared" si="55"/>
        <v>-3332.3426111111185</v>
      </c>
      <c r="G276" s="83"/>
      <c r="J276" s="77">
        <f>E276</f>
        <v>-3332.3426111111185</v>
      </c>
      <c r="Y276" s="61"/>
    </row>
    <row r="277" spans="1:25" s="32" customFormat="1" ht="12" thickBot="1">
      <c r="A277" s="2" t="s">
        <v>21</v>
      </c>
      <c r="B277" s="78">
        <f>SUM(B269:B276)</f>
        <v>1421019.9124689156</v>
      </c>
      <c r="C277" s="79">
        <f>SUM(C269:C276)</f>
        <v>1619458.7543396654</v>
      </c>
      <c r="D277" s="79"/>
      <c r="E277" s="80">
        <f>SUM(E269:E276)</f>
        <v>198438.84187074943</v>
      </c>
      <c r="G277" s="78">
        <f>SUM(G269:G276)</f>
        <v>-1036430.0951339025</v>
      </c>
      <c r="H277" s="79">
        <f>SUM(H269:H276)</f>
        <v>1100445.9509935412</v>
      </c>
      <c r="I277" s="79">
        <f>SUM(I269:I276)</f>
        <v>230067.74773333315</v>
      </c>
      <c r="J277" s="80">
        <f>SUM(J269:J276)</f>
        <v>-95644.76172222238</v>
      </c>
      <c r="Y277" s="61"/>
    </row>
    <row r="278" spans="1:25" s="32" customFormat="1" ht="11.25">
      <c r="A278" s="36"/>
      <c r="B278" s="35"/>
      <c r="Y278" s="61"/>
    </row>
    <row r="279" spans="1:25" s="32" customFormat="1" ht="11.25">
      <c r="A279" s="32" t="s">
        <v>134</v>
      </c>
      <c r="B279" s="37"/>
      <c r="C279" s="37"/>
      <c r="D279" s="37"/>
      <c r="Y279" s="61"/>
    </row>
    <row r="280" spans="1:25" s="32" customFormat="1" ht="11.25">
      <c r="A280" s="32" t="s">
        <v>135</v>
      </c>
      <c r="B280" s="32">
        <f>B277/1000</f>
        <v>1421.0199124689157</v>
      </c>
      <c r="C280" s="32" t="s">
        <v>107</v>
      </c>
      <c r="Y280" s="61"/>
    </row>
    <row r="281" spans="1:25" s="32" customFormat="1" ht="11.25">
      <c r="A281" s="32" t="s">
        <v>162</v>
      </c>
      <c r="B281" s="32">
        <f>G277/1000</f>
        <v>-1036.4300951339026</v>
      </c>
      <c r="C281" s="32" t="s">
        <v>107</v>
      </c>
      <c r="Y281" s="61"/>
    </row>
    <row r="282" spans="1:25" s="32" customFormat="1" ht="11.25">
      <c r="A282" s="35" t="s">
        <v>136</v>
      </c>
      <c r="B282" s="32">
        <f>H277/1000</f>
        <v>1100.4459509935411</v>
      </c>
      <c r="C282" s="32" t="s">
        <v>107</v>
      </c>
      <c r="D282" s="39"/>
      <c r="E282" s="39"/>
      <c r="F282" s="39"/>
      <c r="G282" s="39"/>
      <c r="H282" s="39"/>
      <c r="I282" s="39"/>
      <c r="J282" s="39"/>
      <c r="K282" s="39"/>
      <c r="L282" s="39"/>
      <c r="M282" s="39"/>
      <c r="N282" s="39"/>
      <c r="O282" s="39"/>
      <c r="P282" s="39"/>
      <c r="Q282" s="39"/>
      <c r="R282" s="39"/>
      <c r="S282" s="39"/>
      <c r="T282" s="39"/>
      <c r="U282" s="39"/>
      <c r="V282" s="39"/>
      <c r="W282" s="39"/>
      <c r="X282" s="39"/>
      <c r="Y282" s="61"/>
    </row>
    <row r="283" spans="1:25" s="32" customFormat="1" ht="11.25">
      <c r="A283" s="32" t="s">
        <v>163</v>
      </c>
      <c r="B283" s="32">
        <f>I277/1000</f>
        <v>230.06774773333314</v>
      </c>
      <c r="C283" s="32" t="s">
        <v>107</v>
      </c>
      <c r="D283" s="39"/>
      <c r="E283" s="39"/>
      <c r="F283" s="39"/>
      <c r="G283" s="39"/>
      <c r="H283" s="39"/>
      <c r="I283" s="39"/>
      <c r="J283" s="39"/>
      <c r="K283" s="39"/>
      <c r="L283" s="39"/>
      <c r="M283" s="39"/>
      <c r="N283" s="39"/>
      <c r="O283" s="39"/>
      <c r="P283" s="39"/>
      <c r="Q283" s="39"/>
      <c r="R283" s="39"/>
      <c r="S283" s="39"/>
      <c r="T283" s="39"/>
      <c r="U283" s="39"/>
      <c r="V283" s="39"/>
      <c r="W283" s="39"/>
      <c r="X283" s="39"/>
      <c r="Y283" s="61"/>
    </row>
    <row r="284" spans="1:25" s="32" customFormat="1" ht="11.25">
      <c r="A284" s="35" t="s">
        <v>137</v>
      </c>
      <c r="B284" s="32">
        <f>J277/1000</f>
        <v>-95.64476172222238</v>
      </c>
      <c r="C284" s="32" t="s">
        <v>107</v>
      </c>
      <c r="D284" s="33"/>
      <c r="E284" s="33"/>
      <c r="F284" s="33"/>
      <c r="Y284" s="61"/>
    </row>
    <row r="285" spans="1:25" s="32" customFormat="1" ht="11.25">
      <c r="A285" s="33" t="s">
        <v>138</v>
      </c>
      <c r="B285" s="32">
        <f>SUM(B280:B284)</f>
        <v>1619.458754339665</v>
      </c>
      <c r="C285" s="32" t="s">
        <v>107</v>
      </c>
      <c r="D285" s="40"/>
      <c r="E285" s="33"/>
      <c r="F285" s="33"/>
      <c r="Y285" s="61"/>
    </row>
    <row r="286" spans="2:25" s="32" customFormat="1" ht="11.25">
      <c r="B286" s="41"/>
      <c r="C286" s="41"/>
      <c r="D286" s="41"/>
      <c r="Y286" s="61"/>
    </row>
    <row r="287" spans="1:25" s="32" customFormat="1" ht="11.25">
      <c r="A287" s="32" t="s">
        <v>164</v>
      </c>
      <c r="B287" s="41"/>
      <c r="C287" s="41"/>
      <c r="D287" s="41"/>
      <c r="Y287" s="61"/>
    </row>
    <row r="288" spans="2:25" s="32" customFormat="1" ht="11.25">
      <c r="B288" s="41"/>
      <c r="C288" s="41"/>
      <c r="D288" s="41"/>
      <c r="Y288" s="61"/>
    </row>
    <row r="289" spans="1:25" s="32" customFormat="1" ht="11.25">
      <c r="A289" s="58" t="s">
        <v>131</v>
      </c>
      <c r="B289" s="41"/>
      <c r="C289" s="41"/>
      <c r="D289" s="41"/>
      <c r="Y289" s="61"/>
    </row>
    <row r="290" spans="1:25" s="32" customFormat="1" ht="11.25">
      <c r="A290" s="32" t="s">
        <v>169</v>
      </c>
      <c r="B290" s="41"/>
      <c r="C290" s="41"/>
      <c r="D290" s="41"/>
      <c r="Y290" s="61"/>
    </row>
    <row r="291" spans="1:25" s="32" customFormat="1" ht="11.25">
      <c r="A291" s="32" t="s">
        <v>139</v>
      </c>
      <c r="B291" s="41"/>
      <c r="C291" s="41"/>
      <c r="D291" s="41"/>
      <c r="Y291" s="61"/>
    </row>
    <row r="292" spans="2:25" s="32" customFormat="1" ht="11.25">
      <c r="B292" s="41"/>
      <c r="C292" s="41"/>
      <c r="D292" s="41"/>
      <c r="Y292" s="61"/>
    </row>
    <row r="293" spans="1:25" s="32" customFormat="1" ht="11.25">
      <c r="A293" s="33" t="s">
        <v>173</v>
      </c>
      <c r="Y293" s="61"/>
    </row>
    <row r="294" spans="1:25" s="32" customFormat="1" ht="11.25">
      <c r="A294" s="32" t="s">
        <v>177</v>
      </c>
      <c r="Y294" s="61"/>
    </row>
    <row r="295" spans="1:25" s="32" customFormat="1" ht="11.25">
      <c r="A295" s="32" t="s">
        <v>176</v>
      </c>
      <c r="Y295" s="61"/>
    </row>
    <row r="296" s="32" customFormat="1" ht="11.25">
      <c r="Y296" s="61"/>
    </row>
    <row r="297" spans="1:25" s="32" customFormat="1" ht="11.25">
      <c r="A297" s="58" t="s">
        <v>133</v>
      </c>
      <c r="Y297" s="61"/>
    </row>
    <row r="298" spans="1:25" s="32" customFormat="1" ht="11.25">
      <c r="A298" s="32" t="s">
        <v>174</v>
      </c>
      <c r="Y298" s="61"/>
    </row>
    <row r="299" ht="11.25">
      <c r="A299" s="1" t="s">
        <v>175</v>
      </c>
    </row>
  </sheetData>
  <sheetProtection/>
  <printOptions gridLines="1" headings="1"/>
  <pageMargins left="0.75" right="0.75" top="1" bottom="1" header="0.5" footer="0.5"/>
  <pageSetup fitToHeight="23" fitToWidth="1" horizontalDpi="600" verticalDpi="600" orientation="landscape" paperSize="9" scale="52" r:id="rId1"/>
</worksheet>
</file>

<file path=xl/worksheets/sheet2.xml><?xml version="1.0" encoding="utf-8"?>
<worksheet xmlns="http://schemas.openxmlformats.org/spreadsheetml/2006/main" xmlns:r="http://schemas.openxmlformats.org/officeDocument/2006/relationships">
  <sheetPr>
    <pageSetUpPr fitToPage="1"/>
  </sheetPr>
  <dimension ref="A1:BD293"/>
  <sheetViews>
    <sheetView zoomScalePageLayoutView="0" workbookViewId="0" topLeftCell="A1">
      <pane xSplit="1" ySplit="2" topLeftCell="B89" activePane="bottomRight" state="frozen"/>
      <selection pane="topLeft" activeCell="A1" sqref="A1"/>
      <selection pane="topRight" activeCell="B1" sqref="B1"/>
      <selection pane="bottomLeft" activeCell="A3" sqref="A3"/>
      <selection pane="bottomRight" activeCell="A175" sqref="A175"/>
    </sheetView>
  </sheetViews>
  <sheetFormatPr defaultColWidth="9.140625" defaultRowHeight="12.75"/>
  <cols>
    <col min="1" max="1" width="71.421875" style="1" customWidth="1"/>
    <col min="2" max="2" width="9.57421875" style="1" customWidth="1"/>
    <col min="3" max="3" width="9.00390625" style="1" customWidth="1"/>
    <col min="4" max="13" width="8.57421875" style="1" customWidth="1"/>
    <col min="14" max="24" width="9.140625" style="1" customWidth="1"/>
    <col min="25" max="25" width="1.7109375" style="63" customWidth="1"/>
    <col min="26" max="16384" width="9.140625" style="1" customWidth="1"/>
  </cols>
  <sheetData>
    <row r="1" spans="1:25" s="14" customFormat="1" ht="11.25">
      <c r="A1" s="18" t="s">
        <v>46</v>
      </c>
      <c r="B1" s="23">
        <v>2012</v>
      </c>
      <c r="C1" s="23">
        <f>B1+1</f>
        <v>2013</v>
      </c>
      <c r="D1" s="23">
        <f aca="true" t="shared" si="0" ref="D1:X2">C1+1</f>
        <v>2014</v>
      </c>
      <c r="E1" s="23">
        <f t="shared" si="0"/>
        <v>2015</v>
      </c>
      <c r="F1" s="23">
        <f t="shared" si="0"/>
        <v>2016</v>
      </c>
      <c r="G1" s="23">
        <f t="shared" si="0"/>
        <v>2017</v>
      </c>
      <c r="H1" s="23">
        <f t="shared" si="0"/>
        <v>2018</v>
      </c>
      <c r="I1" s="23">
        <f t="shared" si="0"/>
        <v>2019</v>
      </c>
      <c r="J1" s="23">
        <f t="shared" si="0"/>
        <v>2020</v>
      </c>
      <c r="K1" s="23">
        <f t="shared" si="0"/>
        <v>2021</v>
      </c>
      <c r="L1" s="23">
        <f t="shared" si="0"/>
        <v>2022</v>
      </c>
      <c r="M1" s="23">
        <f t="shared" si="0"/>
        <v>2023</v>
      </c>
      <c r="N1" s="23">
        <f t="shared" si="0"/>
        <v>2024</v>
      </c>
      <c r="O1" s="23">
        <f t="shared" si="0"/>
        <v>2025</v>
      </c>
      <c r="P1" s="23">
        <f t="shared" si="0"/>
        <v>2026</v>
      </c>
      <c r="Q1" s="23">
        <f t="shared" si="0"/>
        <v>2027</v>
      </c>
      <c r="R1" s="23">
        <f t="shared" si="0"/>
        <v>2028</v>
      </c>
      <c r="S1" s="23">
        <f t="shared" si="0"/>
        <v>2029</v>
      </c>
      <c r="T1" s="23">
        <f t="shared" si="0"/>
        <v>2030</v>
      </c>
      <c r="U1" s="23">
        <f t="shared" si="0"/>
        <v>2031</v>
      </c>
      <c r="V1" s="23">
        <f t="shared" si="0"/>
        <v>2032</v>
      </c>
      <c r="W1" s="23">
        <f t="shared" si="0"/>
        <v>2033</v>
      </c>
      <c r="X1" s="23">
        <f t="shared" si="0"/>
        <v>2034</v>
      </c>
      <c r="Y1" s="61"/>
    </row>
    <row r="2" spans="1:25" s="4" customFormat="1" ht="12" thickBot="1">
      <c r="A2" s="21"/>
      <c r="B2" s="4">
        <v>0</v>
      </c>
      <c r="C2" s="22">
        <f>B2+1</f>
        <v>1</v>
      </c>
      <c r="D2" s="22">
        <f t="shared" si="0"/>
        <v>2</v>
      </c>
      <c r="E2" s="22">
        <f t="shared" si="0"/>
        <v>3</v>
      </c>
      <c r="F2" s="22">
        <f t="shared" si="0"/>
        <v>4</v>
      </c>
      <c r="G2" s="22">
        <f t="shared" si="0"/>
        <v>5</v>
      </c>
      <c r="H2" s="22">
        <f t="shared" si="0"/>
        <v>6</v>
      </c>
      <c r="I2" s="22">
        <f t="shared" si="0"/>
        <v>7</v>
      </c>
      <c r="J2" s="22">
        <f t="shared" si="0"/>
        <v>8</v>
      </c>
      <c r="K2" s="22">
        <f t="shared" si="0"/>
        <v>9</v>
      </c>
      <c r="L2" s="22">
        <f t="shared" si="0"/>
        <v>10</v>
      </c>
      <c r="M2" s="22">
        <f t="shared" si="0"/>
        <v>11</v>
      </c>
      <c r="N2" s="22">
        <f t="shared" si="0"/>
        <v>12</v>
      </c>
      <c r="O2" s="22">
        <f t="shared" si="0"/>
        <v>13</v>
      </c>
      <c r="P2" s="22">
        <f t="shared" si="0"/>
        <v>14</v>
      </c>
      <c r="Q2" s="22">
        <f t="shared" si="0"/>
        <v>15</v>
      </c>
      <c r="R2" s="22">
        <f t="shared" si="0"/>
        <v>16</v>
      </c>
      <c r="S2" s="22">
        <f t="shared" si="0"/>
        <v>17</v>
      </c>
      <c r="T2" s="22">
        <f t="shared" si="0"/>
        <v>18</v>
      </c>
      <c r="U2" s="22">
        <f t="shared" si="0"/>
        <v>19</v>
      </c>
      <c r="V2" s="22">
        <f t="shared" si="0"/>
        <v>20</v>
      </c>
      <c r="W2" s="22">
        <f t="shared" si="0"/>
        <v>21</v>
      </c>
      <c r="X2" s="22">
        <f t="shared" si="0"/>
        <v>22</v>
      </c>
      <c r="Y2" s="62"/>
    </row>
    <row r="3" spans="1:25" s="14" customFormat="1" ht="12" thickTop="1">
      <c r="A3" s="54" t="s">
        <v>170</v>
      </c>
      <c r="B3" s="18"/>
      <c r="C3" s="23"/>
      <c r="D3" s="23"/>
      <c r="E3" s="23"/>
      <c r="F3" s="23"/>
      <c r="G3" s="23"/>
      <c r="H3" s="23"/>
      <c r="I3" s="23"/>
      <c r="J3" s="23"/>
      <c r="K3" s="23"/>
      <c r="L3" s="23"/>
      <c r="M3" s="23"/>
      <c r="N3" s="23"/>
      <c r="O3" s="23"/>
      <c r="P3" s="23"/>
      <c r="Q3" s="23"/>
      <c r="R3" s="23"/>
      <c r="S3" s="23"/>
      <c r="T3" s="23"/>
      <c r="U3" s="23"/>
      <c r="V3" s="23"/>
      <c r="W3" s="23"/>
      <c r="X3" s="23"/>
      <c r="Y3" s="61"/>
    </row>
    <row r="4" spans="1:25" s="14" customFormat="1" ht="11.25">
      <c r="A4" s="54"/>
      <c r="B4" s="18"/>
      <c r="C4" s="23"/>
      <c r="D4" s="23"/>
      <c r="E4" s="23"/>
      <c r="F4" s="23"/>
      <c r="G4" s="23"/>
      <c r="H4" s="23"/>
      <c r="I4" s="23"/>
      <c r="J4" s="23"/>
      <c r="K4" s="23"/>
      <c r="L4" s="23"/>
      <c r="M4" s="23"/>
      <c r="N4" s="23"/>
      <c r="O4" s="23"/>
      <c r="P4" s="23"/>
      <c r="Q4" s="23"/>
      <c r="R4" s="23"/>
      <c r="S4" s="23"/>
      <c r="T4" s="23"/>
      <c r="U4" s="23"/>
      <c r="V4" s="23"/>
      <c r="W4" s="23"/>
      <c r="X4" s="23"/>
      <c r="Y4" s="61"/>
    </row>
    <row r="5" spans="1:24" ht="11.25">
      <c r="A5" s="1" t="s">
        <v>0</v>
      </c>
      <c r="B5" s="11">
        <v>0.07</v>
      </c>
      <c r="C5" s="11">
        <f>$B$5</f>
        <v>0.07</v>
      </c>
      <c r="D5" s="11">
        <f aca="true" t="shared" si="1" ref="D5:X5">$B$5</f>
        <v>0.07</v>
      </c>
      <c r="E5" s="11">
        <f t="shared" si="1"/>
        <v>0.07</v>
      </c>
      <c r="F5" s="11">
        <f t="shared" si="1"/>
        <v>0.07</v>
      </c>
      <c r="G5" s="11">
        <f t="shared" si="1"/>
        <v>0.07</v>
      </c>
      <c r="H5" s="11">
        <f t="shared" si="1"/>
        <v>0.07</v>
      </c>
      <c r="I5" s="11">
        <f t="shared" si="1"/>
        <v>0.07</v>
      </c>
      <c r="J5" s="11">
        <f t="shared" si="1"/>
        <v>0.07</v>
      </c>
      <c r="K5" s="11">
        <f t="shared" si="1"/>
        <v>0.07</v>
      </c>
      <c r="L5" s="11">
        <f t="shared" si="1"/>
        <v>0.07</v>
      </c>
      <c r="M5" s="11">
        <f t="shared" si="1"/>
        <v>0.07</v>
      </c>
      <c r="N5" s="11">
        <f t="shared" si="1"/>
        <v>0.07</v>
      </c>
      <c r="O5" s="11">
        <f t="shared" si="1"/>
        <v>0.07</v>
      </c>
      <c r="P5" s="11">
        <f t="shared" si="1"/>
        <v>0.07</v>
      </c>
      <c r="Q5" s="11">
        <f t="shared" si="1"/>
        <v>0.07</v>
      </c>
      <c r="R5" s="11">
        <f t="shared" si="1"/>
        <v>0.07</v>
      </c>
      <c r="S5" s="11">
        <f t="shared" si="1"/>
        <v>0.07</v>
      </c>
      <c r="T5" s="11">
        <f t="shared" si="1"/>
        <v>0.07</v>
      </c>
      <c r="U5" s="11">
        <f t="shared" si="1"/>
        <v>0.07</v>
      </c>
      <c r="V5" s="11">
        <f t="shared" si="1"/>
        <v>0.07</v>
      </c>
      <c r="W5" s="11">
        <f t="shared" si="1"/>
        <v>0.07</v>
      </c>
      <c r="X5" s="11">
        <f t="shared" si="1"/>
        <v>0.07</v>
      </c>
    </row>
    <row r="6" spans="1:24" ht="11.25">
      <c r="A6" s="1" t="s">
        <v>1</v>
      </c>
      <c r="B6" s="11">
        <v>0.03</v>
      </c>
      <c r="C6" s="11">
        <f>$B$6</f>
        <v>0.03</v>
      </c>
      <c r="D6" s="11">
        <f aca="true" t="shared" si="2" ref="D6:X6">$B$6</f>
        <v>0.03</v>
      </c>
      <c r="E6" s="11">
        <f t="shared" si="2"/>
        <v>0.03</v>
      </c>
      <c r="F6" s="11">
        <f t="shared" si="2"/>
        <v>0.03</v>
      </c>
      <c r="G6" s="11">
        <f t="shared" si="2"/>
        <v>0.03</v>
      </c>
      <c r="H6" s="11">
        <f t="shared" si="2"/>
        <v>0.03</v>
      </c>
      <c r="I6" s="11">
        <f t="shared" si="2"/>
        <v>0.03</v>
      </c>
      <c r="J6" s="11">
        <f t="shared" si="2"/>
        <v>0.03</v>
      </c>
      <c r="K6" s="11">
        <f t="shared" si="2"/>
        <v>0.03</v>
      </c>
      <c r="L6" s="11">
        <f t="shared" si="2"/>
        <v>0.03</v>
      </c>
      <c r="M6" s="11">
        <f t="shared" si="2"/>
        <v>0.03</v>
      </c>
      <c r="N6" s="11">
        <f t="shared" si="2"/>
        <v>0.03</v>
      </c>
      <c r="O6" s="11">
        <f t="shared" si="2"/>
        <v>0.03</v>
      </c>
      <c r="P6" s="11">
        <f t="shared" si="2"/>
        <v>0.03</v>
      </c>
      <c r="Q6" s="11">
        <f t="shared" si="2"/>
        <v>0.03</v>
      </c>
      <c r="R6" s="11">
        <f t="shared" si="2"/>
        <v>0.03</v>
      </c>
      <c r="S6" s="11">
        <f t="shared" si="2"/>
        <v>0.03</v>
      </c>
      <c r="T6" s="11">
        <f t="shared" si="2"/>
        <v>0.03</v>
      </c>
      <c r="U6" s="11">
        <f t="shared" si="2"/>
        <v>0.03</v>
      </c>
      <c r="V6" s="11">
        <f t="shared" si="2"/>
        <v>0.03</v>
      </c>
      <c r="W6" s="11">
        <f t="shared" si="2"/>
        <v>0.03</v>
      </c>
      <c r="X6" s="11">
        <f t="shared" si="2"/>
        <v>0.03</v>
      </c>
    </row>
    <row r="7" spans="1:2" ht="11.25">
      <c r="A7" s="1" t="s">
        <v>57</v>
      </c>
      <c r="B7" s="1">
        <v>21000</v>
      </c>
    </row>
    <row r="9" ht="11.25">
      <c r="A9" s="2" t="s">
        <v>172</v>
      </c>
    </row>
    <row r="10" spans="1:4" ht="11.25">
      <c r="A10" s="1" t="s">
        <v>55</v>
      </c>
      <c r="C10" s="1">
        <v>264123</v>
      </c>
      <c r="D10" s="1">
        <v>220927</v>
      </c>
    </row>
    <row r="11" spans="1:4" ht="11.25">
      <c r="A11" s="1" t="s">
        <v>51</v>
      </c>
      <c r="C11" s="1">
        <v>432594</v>
      </c>
      <c r="D11" s="1">
        <v>822898</v>
      </c>
    </row>
    <row r="12" spans="1:4" ht="11.25">
      <c r="A12" s="1" t="s">
        <v>49</v>
      </c>
      <c r="C12" s="1">
        <v>19269</v>
      </c>
      <c r="D12" s="1">
        <v>45538</v>
      </c>
    </row>
    <row r="13" spans="1:4" ht="11.25">
      <c r="A13" s="1" t="s">
        <v>54</v>
      </c>
      <c r="C13" s="1">
        <v>8059</v>
      </c>
      <c r="D13" s="1">
        <v>13686</v>
      </c>
    </row>
    <row r="14" spans="1:4" ht="11.25">
      <c r="A14" s="1" t="s">
        <v>79</v>
      </c>
      <c r="C14" s="1">
        <v>1304</v>
      </c>
      <c r="D14" s="1">
        <v>1795</v>
      </c>
    </row>
    <row r="15" ht="11.25">
      <c r="G15" s="12"/>
    </row>
    <row r="16" spans="1:2" ht="11.25">
      <c r="A16" s="1" t="s">
        <v>140</v>
      </c>
      <c r="B16" s="1">
        <v>20</v>
      </c>
    </row>
    <row r="18" spans="1:2" ht="11.25">
      <c r="A18" s="1" t="s">
        <v>58</v>
      </c>
      <c r="B18" s="1">
        <v>2300000</v>
      </c>
    </row>
    <row r="19" spans="1:2" ht="11.25">
      <c r="A19" s="1" t="s">
        <v>23</v>
      </c>
      <c r="B19" s="11">
        <f>(1+11.5%)/(1+7%)-1</f>
        <v>0.04205607476635498</v>
      </c>
    </row>
    <row r="20" spans="1:3" ht="11.25">
      <c r="A20" s="1" t="s">
        <v>59</v>
      </c>
      <c r="B20" s="11">
        <f>(1+B19)*(1+C5)-1</f>
        <v>0.11499999999999999</v>
      </c>
      <c r="C20" s="5"/>
    </row>
    <row r="21" spans="1:3" ht="11.25">
      <c r="A21" s="1" t="s">
        <v>60</v>
      </c>
      <c r="B21" s="1">
        <v>10</v>
      </c>
      <c r="C21" s="1" t="s">
        <v>3</v>
      </c>
    </row>
    <row r="22" ht="11.25">
      <c r="A22" s="84" t="s">
        <v>178</v>
      </c>
    </row>
    <row r="24" spans="1:24" ht="11.25">
      <c r="A24" s="1" t="s">
        <v>62</v>
      </c>
      <c r="D24" s="10"/>
      <c r="E24" s="10">
        <v>1.8</v>
      </c>
      <c r="F24" s="10">
        <v>2</v>
      </c>
      <c r="G24" s="10">
        <v>2.2</v>
      </c>
      <c r="H24" s="10">
        <v>2.4</v>
      </c>
      <c r="I24" s="10">
        <v>2.65</v>
      </c>
      <c r="J24" s="10">
        <v>2.9</v>
      </c>
      <c r="K24" s="10">
        <v>3.2</v>
      </c>
      <c r="L24" s="10">
        <v>3.5</v>
      </c>
      <c r="M24" s="10">
        <v>3.5</v>
      </c>
      <c r="N24" s="10">
        <v>3.5</v>
      </c>
      <c r="O24" s="10">
        <v>3.5</v>
      </c>
      <c r="P24" s="10">
        <v>3.5</v>
      </c>
      <c r="Q24" s="10">
        <v>3.5</v>
      </c>
      <c r="R24" s="10">
        <v>3.5</v>
      </c>
      <c r="S24" s="10">
        <v>3.5</v>
      </c>
      <c r="T24" s="10">
        <v>3.5</v>
      </c>
      <c r="U24" s="10">
        <v>3.5</v>
      </c>
      <c r="V24" s="10">
        <v>3.5</v>
      </c>
      <c r="W24" s="10">
        <v>3.5</v>
      </c>
      <c r="X24" s="10">
        <v>3.5</v>
      </c>
    </row>
    <row r="25" spans="4:24" ht="11.25">
      <c r="D25" s="10"/>
      <c r="E25" s="10"/>
      <c r="F25" s="10"/>
      <c r="G25" s="10"/>
      <c r="H25" s="10"/>
      <c r="I25" s="10"/>
      <c r="J25" s="10"/>
      <c r="K25" s="10"/>
      <c r="L25" s="10"/>
      <c r="M25" s="10"/>
      <c r="N25" s="10"/>
      <c r="O25" s="10"/>
      <c r="P25" s="10"/>
      <c r="Q25" s="10"/>
      <c r="R25" s="10"/>
      <c r="S25" s="10"/>
      <c r="T25" s="10"/>
      <c r="U25" s="10"/>
      <c r="V25" s="10"/>
      <c r="W25" s="10"/>
      <c r="X25" s="10"/>
    </row>
    <row r="26" spans="1:24" ht="11.25">
      <c r="A26" s="1" t="s">
        <v>141</v>
      </c>
      <c r="B26" s="70">
        <v>360000</v>
      </c>
      <c r="G26" s="10"/>
      <c r="H26" s="10"/>
      <c r="I26" s="10"/>
      <c r="J26" s="10"/>
      <c r="K26" s="10"/>
      <c r="L26" s="10"/>
      <c r="M26" s="10"/>
      <c r="N26" s="10"/>
      <c r="O26" s="10"/>
      <c r="P26" s="10"/>
      <c r="Q26" s="10"/>
      <c r="R26" s="10"/>
      <c r="S26" s="10"/>
      <c r="T26" s="10"/>
      <c r="U26" s="10"/>
      <c r="V26" s="10"/>
      <c r="W26" s="10"/>
      <c r="X26" s="10"/>
    </row>
    <row r="27" spans="1:24" ht="11.25">
      <c r="A27" s="1" t="s">
        <v>63</v>
      </c>
      <c r="B27" s="3">
        <v>0.05</v>
      </c>
      <c r="G27" s="10"/>
      <c r="H27" s="10"/>
      <c r="I27" s="10"/>
      <c r="J27" s="10"/>
      <c r="K27" s="10"/>
      <c r="L27" s="10"/>
      <c r="M27" s="10"/>
      <c r="N27" s="10"/>
      <c r="O27" s="10"/>
      <c r="P27" s="10"/>
      <c r="Q27" s="10"/>
      <c r="R27" s="10"/>
      <c r="S27" s="10"/>
      <c r="T27" s="10"/>
      <c r="U27" s="10"/>
      <c r="V27" s="10"/>
      <c r="W27" s="10"/>
      <c r="X27" s="10"/>
    </row>
    <row r="29" spans="1:2" ht="11.25">
      <c r="A29" s="66" t="s">
        <v>142</v>
      </c>
      <c r="B29" s="14">
        <v>43000</v>
      </c>
    </row>
    <row r="30" spans="1:2" ht="11.25">
      <c r="A30" s="68" t="s">
        <v>154</v>
      </c>
      <c r="B30" s="14">
        <v>46500</v>
      </c>
    </row>
    <row r="31" spans="1:2" ht="11.25">
      <c r="A31" s="26" t="s">
        <v>65</v>
      </c>
      <c r="B31" s="3">
        <v>0.05</v>
      </c>
    </row>
    <row r="32" ht="11.25">
      <c r="A32" s="25"/>
    </row>
    <row r="33" spans="1:2" ht="11.25">
      <c r="A33" s="1" t="s">
        <v>67</v>
      </c>
      <c r="B33" s="3">
        <v>0.1</v>
      </c>
    </row>
    <row r="34" spans="1:2" ht="11.25">
      <c r="A34" s="1" t="s">
        <v>16</v>
      </c>
      <c r="B34" s="3">
        <v>0.25</v>
      </c>
    </row>
    <row r="35" spans="1:2" ht="11.25">
      <c r="A35" s="15"/>
      <c r="B35" s="3"/>
    </row>
    <row r="36" spans="1:2" ht="11.25">
      <c r="A36" s="28" t="s">
        <v>71</v>
      </c>
      <c r="B36" s="3"/>
    </row>
    <row r="37" spans="1:2" ht="11.25">
      <c r="A37" s="15" t="s">
        <v>156</v>
      </c>
      <c r="B37" s="13">
        <v>0.08</v>
      </c>
    </row>
    <row r="38" spans="1:2" ht="11.25">
      <c r="A38" s="15" t="s">
        <v>72</v>
      </c>
      <c r="B38" s="13">
        <f>(1+B37)*(1+$C$5)-1</f>
        <v>0.15560000000000018</v>
      </c>
    </row>
    <row r="39" spans="1:2" ht="11.25">
      <c r="A39" s="15" t="s">
        <v>73</v>
      </c>
      <c r="B39" s="13">
        <v>0.13</v>
      </c>
    </row>
    <row r="40" spans="1:2" ht="11.25">
      <c r="A40" s="15" t="s">
        <v>74</v>
      </c>
      <c r="B40" s="13">
        <f>(1+B39)*(1+$C$5)-1</f>
        <v>0.20910000000000006</v>
      </c>
    </row>
    <row r="41" spans="1:2" ht="11.25">
      <c r="A41" s="15" t="s">
        <v>155</v>
      </c>
      <c r="B41" s="13">
        <v>0.08</v>
      </c>
    </row>
    <row r="42" spans="1:2" ht="11.25">
      <c r="A42" s="28" t="s">
        <v>144</v>
      </c>
      <c r="B42" s="67">
        <v>1.05</v>
      </c>
    </row>
    <row r="43" spans="1:2" ht="11.25">
      <c r="A43" s="28" t="s">
        <v>159</v>
      </c>
      <c r="B43" s="67">
        <v>0.7</v>
      </c>
    </row>
    <row r="44" spans="1:2" ht="11.25">
      <c r="A44" s="28" t="s">
        <v>160</v>
      </c>
      <c r="B44" s="67">
        <v>0.6</v>
      </c>
    </row>
    <row r="45" spans="1:2" ht="11.25">
      <c r="A45" s="15"/>
      <c r="B45" s="3"/>
    </row>
    <row r="46" spans="1:24" ht="11.25">
      <c r="A46" s="18" t="s">
        <v>171</v>
      </c>
      <c r="B46" s="14"/>
      <c r="C46" s="14"/>
      <c r="D46" s="14"/>
      <c r="E46" s="14"/>
      <c r="F46" s="14"/>
      <c r="G46" s="14"/>
      <c r="H46" s="14"/>
      <c r="I46" s="14"/>
      <c r="J46" s="14"/>
      <c r="K46" s="14"/>
      <c r="L46" s="14"/>
      <c r="M46" s="14"/>
      <c r="N46" s="14"/>
      <c r="O46" s="14"/>
      <c r="P46" s="14"/>
      <c r="Q46" s="14"/>
      <c r="R46" s="14"/>
      <c r="S46" s="14"/>
      <c r="T46" s="14"/>
      <c r="U46" s="14"/>
      <c r="V46" s="14"/>
      <c r="W46" s="14"/>
      <c r="X46" s="14"/>
    </row>
    <row r="47" spans="1:24" ht="11.25">
      <c r="A47" s="14" t="s">
        <v>76</v>
      </c>
      <c r="B47" s="42"/>
      <c r="C47" s="42"/>
      <c r="D47" s="42"/>
      <c r="E47" s="42">
        <v>340088</v>
      </c>
      <c r="F47" s="42">
        <v>146705</v>
      </c>
      <c r="G47" s="42">
        <v>197595</v>
      </c>
      <c r="H47" s="42">
        <v>183907</v>
      </c>
      <c r="I47" s="42">
        <v>234798</v>
      </c>
      <c r="J47" s="42">
        <v>242871</v>
      </c>
      <c r="K47" s="42">
        <v>318328</v>
      </c>
      <c r="L47" s="42">
        <v>273405</v>
      </c>
      <c r="M47" s="42">
        <v>234096</v>
      </c>
      <c r="N47" s="42">
        <v>280775</v>
      </c>
      <c r="O47" s="42">
        <v>280775</v>
      </c>
      <c r="P47" s="42">
        <v>21760</v>
      </c>
      <c r="Q47" s="42">
        <v>21760</v>
      </c>
      <c r="R47" s="42">
        <v>21760</v>
      </c>
      <c r="S47" s="42">
        <v>43169</v>
      </c>
      <c r="T47" s="42">
        <v>43169</v>
      </c>
      <c r="U47" s="42">
        <v>64929</v>
      </c>
      <c r="V47" s="42">
        <v>64929</v>
      </c>
      <c r="W47" s="42">
        <v>86338</v>
      </c>
      <c r="X47" s="42">
        <v>86338</v>
      </c>
    </row>
    <row r="48" spans="1:24" ht="11.25">
      <c r="A48" s="14" t="s">
        <v>75</v>
      </c>
      <c r="B48" s="43"/>
      <c r="C48" s="43"/>
      <c r="D48" s="43"/>
      <c r="E48" s="42">
        <v>559445</v>
      </c>
      <c r="F48" s="42">
        <v>73001</v>
      </c>
      <c r="G48" s="42">
        <v>121786</v>
      </c>
      <c r="H48" s="42">
        <v>97219</v>
      </c>
      <c r="I48" s="42">
        <v>121786</v>
      </c>
      <c r="J48" s="42">
        <v>121786</v>
      </c>
      <c r="K48" s="42">
        <v>146003</v>
      </c>
      <c r="L48" s="42">
        <v>146003</v>
      </c>
      <c r="M48" s="42">
        <v>292007</v>
      </c>
      <c r="N48" s="42">
        <v>194437</v>
      </c>
      <c r="O48" s="42">
        <v>437658</v>
      </c>
      <c r="P48" s="42">
        <v>0</v>
      </c>
      <c r="Q48" s="42">
        <v>243222</v>
      </c>
      <c r="R48" s="42">
        <v>0</v>
      </c>
      <c r="S48" s="42">
        <v>0</v>
      </c>
      <c r="T48" s="42">
        <v>0</v>
      </c>
      <c r="U48" s="42">
        <v>194437</v>
      </c>
      <c r="V48" s="42">
        <v>0</v>
      </c>
      <c r="W48" s="42">
        <v>0</v>
      </c>
      <c r="X48" s="42">
        <v>0</v>
      </c>
    </row>
    <row r="49" spans="1:24" ht="11.25">
      <c r="A49" s="14" t="s">
        <v>77</v>
      </c>
      <c r="B49" s="43"/>
      <c r="C49" s="43"/>
      <c r="D49" s="43"/>
      <c r="E49" s="42">
        <v>25270</v>
      </c>
      <c r="F49" s="42">
        <v>27376</v>
      </c>
      <c r="G49" s="42">
        <v>30534</v>
      </c>
      <c r="H49" s="42">
        <v>32640</v>
      </c>
      <c r="I49" s="42">
        <v>36851</v>
      </c>
      <c r="J49" s="42">
        <v>40011</v>
      </c>
      <c r="K49" s="42">
        <v>44222</v>
      </c>
      <c r="L49" s="42">
        <v>49487</v>
      </c>
      <c r="M49" s="42">
        <v>53699</v>
      </c>
      <c r="N49" s="42">
        <v>58962</v>
      </c>
      <c r="O49" s="42">
        <v>64578</v>
      </c>
      <c r="P49" s="42">
        <v>64578</v>
      </c>
      <c r="Q49" s="42">
        <v>64578</v>
      </c>
      <c r="R49" s="42">
        <v>64578</v>
      </c>
      <c r="S49" s="42">
        <v>64578</v>
      </c>
      <c r="T49" s="42">
        <v>64578</v>
      </c>
      <c r="U49" s="42">
        <v>64578</v>
      </c>
      <c r="V49" s="42">
        <v>64578</v>
      </c>
      <c r="W49" s="42">
        <v>64578</v>
      </c>
      <c r="X49" s="42">
        <v>64578</v>
      </c>
    </row>
    <row r="50" spans="1:24" ht="11.25">
      <c r="A50" s="14" t="s">
        <v>78</v>
      </c>
      <c r="B50" s="42"/>
      <c r="C50" s="42"/>
      <c r="D50" s="42"/>
      <c r="E50" s="42">
        <v>147758</v>
      </c>
      <c r="F50" s="42">
        <v>160042</v>
      </c>
      <c r="G50" s="42">
        <v>180749</v>
      </c>
      <c r="H50" s="42">
        <v>197244</v>
      </c>
      <c r="I50" s="42">
        <v>217601</v>
      </c>
      <c r="J50" s="42">
        <v>238308</v>
      </c>
      <c r="K50" s="42">
        <v>262875</v>
      </c>
      <c r="L50" s="42">
        <v>287444</v>
      </c>
      <c r="M50" s="42">
        <v>316223</v>
      </c>
      <c r="N50" s="42">
        <v>349214</v>
      </c>
      <c r="O50" s="42">
        <v>381854</v>
      </c>
      <c r="P50" s="42">
        <v>381854</v>
      </c>
      <c r="Q50" s="42">
        <v>381854</v>
      </c>
      <c r="R50" s="42">
        <v>381854</v>
      </c>
      <c r="S50" s="42">
        <v>381854</v>
      </c>
      <c r="T50" s="42">
        <v>381854</v>
      </c>
      <c r="U50" s="42">
        <v>381854</v>
      </c>
      <c r="V50" s="42">
        <v>381854</v>
      </c>
      <c r="W50" s="42">
        <v>381854</v>
      </c>
      <c r="X50" s="42">
        <v>381854</v>
      </c>
    </row>
    <row r="51" spans="1:55" ht="11.25">
      <c r="A51" s="14" t="s">
        <v>79</v>
      </c>
      <c r="B51" s="43"/>
      <c r="C51" s="43"/>
      <c r="D51" s="43"/>
      <c r="E51" s="42">
        <v>38606</v>
      </c>
      <c r="F51" s="42">
        <v>42116</v>
      </c>
      <c r="G51" s="42">
        <v>46328</v>
      </c>
      <c r="H51" s="42">
        <v>51241</v>
      </c>
      <c r="I51" s="42">
        <v>55804</v>
      </c>
      <c r="J51" s="42">
        <v>61771</v>
      </c>
      <c r="K51" s="42">
        <v>67385</v>
      </c>
      <c r="L51" s="42">
        <v>74406</v>
      </c>
      <c r="M51" s="42">
        <v>81776</v>
      </c>
      <c r="N51" s="42">
        <v>89497</v>
      </c>
      <c r="O51" s="42">
        <v>98622</v>
      </c>
      <c r="P51" s="42">
        <v>98622</v>
      </c>
      <c r="Q51" s="42">
        <v>98622</v>
      </c>
      <c r="R51" s="42">
        <v>98622</v>
      </c>
      <c r="S51" s="42">
        <v>98622</v>
      </c>
      <c r="T51" s="42">
        <v>98622</v>
      </c>
      <c r="U51" s="42">
        <v>98622</v>
      </c>
      <c r="V51" s="42">
        <v>98622</v>
      </c>
      <c r="W51" s="42">
        <v>98622</v>
      </c>
      <c r="X51" s="42">
        <v>98622</v>
      </c>
      <c r="Y51" s="64"/>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row>
    <row r="52" spans="1:24" ht="11.25">
      <c r="A52" s="42"/>
      <c r="B52" s="43"/>
      <c r="C52" s="43"/>
      <c r="D52" s="43"/>
      <c r="E52" s="45"/>
      <c r="F52" s="45"/>
      <c r="G52" s="45"/>
      <c r="H52" s="45"/>
      <c r="I52" s="45"/>
      <c r="J52" s="45"/>
      <c r="K52" s="45"/>
      <c r="L52" s="45"/>
      <c r="M52" s="45"/>
      <c r="N52" s="45"/>
      <c r="O52" s="45"/>
      <c r="P52" s="45"/>
      <c r="Q52" s="45"/>
      <c r="R52" s="45"/>
      <c r="S52" s="45"/>
      <c r="T52" s="45"/>
      <c r="U52" s="45"/>
      <c r="V52" s="45"/>
      <c r="W52" s="45"/>
      <c r="X52" s="45"/>
    </row>
    <row r="53" spans="1:5" ht="11.25">
      <c r="A53" s="54" t="s">
        <v>117</v>
      </c>
      <c r="B53" s="3"/>
      <c r="E53" s="10"/>
    </row>
    <row r="54" spans="1:24" ht="12" thickBot="1">
      <c r="A54" s="30"/>
      <c r="B54" s="21"/>
      <c r="C54" s="31"/>
      <c r="D54" s="4"/>
      <c r="E54" s="4"/>
      <c r="F54" s="4"/>
      <c r="G54" s="4"/>
      <c r="H54" s="4"/>
      <c r="I54" s="4"/>
      <c r="J54" s="4"/>
      <c r="K54" s="4"/>
      <c r="L54" s="4"/>
      <c r="M54" s="4"/>
      <c r="N54" s="4"/>
      <c r="O54" s="4"/>
      <c r="P54" s="4"/>
      <c r="Q54" s="4"/>
      <c r="R54" s="4"/>
      <c r="S54" s="4"/>
      <c r="T54" s="4"/>
      <c r="U54" s="4"/>
      <c r="V54" s="4"/>
      <c r="W54" s="4"/>
      <c r="X54" s="4"/>
    </row>
    <row r="55" spans="1:2" ht="12" thickTop="1">
      <c r="A55" s="27"/>
      <c r="B55" s="9"/>
    </row>
    <row r="56" spans="1:24" ht="11.25">
      <c r="A56" s="2" t="s">
        <v>87</v>
      </c>
      <c r="B56" s="9"/>
      <c r="C56" s="9">
        <f aca="true" t="shared" si="3" ref="C56:X56">C1</f>
        <v>2013</v>
      </c>
      <c r="D56" s="9">
        <f t="shared" si="3"/>
        <v>2014</v>
      </c>
      <c r="E56" s="9">
        <f t="shared" si="3"/>
        <v>2015</v>
      </c>
      <c r="F56" s="9">
        <f t="shared" si="3"/>
        <v>2016</v>
      </c>
      <c r="G56" s="9">
        <f t="shared" si="3"/>
        <v>2017</v>
      </c>
      <c r="H56" s="9">
        <f t="shared" si="3"/>
        <v>2018</v>
      </c>
      <c r="I56" s="9">
        <f t="shared" si="3"/>
        <v>2019</v>
      </c>
      <c r="J56" s="9">
        <f t="shared" si="3"/>
        <v>2020</v>
      </c>
      <c r="K56" s="9">
        <f t="shared" si="3"/>
        <v>2021</v>
      </c>
      <c r="L56" s="9">
        <f t="shared" si="3"/>
        <v>2022</v>
      </c>
      <c r="M56" s="9">
        <f t="shared" si="3"/>
        <v>2023</v>
      </c>
      <c r="N56" s="9">
        <f t="shared" si="3"/>
        <v>2024</v>
      </c>
      <c r="O56" s="9">
        <f t="shared" si="3"/>
        <v>2025</v>
      </c>
      <c r="P56" s="9">
        <f t="shared" si="3"/>
        <v>2026</v>
      </c>
      <c r="Q56" s="9">
        <f t="shared" si="3"/>
        <v>2027</v>
      </c>
      <c r="R56" s="9">
        <f t="shared" si="3"/>
        <v>2028</v>
      </c>
      <c r="S56" s="9">
        <f t="shared" si="3"/>
        <v>2029</v>
      </c>
      <c r="T56" s="9">
        <f t="shared" si="3"/>
        <v>2030</v>
      </c>
      <c r="U56" s="9">
        <f t="shared" si="3"/>
        <v>2031</v>
      </c>
      <c r="V56" s="9">
        <f t="shared" si="3"/>
        <v>2032</v>
      </c>
      <c r="W56" s="9">
        <f t="shared" si="3"/>
        <v>2033</v>
      </c>
      <c r="X56" s="9">
        <f t="shared" si="3"/>
        <v>2034</v>
      </c>
    </row>
    <row r="57" spans="1:24" ht="12" thickBot="1">
      <c r="A57" s="4" t="s">
        <v>2</v>
      </c>
      <c r="B57" s="4"/>
      <c r="C57" s="4">
        <v>0</v>
      </c>
      <c r="D57" s="4">
        <v>1</v>
      </c>
      <c r="E57" s="4">
        <v>2</v>
      </c>
      <c r="F57" s="4">
        <v>3</v>
      </c>
      <c r="G57" s="4">
        <v>4</v>
      </c>
      <c r="H57" s="4">
        <v>5</v>
      </c>
      <c r="I57" s="4">
        <v>6</v>
      </c>
      <c r="J57" s="4">
        <v>7</v>
      </c>
      <c r="K57" s="4">
        <v>8</v>
      </c>
      <c r="L57" s="4">
        <v>9</v>
      </c>
      <c r="M57" s="4">
        <v>10</v>
      </c>
      <c r="N57" s="4">
        <v>11</v>
      </c>
      <c r="O57" s="4">
        <v>12</v>
      </c>
      <c r="P57" s="4">
        <v>13</v>
      </c>
      <c r="Q57" s="4">
        <v>14</v>
      </c>
      <c r="R57" s="4">
        <v>15</v>
      </c>
      <c r="S57" s="4">
        <v>16</v>
      </c>
      <c r="T57" s="4">
        <v>17</v>
      </c>
      <c r="U57" s="4">
        <v>18</v>
      </c>
      <c r="V57" s="4">
        <v>19</v>
      </c>
      <c r="W57" s="4">
        <v>20</v>
      </c>
      <c r="X57" s="4">
        <v>21</v>
      </c>
    </row>
    <row r="58" spans="1:24" ht="12" thickTop="1">
      <c r="A58" s="1" t="s">
        <v>40</v>
      </c>
      <c r="B58" s="1">
        <v>1</v>
      </c>
      <c r="C58" s="10">
        <f>B58*(1+C5)</f>
        <v>1.07</v>
      </c>
      <c r="D58" s="10">
        <f>C58*(1+D5)</f>
        <v>1.1449</v>
      </c>
      <c r="E58" s="10">
        <f>D58*(1+E5)</f>
        <v>1.225043</v>
      </c>
      <c r="F58" s="10">
        <f>E58*(1+F5)</f>
        <v>1.3107960100000002</v>
      </c>
      <c r="G58" s="10">
        <f>F58*(1+G5)</f>
        <v>1.4025517307000004</v>
      </c>
      <c r="H58" s="10">
        <f>G58*(1+H5)</f>
        <v>1.5007303518490005</v>
      </c>
      <c r="I58" s="10">
        <f>H58*(1+I5)</f>
        <v>1.6057814764784306</v>
      </c>
      <c r="J58" s="10">
        <f>I58*(1+J5)</f>
        <v>1.718186179831921</v>
      </c>
      <c r="K58" s="10">
        <f>J58*(1+K5)</f>
        <v>1.8384592124201555</v>
      </c>
      <c r="L58" s="10">
        <f>K58*(1+L5)</f>
        <v>1.9671513572895665</v>
      </c>
      <c r="M58" s="10">
        <f>L58*(1+M5)</f>
        <v>2.1048519522998363</v>
      </c>
      <c r="N58" s="10">
        <f>M58*(1+N5)</f>
        <v>2.252191588960825</v>
      </c>
      <c r="O58" s="10">
        <f>N58*(1+O5)</f>
        <v>2.4098450001880827</v>
      </c>
      <c r="P58" s="10">
        <f>O58*(1+P5)</f>
        <v>2.5785341502012487</v>
      </c>
      <c r="Q58" s="10">
        <f>P58*(1+Q5)</f>
        <v>2.7590315407153363</v>
      </c>
      <c r="R58" s="10">
        <f>Q58*(1+R5)</f>
        <v>2.95216374856541</v>
      </c>
      <c r="S58" s="10">
        <f>R58*(1+S5)</f>
        <v>3.158815210964989</v>
      </c>
      <c r="T58" s="10">
        <f>S58*(1+T5)</f>
        <v>3.3799322757325387</v>
      </c>
      <c r="U58" s="10">
        <f>T58*(1+U5)</f>
        <v>3.616527535033817</v>
      </c>
      <c r="V58" s="10">
        <f>U58*(1+V5)</f>
        <v>3.8696844624861844</v>
      </c>
      <c r="W58" s="10">
        <f>V58*(1+W5)</f>
        <v>4.140562374860218</v>
      </c>
      <c r="X58" s="10">
        <f>W58*(1+X5)</f>
        <v>4.430401741100433</v>
      </c>
    </row>
    <row r="59" spans="1:24" ht="11.25">
      <c r="A59" s="1" t="s">
        <v>41</v>
      </c>
      <c r="B59" s="1">
        <v>1</v>
      </c>
      <c r="C59" s="10">
        <f>B59*(1+C6)</f>
        <v>1.03</v>
      </c>
      <c r="D59" s="10">
        <f>C59*(1+D6)</f>
        <v>1.0609</v>
      </c>
      <c r="E59" s="10">
        <f>D59*(1+E6)</f>
        <v>1.092727</v>
      </c>
      <c r="F59" s="10">
        <f>E59*(1+F6)</f>
        <v>1.1255088100000001</v>
      </c>
      <c r="G59" s="10">
        <f>F59*(1+G6)</f>
        <v>1.1592740743</v>
      </c>
      <c r="H59" s="10">
        <f>G59*(1+H6)</f>
        <v>1.1940522965290001</v>
      </c>
      <c r="I59" s="10">
        <f>H59*(1+I6)</f>
        <v>1.2298738654248702</v>
      </c>
      <c r="J59" s="10">
        <f>I59*(1+J6)</f>
        <v>1.2667700813876164</v>
      </c>
      <c r="K59" s="10">
        <f>J59*(1+K6)</f>
        <v>1.304773183829245</v>
      </c>
      <c r="L59" s="10">
        <f>K59*(1+L6)</f>
        <v>1.3439163793441222</v>
      </c>
      <c r="M59" s="10">
        <f>L59*(1+M6)</f>
        <v>1.384233870724446</v>
      </c>
      <c r="N59" s="10">
        <f>M59*(1+N6)</f>
        <v>1.4257608868461793</v>
      </c>
      <c r="O59" s="10">
        <f>N59*(1+O6)</f>
        <v>1.4685337134515648</v>
      </c>
      <c r="P59" s="10">
        <f>O59*(1+P6)</f>
        <v>1.512589724855112</v>
      </c>
      <c r="Q59" s="10">
        <f>P59*(1+Q6)</f>
        <v>1.5579674166007653</v>
      </c>
      <c r="R59" s="10">
        <f>Q59*(1+R6)</f>
        <v>1.6047064390987884</v>
      </c>
      <c r="S59" s="10">
        <f>R59*(1+S6)</f>
        <v>1.652847632271752</v>
      </c>
      <c r="T59" s="10">
        <f>S59*(1+T6)</f>
        <v>1.7024330612399046</v>
      </c>
      <c r="U59" s="10">
        <f>T59*(1+U6)</f>
        <v>1.7535060530771018</v>
      </c>
      <c r="V59" s="10">
        <f>U59*(1+V6)</f>
        <v>1.806111234669415</v>
      </c>
      <c r="W59" s="10">
        <f>V59*(1+W6)</f>
        <v>1.8602945717094976</v>
      </c>
      <c r="X59" s="10">
        <f>W59*(1+X6)</f>
        <v>1.9161034088607827</v>
      </c>
    </row>
    <row r="60" spans="1:24" ht="11.25">
      <c r="A60" s="1" t="s">
        <v>42</v>
      </c>
      <c r="B60" s="1">
        <f>B7</f>
        <v>21000</v>
      </c>
      <c r="C60" s="1">
        <f>$B$60*C58/C59</f>
        <v>21815.533980582524</v>
      </c>
      <c r="D60" s="1">
        <f aca="true" t="shared" si="4" ref="D60:X60">$B$60*D58/D59</f>
        <v>22662.739183711947</v>
      </c>
      <c r="E60" s="1">
        <f t="shared" si="4"/>
        <v>23542.845559778427</v>
      </c>
      <c r="F60" s="1">
        <f t="shared" si="4"/>
        <v>24457.130824235843</v>
      </c>
      <c r="G60" s="1">
        <f t="shared" si="4"/>
        <v>25406.922312555685</v>
      </c>
      <c r="H60" s="1">
        <f t="shared" si="4"/>
        <v>26393.598907218042</v>
      </c>
      <c r="I60" s="1">
        <f t="shared" si="4"/>
        <v>27418.593039537187</v>
      </c>
      <c r="J60" s="1">
        <f t="shared" si="4"/>
        <v>28483.392769227954</v>
      </c>
      <c r="K60" s="1">
        <f t="shared" si="4"/>
        <v>29589.543944731955</v>
      </c>
      <c r="L60" s="1">
        <f t="shared" si="4"/>
        <v>30738.652447439992</v>
      </c>
      <c r="M60" s="1">
        <f t="shared" si="4"/>
        <v>31932.386523068733</v>
      </c>
      <c r="N60" s="1">
        <f t="shared" si="4"/>
        <v>33172.47920357626</v>
      </c>
      <c r="O60" s="1">
        <f t="shared" si="4"/>
        <v>34460.73082313261</v>
      </c>
      <c r="P60" s="1">
        <f t="shared" si="4"/>
        <v>35799.011631797955</v>
      </c>
      <c r="Q60" s="1">
        <f t="shared" si="4"/>
        <v>37189.264510702735</v>
      </c>
      <c r="R60" s="1">
        <f t="shared" si="4"/>
        <v>38633.50779267177</v>
      </c>
      <c r="S60" s="1">
        <f t="shared" si="4"/>
        <v>40133.83819238719</v>
      </c>
      <c r="T60" s="1">
        <f t="shared" si="4"/>
        <v>41692.43385034397</v>
      </c>
      <c r="U60" s="1">
        <f t="shared" si="4"/>
        <v>43311.55749501753</v>
      </c>
      <c r="V60" s="1">
        <f t="shared" si="4"/>
        <v>44993.559727833745</v>
      </c>
      <c r="W60" s="1">
        <f t="shared" si="4"/>
        <v>46740.88243571078</v>
      </c>
      <c r="X60" s="1">
        <f t="shared" si="4"/>
        <v>48556.06233612674</v>
      </c>
    </row>
    <row r="62" ht="11.25">
      <c r="A62" s="2" t="s">
        <v>89</v>
      </c>
    </row>
    <row r="63" spans="1:4" ht="11.25">
      <c r="A63" s="1" t="s">
        <v>55</v>
      </c>
      <c r="C63" s="1">
        <f>C10*C$58</f>
        <v>282611.61000000004</v>
      </c>
      <c r="D63" s="1">
        <f>D10*D$58</f>
        <v>252939.3223</v>
      </c>
    </row>
    <row r="64" spans="1:4" ht="11.25">
      <c r="A64" s="1" t="s">
        <v>51</v>
      </c>
      <c r="C64" s="1">
        <f>C11*C$58</f>
        <v>462875.58</v>
      </c>
      <c r="D64" s="1">
        <f>D11*D$58</f>
        <v>942135.9202</v>
      </c>
    </row>
    <row r="65" spans="1:4" ht="11.25">
      <c r="A65" s="1" t="s">
        <v>49</v>
      </c>
      <c r="C65" s="1">
        <f>C12*C$59</f>
        <v>19847.07</v>
      </c>
      <c r="D65" s="1">
        <f>D12*D$59</f>
        <v>48311.2642</v>
      </c>
    </row>
    <row r="66" spans="1:4" ht="11.25">
      <c r="A66" s="1" t="s">
        <v>54</v>
      </c>
      <c r="C66" s="1">
        <f>C13*C$59</f>
        <v>8300.77</v>
      </c>
      <c r="D66" s="1">
        <f>D13*D$59</f>
        <v>14519.4774</v>
      </c>
    </row>
    <row r="67" spans="1:4" ht="11.25">
      <c r="A67" s="8" t="s">
        <v>70</v>
      </c>
      <c r="C67" s="1">
        <f>C14*C$59</f>
        <v>1343.1200000000001</v>
      </c>
      <c r="D67" s="1">
        <f>D14*D$59</f>
        <v>1904.3155</v>
      </c>
    </row>
    <row r="69" ht="11.25">
      <c r="A69" s="2" t="s">
        <v>56</v>
      </c>
    </row>
    <row r="70" spans="1:4" ht="11.25">
      <c r="A70" s="15" t="s">
        <v>52</v>
      </c>
      <c r="C70" s="1">
        <f>C63</f>
        <v>282611.61000000004</v>
      </c>
      <c r="D70" s="1">
        <f>D63</f>
        <v>252939.3223</v>
      </c>
    </row>
    <row r="71" spans="1:4" ht="11.25">
      <c r="A71" s="15" t="s">
        <v>50</v>
      </c>
      <c r="C71" s="1">
        <f>C64</f>
        <v>462875.58</v>
      </c>
      <c r="D71" s="1">
        <f>D64</f>
        <v>942135.9202</v>
      </c>
    </row>
    <row r="72" spans="1:4" ht="11.25">
      <c r="A72" s="15" t="s">
        <v>48</v>
      </c>
      <c r="C72" s="1">
        <f aca="true" t="shared" si="5" ref="C72:D74">C65/1000*C$60</f>
        <v>432974.43</v>
      </c>
      <c r="D72" s="1">
        <f t="shared" si="5"/>
        <v>1094865.5802000002</v>
      </c>
    </row>
    <row r="73" spans="1:4" ht="11.25">
      <c r="A73" s="15" t="s">
        <v>54</v>
      </c>
      <c r="C73" s="1">
        <f t="shared" si="5"/>
        <v>181085.73</v>
      </c>
      <c r="D73" s="1">
        <f t="shared" si="5"/>
        <v>329051.12940000003</v>
      </c>
    </row>
    <row r="74" spans="1:4" ht="11.25">
      <c r="A74" s="15" t="s">
        <v>29</v>
      </c>
      <c r="C74" s="1">
        <f t="shared" si="5"/>
        <v>29300.88</v>
      </c>
      <c r="D74" s="1">
        <f t="shared" si="5"/>
        <v>43157.00550000001</v>
      </c>
    </row>
    <row r="75" spans="1:4" ht="11.25">
      <c r="A75" s="1" t="s">
        <v>31</v>
      </c>
      <c r="C75" s="1">
        <f>SUM(C70:C74)</f>
        <v>1388848.23</v>
      </c>
      <c r="D75" s="1">
        <f>SUM(D70:D74)</f>
        <v>2662148.9576000003</v>
      </c>
    </row>
    <row r="76" ht="11.25">
      <c r="A76" s="15"/>
    </row>
    <row r="77" spans="1:24" ht="11.25">
      <c r="A77" s="6" t="s">
        <v>4</v>
      </c>
      <c r="B77" s="6"/>
      <c r="C77" s="7"/>
      <c r="D77" s="7"/>
      <c r="E77" s="7"/>
      <c r="F77" s="7"/>
      <c r="G77" s="7"/>
      <c r="H77" s="7"/>
      <c r="I77" s="7"/>
      <c r="J77" s="7"/>
      <c r="K77" s="7"/>
      <c r="L77" s="7"/>
      <c r="M77" s="7"/>
      <c r="N77" s="7"/>
      <c r="O77" s="7"/>
      <c r="P77" s="7"/>
      <c r="Q77" s="7"/>
      <c r="R77" s="7"/>
      <c r="S77" s="7"/>
      <c r="T77" s="7"/>
      <c r="U77" s="7"/>
      <c r="V77" s="7"/>
      <c r="W77" s="7"/>
      <c r="X77" s="7"/>
    </row>
    <row r="78" spans="3:24" ht="11.25">
      <c r="C78" s="9">
        <f aca="true" t="shared" si="6" ref="C78:X78">C1</f>
        <v>2013</v>
      </c>
      <c r="D78" s="9">
        <f t="shared" si="6"/>
        <v>2014</v>
      </c>
      <c r="E78" s="9">
        <f t="shared" si="6"/>
        <v>2015</v>
      </c>
      <c r="F78" s="9">
        <f t="shared" si="6"/>
        <v>2016</v>
      </c>
      <c r="G78" s="9">
        <f t="shared" si="6"/>
        <v>2017</v>
      </c>
      <c r="H78" s="9">
        <f t="shared" si="6"/>
        <v>2018</v>
      </c>
      <c r="I78" s="9">
        <f t="shared" si="6"/>
        <v>2019</v>
      </c>
      <c r="J78" s="9">
        <f t="shared" si="6"/>
        <v>2020</v>
      </c>
      <c r="K78" s="9">
        <f t="shared" si="6"/>
        <v>2021</v>
      </c>
      <c r="L78" s="9">
        <f t="shared" si="6"/>
        <v>2022</v>
      </c>
      <c r="M78" s="9">
        <f t="shared" si="6"/>
        <v>2023</v>
      </c>
      <c r="N78" s="9">
        <f t="shared" si="6"/>
        <v>2024</v>
      </c>
      <c r="O78" s="9">
        <f t="shared" si="6"/>
        <v>2025</v>
      </c>
      <c r="P78" s="9">
        <f t="shared" si="6"/>
        <v>2026</v>
      </c>
      <c r="Q78" s="9">
        <f t="shared" si="6"/>
        <v>2027</v>
      </c>
      <c r="R78" s="9">
        <f t="shared" si="6"/>
        <v>2028</v>
      </c>
      <c r="S78" s="9">
        <f t="shared" si="6"/>
        <v>2029</v>
      </c>
      <c r="T78" s="9">
        <f t="shared" si="6"/>
        <v>2030</v>
      </c>
      <c r="U78" s="9">
        <f t="shared" si="6"/>
        <v>2031</v>
      </c>
      <c r="V78" s="9">
        <f t="shared" si="6"/>
        <v>2032</v>
      </c>
      <c r="W78" s="9">
        <f t="shared" si="6"/>
        <v>2033</v>
      </c>
      <c r="X78" s="9">
        <f t="shared" si="6"/>
        <v>2034</v>
      </c>
    </row>
    <row r="79" spans="1:24" ht="12" thickBot="1">
      <c r="A79" s="4" t="s">
        <v>2</v>
      </c>
      <c r="B79" s="4"/>
      <c r="C79" s="4">
        <v>0</v>
      </c>
      <c r="D79" s="4">
        <v>1</v>
      </c>
      <c r="E79" s="4">
        <v>2</v>
      </c>
      <c r="F79" s="4">
        <v>3</v>
      </c>
      <c r="G79" s="4">
        <v>4</v>
      </c>
      <c r="H79" s="4">
        <v>5</v>
      </c>
      <c r="I79" s="4">
        <v>6</v>
      </c>
      <c r="J79" s="4">
        <v>7</v>
      </c>
      <c r="K79" s="4">
        <v>8</v>
      </c>
      <c r="L79" s="4">
        <v>9</v>
      </c>
      <c r="M79" s="4">
        <v>10</v>
      </c>
      <c r="N79" s="4">
        <v>11</v>
      </c>
      <c r="O79" s="4">
        <v>12</v>
      </c>
      <c r="P79" s="4">
        <v>13</v>
      </c>
      <c r="Q79" s="4">
        <v>14</v>
      </c>
      <c r="R79" s="4">
        <v>15</v>
      </c>
      <c r="S79" s="4">
        <v>16</v>
      </c>
      <c r="T79" s="4">
        <v>17</v>
      </c>
      <c r="U79" s="4">
        <v>18</v>
      </c>
      <c r="V79" s="4">
        <v>19</v>
      </c>
      <c r="W79" s="4">
        <v>20</v>
      </c>
      <c r="X79" s="4">
        <v>21</v>
      </c>
    </row>
    <row r="80" spans="1:2" ht="12" thickTop="1">
      <c r="A80" s="1" t="s">
        <v>145</v>
      </c>
      <c r="B80" s="1">
        <f>C75+D75</f>
        <v>4050997.1876000003</v>
      </c>
    </row>
    <row r="81" spans="1:24" ht="11.25">
      <c r="A81" s="1" t="s">
        <v>146</v>
      </c>
      <c r="E81" s="1">
        <f aca="true" t="shared" si="7" ref="E81:X81">$B$80/$B$16</f>
        <v>202549.85938</v>
      </c>
      <c r="F81" s="1">
        <f t="shared" si="7"/>
        <v>202549.85938</v>
      </c>
      <c r="G81" s="1">
        <f t="shared" si="7"/>
        <v>202549.85938</v>
      </c>
      <c r="H81" s="1">
        <f t="shared" si="7"/>
        <v>202549.85938</v>
      </c>
      <c r="I81" s="1">
        <f t="shared" si="7"/>
        <v>202549.85938</v>
      </c>
      <c r="J81" s="1">
        <f t="shared" si="7"/>
        <v>202549.85938</v>
      </c>
      <c r="K81" s="1">
        <f t="shared" si="7"/>
        <v>202549.85938</v>
      </c>
      <c r="L81" s="1">
        <f t="shared" si="7"/>
        <v>202549.85938</v>
      </c>
      <c r="M81" s="1">
        <f t="shared" si="7"/>
        <v>202549.85938</v>
      </c>
      <c r="N81" s="1">
        <f t="shared" si="7"/>
        <v>202549.85938</v>
      </c>
      <c r="O81" s="1">
        <f t="shared" si="7"/>
        <v>202549.85938</v>
      </c>
      <c r="P81" s="1">
        <f t="shared" si="7"/>
        <v>202549.85938</v>
      </c>
      <c r="Q81" s="1">
        <f t="shared" si="7"/>
        <v>202549.85938</v>
      </c>
      <c r="R81" s="1">
        <f t="shared" si="7"/>
        <v>202549.85938</v>
      </c>
      <c r="S81" s="1">
        <f t="shared" si="7"/>
        <v>202549.85938</v>
      </c>
      <c r="T81" s="1">
        <f t="shared" si="7"/>
        <v>202549.85938</v>
      </c>
      <c r="U81" s="1">
        <f t="shared" si="7"/>
        <v>202549.85938</v>
      </c>
      <c r="V81" s="1">
        <f t="shared" si="7"/>
        <v>202549.85938</v>
      </c>
      <c r="W81" s="1">
        <f t="shared" si="7"/>
        <v>202549.85938</v>
      </c>
      <c r="X81" s="1">
        <f t="shared" si="7"/>
        <v>202549.85938</v>
      </c>
    </row>
    <row r="83" ht="11.25">
      <c r="A83" s="2" t="s">
        <v>68</v>
      </c>
    </row>
    <row r="84" spans="1:4" ht="11.25">
      <c r="A84" s="1" t="s">
        <v>20</v>
      </c>
      <c r="C84" s="1">
        <f>C75-C85</f>
        <v>1388848.23</v>
      </c>
      <c r="D84" s="1">
        <f>D75-D85</f>
        <v>362148.9576000003</v>
      </c>
    </row>
    <row r="85" spans="1:4" ht="11.25">
      <c r="A85" s="1" t="s">
        <v>30</v>
      </c>
      <c r="C85" s="1">
        <v>0</v>
      </c>
      <c r="D85" s="1">
        <v>2300000</v>
      </c>
    </row>
    <row r="87" ht="11.25">
      <c r="A87" s="2" t="s">
        <v>150</v>
      </c>
    </row>
    <row r="88" spans="1:3" ht="11.25">
      <c r="A88" s="1" t="s">
        <v>20</v>
      </c>
      <c r="B88" s="1">
        <f>SUM(C84:D84)</f>
        <v>1750997.1876000003</v>
      </c>
      <c r="C88" s="11">
        <f>B88/SUM($B$88:$B$89)</f>
        <v>0.43223855917741894</v>
      </c>
    </row>
    <row r="89" spans="1:3" ht="11.25">
      <c r="A89" s="1" t="s">
        <v>19</v>
      </c>
      <c r="B89" s="1">
        <f>SUM(C85:D85)</f>
        <v>2300000</v>
      </c>
      <c r="C89" s="11">
        <f>B89/SUM($B$88:$B$89)</f>
        <v>0.5677614408225811</v>
      </c>
    </row>
    <row r="91" spans="1:3" ht="11.25">
      <c r="A91" s="1" t="s">
        <v>151</v>
      </c>
      <c r="C91" s="13">
        <v>0.2091</v>
      </c>
    </row>
    <row r="92" spans="1:3" ht="11.25">
      <c r="A92" s="1" t="s">
        <v>152</v>
      </c>
      <c r="C92" s="13">
        <f>B20</f>
        <v>0.11499999999999999</v>
      </c>
    </row>
    <row r="93" spans="1:3" ht="11.25">
      <c r="A93" s="1" t="s">
        <v>153</v>
      </c>
      <c r="C93" s="13">
        <f>C91*C88+C92*C89</f>
        <v>0.15567364841859513</v>
      </c>
    </row>
    <row r="95" spans="1:24" ht="11.25">
      <c r="A95" s="6" t="s">
        <v>5</v>
      </c>
      <c r="B95" s="6"/>
      <c r="C95" s="7"/>
      <c r="D95" s="7"/>
      <c r="E95" s="7"/>
      <c r="F95" s="7"/>
      <c r="G95" s="7"/>
      <c r="H95" s="7"/>
      <c r="I95" s="7"/>
      <c r="J95" s="7"/>
      <c r="K95" s="7"/>
      <c r="L95" s="7"/>
      <c r="M95" s="7"/>
      <c r="N95" s="7"/>
      <c r="O95" s="7"/>
      <c r="P95" s="7"/>
      <c r="Q95" s="7"/>
      <c r="R95" s="7"/>
      <c r="S95" s="7"/>
      <c r="T95" s="7"/>
      <c r="U95" s="7"/>
      <c r="V95" s="7"/>
      <c r="W95" s="7"/>
      <c r="X95" s="7"/>
    </row>
    <row r="96" spans="2:24" ht="11.25">
      <c r="B96" s="9"/>
      <c r="C96" s="9">
        <f aca="true" t="shared" si="8" ref="C96:X96">C1</f>
        <v>2013</v>
      </c>
      <c r="D96" s="9">
        <f t="shared" si="8"/>
        <v>2014</v>
      </c>
      <c r="E96" s="9">
        <f t="shared" si="8"/>
        <v>2015</v>
      </c>
      <c r="F96" s="9">
        <f t="shared" si="8"/>
        <v>2016</v>
      </c>
      <c r="G96" s="9">
        <f t="shared" si="8"/>
        <v>2017</v>
      </c>
      <c r="H96" s="9">
        <f t="shared" si="8"/>
        <v>2018</v>
      </c>
      <c r="I96" s="9">
        <f t="shared" si="8"/>
        <v>2019</v>
      </c>
      <c r="J96" s="9">
        <f t="shared" si="8"/>
        <v>2020</v>
      </c>
      <c r="K96" s="9">
        <f t="shared" si="8"/>
        <v>2021</v>
      </c>
      <c r="L96" s="9">
        <f t="shared" si="8"/>
        <v>2022</v>
      </c>
      <c r="M96" s="9">
        <f t="shared" si="8"/>
        <v>2023</v>
      </c>
      <c r="N96" s="9">
        <f t="shared" si="8"/>
        <v>2024</v>
      </c>
      <c r="O96" s="9">
        <f t="shared" si="8"/>
        <v>2025</v>
      </c>
      <c r="P96" s="9">
        <f t="shared" si="8"/>
        <v>2026</v>
      </c>
      <c r="Q96" s="9">
        <f t="shared" si="8"/>
        <v>2027</v>
      </c>
      <c r="R96" s="9">
        <f t="shared" si="8"/>
        <v>2028</v>
      </c>
      <c r="S96" s="9">
        <f t="shared" si="8"/>
        <v>2029</v>
      </c>
      <c r="T96" s="9">
        <f t="shared" si="8"/>
        <v>2030</v>
      </c>
      <c r="U96" s="9">
        <f t="shared" si="8"/>
        <v>2031</v>
      </c>
      <c r="V96" s="9">
        <f t="shared" si="8"/>
        <v>2032</v>
      </c>
      <c r="W96" s="9">
        <f t="shared" si="8"/>
        <v>2033</v>
      </c>
      <c r="X96" s="9">
        <f t="shared" si="8"/>
        <v>2034</v>
      </c>
    </row>
    <row r="97" spans="1:24" ht="12" thickBot="1">
      <c r="A97" s="4" t="s">
        <v>2</v>
      </c>
      <c r="B97" s="4"/>
      <c r="C97" s="4">
        <v>0</v>
      </c>
      <c r="D97" s="4">
        <v>1</v>
      </c>
      <c r="E97" s="4">
        <v>2</v>
      </c>
      <c r="F97" s="4">
        <v>3</v>
      </c>
      <c r="G97" s="4">
        <v>4</v>
      </c>
      <c r="H97" s="4">
        <v>5</v>
      </c>
      <c r="I97" s="4">
        <v>6</v>
      </c>
      <c r="J97" s="4">
        <v>7</v>
      </c>
      <c r="K97" s="4">
        <v>8</v>
      </c>
      <c r="L97" s="4">
        <v>9</v>
      </c>
      <c r="M97" s="4">
        <v>10</v>
      </c>
      <c r="N97" s="4">
        <v>11</v>
      </c>
      <c r="O97" s="4">
        <v>12</v>
      </c>
      <c r="P97" s="4">
        <v>13</v>
      </c>
      <c r="Q97" s="4">
        <v>14</v>
      </c>
      <c r="R97" s="4">
        <v>15</v>
      </c>
      <c r="S97" s="4">
        <v>16</v>
      </c>
      <c r="T97" s="4">
        <v>17</v>
      </c>
      <c r="U97" s="4">
        <v>18</v>
      </c>
      <c r="V97" s="4">
        <v>19</v>
      </c>
      <c r="W97" s="4">
        <v>20</v>
      </c>
      <c r="X97" s="4">
        <v>21</v>
      </c>
    </row>
    <row r="98" ht="12" thickTop="1"/>
    <row r="99" spans="1:2" ht="11.25">
      <c r="A99" s="18" t="s">
        <v>61</v>
      </c>
      <c r="B99" s="18"/>
    </row>
    <row r="100" spans="1:24" ht="11.25">
      <c r="A100" s="14" t="s">
        <v>45</v>
      </c>
      <c r="D100" s="1">
        <f>C104</f>
        <v>0</v>
      </c>
      <c r="E100" s="1">
        <f aca="true" t="shared" si="9" ref="E100:X100">D104</f>
        <v>2300000</v>
      </c>
      <c r="F100" s="1">
        <f t="shared" si="9"/>
        <v>2155685.5917702233</v>
      </c>
      <c r="G100" s="1">
        <f t="shared" si="9"/>
        <v>1996939.742717469</v>
      </c>
      <c r="H100" s="1">
        <f t="shared" si="9"/>
        <v>1822319.3087594395</v>
      </c>
      <c r="I100" s="1">
        <f t="shared" si="9"/>
        <v>1630236.8314056068</v>
      </c>
      <c r="J100" s="1">
        <f t="shared" si="9"/>
        <v>1418946.106316391</v>
      </c>
      <c r="K100" s="1">
        <f t="shared" si="9"/>
        <v>1186526.3087182534</v>
      </c>
      <c r="L100" s="1">
        <f t="shared" si="9"/>
        <v>930864.5313603021</v>
      </c>
      <c r="M100" s="1">
        <f t="shared" si="9"/>
        <v>649636.5762665557</v>
      </c>
      <c r="N100" s="1">
        <f t="shared" si="9"/>
        <v>340285.82566343463</v>
      </c>
      <c r="O100" s="1">
        <f t="shared" si="9"/>
        <v>1.4551915228366852E-09</v>
      </c>
      <c r="P100" s="1">
        <f t="shared" si="9"/>
        <v>1.4551915228366852E-09</v>
      </c>
      <c r="Q100" s="1">
        <f t="shared" si="9"/>
        <v>1.4551915228366852E-09</v>
      </c>
      <c r="R100" s="1">
        <f t="shared" si="9"/>
        <v>1.4551915228366852E-09</v>
      </c>
      <c r="S100" s="1">
        <f t="shared" si="9"/>
        <v>1.4551915228366852E-09</v>
      </c>
      <c r="T100" s="1">
        <f t="shared" si="9"/>
        <v>1.4551915228366852E-09</v>
      </c>
      <c r="U100" s="1">
        <f t="shared" si="9"/>
        <v>1.4551915228366852E-09</v>
      </c>
      <c r="V100" s="1">
        <f t="shared" si="9"/>
        <v>1.4551915228366852E-09</v>
      </c>
      <c r="W100" s="1">
        <f t="shared" si="9"/>
        <v>1.4551915228366852E-09</v>
      </c>
      <c r="X100" s="1">
        <f t="shared" si="9"/>
        <v>1.4551915228366852E-09</v>
      </c>
    </row>
    <row r="101" spans="1:4" ht="11.25">
      <c r="A101" s="14" t="s">
        <v>6</v>
      </c>
      <c r="B101" s="14"/>
      <c r="D101" s="1">
        <f>D85</f>
        <v>2300000</v>
      </c>
    </row>
    <row r="102" spans="1:24" ht="11.25">
      <c r="A102" s="14" t="s">
        <v>7</v>
      </c>
      <c r="D102" s="1">
        <f aca="true" t="shared" si="10" ref="D102:X102">D100*$B$20</f>
        <v>0</v>
      </c>
      <c r="E102" s="1">
        <f t="shared" si="10"/>
        <v>264500</v>
      </c>
      <c r="F102" s="1">
        <f t="shared" si="10"/>
        <v>247903.84305357566</v>
      </c>
      <c r="G102" s="1">
        <f t="shared" si="10"/>
        <v>229648.07041250894</v>
      </c>
      <c r="H102" s="1">
        <f t="shared" si="10"/>
        <v>209566.72050733553</v>
      </c>
      <c r="I102" s="1">
        <f t="shared" si="10"/>
        <v>187477.23561164478</v>
      </c>
      <c r="J102" s="1">
        <f t="shared" si="10"/>
        <v>163178.80222638496</v>
      </c>
      <c r="K102" s="1">
        <f t="shared" si="10"/>
        <v>136450.52550259914</v>
      </c>
      <c r="L102" s="1">
        <f t="shared" si="10"/>
        <v>107049.42110643473</v>
      </c>
      <c r="M102" s="1">
        <f t="shared" si="10"/>
        <v>74708.2062706539</v>
      </c>
      <c r="N102" s="1">
        <f t="shared" si="10"/>
        <v>39132.86995129498</v>
      </c>
      <c r="O102" s="1">
        <f t="shared" si="10"/>
        <v>1.673470251262188E-10</v>
      </c>
      <c r="P102" s="1">
        <f t="shared" si="10"/>
        <v>1.673470251262188E-10</v>
      </c>
      <c r="Q102" s="1">
        <f t="shared" si="10"/>
        <v>1.673470251262188E-10</v>
      </c>
      <c r="R102" s="1">
        <f t="shared" si="10"/>
        <v>1.673470251262188E-10</v>
      </c>
      <c r="S102" s="1">
        <f t="shared" si="10"/>
        <v>1.673470251262188E-10</v>
      </c>
      <c r="T102" s="1">
        <f t="shared" si="10"/>
        <v>1.673470251262188E-10</v>
      </c>
      <c r="U102" s="1">
        <f t="shared" si="10"/>
        <v>1.673470251262188E-10</v>
      </c>
      <c r="V102" s="1">
        <f t="shared" si="10"/>
        <v>1.673470251262188E-10</v>
      </c>
      <c r="W102" s="1">
        <f t="shared" si="10"/>
        <v>1.673470251262188E-10</v>
      </c>
      <c r="X102" s="1">
        <f t="shared" si="10"/>
        <v>1.673470251262188E-10</v>
      </c>
    </row>
    <row r="103" spans="1:14" ht="11.25">
      <c r="A103" s="18" t="s">
        <v>8</v>
      </c>
      <c r="B103" s="2"/>
      <c r="C103" s="2"/>
      <c r="D103" s="2">
        <v>0</v>
      </c>
      <c r="E103" s="2">
        <f>($B$105*$D$104/((1+$B$105)^$B$21-1))*(1+$B$105)^(E2-3)</f>
        <v>144314.40822977654</v>
      </c>
      <c r="F103" s="2">
        <f aca="true" t="shared" si="11" ref="F103:N103">($B$105*$D$104/((1+$B$105)^$B$21-1))*(1+$B$105)^(F2-3)</f>
        <v>158745.8490527542</v>
      </c>
      <c r="G103" s="2">
        <f t="shared" si="11"/>
        <v>174620.43395802964</v>
      </c>
      <c r="H103" s="2">
        <f t="shared" si="11"/>
        <v>192082.47735383263</v>
      </c>
      <c r="I103" s="2">
        <f t="shared" si="11"/>
        <v>211290.7250892159</v>
      </c>
      <c r="J103" s="2">
        <f t="shared" si="11"/>
        <v>232419.7975981375</v>
      </c>
      <c r="K103" s="2">
        <f t="shared" si="11"/>
        <v>255661.77735795127</v>
      </c>
      <c r="L103" s="2">
        <f t="shared" si="11"/>
        <v>281227.9550937464</v>
      </c>
      <c r="M103" s="2">
        <f t="shared" si="11"/>
        <v>309350.75060312107</v>
      </c>
      <c r="N103" s="2">
        <f t="shared" si="11"/>
        <v>340285.8256634332</v>
      </c>
    </row>
    <row r="104" spans="1:24" ht="11.25">
      <c r="A104" s="14" t="s">
        <v>9</v>
      </c>
      <c r="D104" s="1">
        <f aca="true" t="shared" si="12" ref="D104:X104">D100+D101-D103</f>
        <v>2300000</v>
      </c>
      <c r="E104" s="1">
        <f t="shared" si="12"/>
        <v>2155685.5917702233</v>
      </c>
      <c r="F104" s="1">
        <f t="shared" si="12"/>
        <v>1996939.742717469</v>
      </c>
      <c r="G104" s="1">
        <f t="shared" si="12"/>
        <v>1822319.3087594395</v>
      </c>
      <c r="H104" s="1">
        <f t="shared" si="12"/>
        <v>1630236.8314056068</v>
      </c>
      <c r="I104" s="1">
        <f t="shared" si="12"/>
        <v>1418946.106316391</v>
      </c>
      <c r="J104" s="1">
        <f t="shared" si="12"/>
        <v>1186526.3087182534</v>
      </c>
      <c r="K104" s="1">
        <f t="shared" si="12"/>
        <v>930864.5313603021</v>
      </c>
      <c r="L104" s="1">
        <f t="shared" si="12"/>
        <v>649636.5762665557</v>
      </c>
      <c r="M104" s="1">
        <f t="shared" si="12"/>
        <v>340285.82566343463</v>
      </c>
      <c r="N104" s="1">
        <f t="shared" si="12"/>
        <v>1.4551915228366852E-09</v>
      </c>
      <c r="O104" s="1">
        <f t="shared" si="12"/>
        <v>1.4551915228366852E-09</v>
      </c>
      <c r="P104" s="1">
        <f t="shared" si="12"/>
        <v>1.4551915228366852E-09</v>
      </c>
      <c r="Q104" s="1">
        <f t="shared" si="12"/>
        <v>1.4551915228366852E-09</v>
      </c>
      <c r="R104" s="1">
        <f t="shared" si="12"/>
        <v>1.4551915228366852E-09</v>
      </c>
      <c r="S104" s="1">
        <f t="shared" si="12"/>
        <v>1.4551915228366852E-09</v>
      </c>
      <c r="T104" s="1">
        <f t="shared" si="12"/>
        <v>1.4551915228366852E-09</v>
      </c>
      <c r="U104" s="1">
        <f t="shared" si="12"/>
        <v>1.4551915228366852E-09</v>
      </c>
      <c r="V104" s="1">
        <f t="shared" si="12"/>
        <v>1.4551915228366852E-09</v>
      </c>
      <c r="W104" s="1">
        <f t="shared" si="12"/>
        <v>1.4551915228366852E-09</v>
      </c>
      <c r="X104" s="1">
        <f t="shared" si="12"/>
        <v>1.4551915228366852E-09</v>
      </c>
    </row>
    <row r="105" spans="1:2" ht="11.25">
      <c r="A105" s="18" t="s">
        <v>179</v>
      </c>
      <c r="B105" s="44">
        <v>0.1</v>
      </c>
    </row>
    <row r="106" spans="1:24" ht="11.25">
      <c r="A106" s="14" t="s">
        <v>147</v>
      </c>
      <c r="D106" s="1">
        <f>D101-D102-D103</f>
        <v>2300000</v>
      </c>
      <c r="E106" s="1">
        <f aca="true" t="shared" si="13" ref="E106:X106">E101-E102-E103</f>
        <v>-408814.40822977654</v>
      </c>
      <c r="F106" s="1">
        <f t="shared" si="13"/>
        <v>-406649.69210632984</v>
      </c>
      <c r="G106" s="1">
        <f t="shared" si="13"/>
        <v>-404268.5043705386</v>
      </c>
      <c r="H106" s="1">
        <f t="shared" si="13"/>
        <v>-401649.1978611682</v>
      </c>
      <c r="I106" s="1">
        <f t="shared" si="13"/>
        <v>-398767.9607008607</v>
      </c>
      <c r="J106" s="1">
        <f t="shared" si="13"/>
        <v>-395598.59982452245</v>
      </c>
      <c r="K106" s="1">
        <f t="shared" si="13"/>
        <v>-392112.3028605504</v>
      </c>
      <c r="L106" s="1">
        <f t="shared" si="13"/>
        <v>-388277.37620018114</v>
      </c>
      <c r="M106" s="1">
        <f t="shared" si="13"/>
        <v>-384058.956873775</v>
      </c>
      <c r="N106" s="1">
        <f t="shared" si="13"/>
        <v>-379418.69561472815</v>
      </c>
      <c r="O106" s="1">
        <f t="shared" si="13"/>
        <v>-1.673470251262188E-10</v>
      </c>
      <c r="P106" s="1">
        <f t="shared" si="13"/>
        <v>-1.673470251262188E-10</v>
      </c>
      <c r="Q106" s="1">
        <f t="shared" si="13"/>
        <v>-1.673470251262188E-10</v>
      </c>
      <c r="R106" s="1">
        <f t="shared" si="13"/>
        <v>-1.673470251262188E-10</v>
      </c>
      <c r="S106" s="1">
        <f t="shared" si="13"/>
        <v>-1.673470251262188E-10</v>
      </c>
      <c r="T106" s="1">
        <f t="shared" si="13"/>
        <v>-1.673470251262188E-10</v>
      </c>
      <c r="U106" s="1">
        <f t="shared" si="13"/>
        <v>-1.673470251262188E-10</v>
      </c>
      <c r="V106" s="1">
        <f t="shared" si="13"/>
        <v>-1.673470251262188E-10</v>
      </c>
      <c r="W106" s="1">
        <f t="shared" si="13"/>
        <v>-1.673470251262188E-10</v>
      </c>
      <c r="X106" s="1">
        <f t="shared" si="13"/>
        <v>-1.673470251262188E-10</v>
      </c>
    </row>
    <row r="107" spans="1:3" ht="11.25">
      <c r="A107" s="14" t="s">
        <v>148</v>
      </c>
      <c r="B107" s="13">
        <f>IRR(C106:X106,10%)</f>
        <v>0.11499999999999996</v>
      </c>
      <c r="C107" s="11"/>
    </row>
    <row r="108" spans="1:2" ht="11.25">
      <c r="A108" s="14"/>
      <c r="B108" s="14"/>
    </row>
    <row r="109" spans="1:56" s="63" customFormat="1" ht="11.25">
      <c r="A109" s="6" t="s">
        <v>27</v>
      </c>
      <c r="B109" s="6"/>
      <c r="C109" s="7"/>
      <c r="D109" s="7"/>
      <c r="E109" s="7"/>
      <c r="F109" s="7"/>
      <c r="G109" s="7"/>
      <c r="H109" s="7"/>
      <c r="I109" s="7"/>
      <c r="J109" s="7"/>
      <c r="K109" s="7"/>
      <c r="L109" s="7"/>
      <c r="M109" s="7"/>
      <c r="N109" s="7"/>
      <c r="O109" s="7"/>
      <c r="P109" s="7"/>
      <c r="Q109" s="7"/>
      <c r="R109" s="7"/>
      <c r="S109" s="7"/>
      <c r="T109" s="7"/>
      <c r="U109" s="7"/>
      <c r="V109" s="7"/>
      <c r="W109" s="7"/>
      <c r="X109" s="7"/>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row>
    <row r="110" spans="1:56" s="63" customFormat="1" ht="11.25">
      <c r="A110" s="1"/>
      <c r="B110" s="9"/>
      <c r="C110" s="9">
        <f aca="true" t="shared" si="14" ref="C110:X110">C1</f>
        <v>2013</v>
      </c>
      <c r="D110" s="9">
        <f t="shared" si="14"/>
        <v>2014</v>
      </c>
      <c r="E110" s="9">
        <f t="shared" si="14"/>
        <v>2015</v>
      </c>
      <c r="F110" s="9">
        <f t="shared" si="14"/>
        <v>2016</v>
      </c>
      <c r="G110" s="9">
        <f t="shared" si="14"/>
        <v>2017</v>
      </c>
      <c r="H110" s="9">
        <f t="shared" si="14"/>
        <v>2018</v>
      </c>
      <c r="I110" s="9">
        <f t="shared" si="14"/>
        <v>2019</v>
      </c>
      <c r="J110" s="9">
        <f t="shared" si="14"/>
        <v>2020</v>
      </c>
      <c r="K110" s="9">
        <f t="shared" si="14"/>
        <v>2021</v>
      </c>
      <c r="L110" s="9">
        <f t="shared" si="14"/>
        <v>2022</v>
      </c>
      <c r="M110" s="9">
        <f t="shared" si="14"/>
        <v>2023</v>
      </c>
      <c r="N110" s="9">
        <f t="shared" si="14"/>
        <v>2024</v>
      </c>
      <c r="O110" s="9">
        <f t="shared" si="14"/>
        <v>2025</v>
      </c>
      <c r="P110" s="9">
        <f t="shared" si="14"/>
        <v>2026</v>
      </c>
      <c r="Q110" s="9">
        <f t="shared" si="14"/>
        <v>2027</v>
      </c>
      <c r="R110" s="9">
        <f t="shared" si="14"/>
        <v>2028</v>
      </c>
      <c r="S110" s="9">
        <f t="shared" si="14"/>
        <v>2029</v>
      </c>
      <c r="T110" s="9">
        <f t="shared" si="14"/>
        <v>2030</v>
      </c>
      <c r="U110" s="9">
        <f t="shared" si="14"/>
        <v>2031</v>
      </c>
      <c r="V110" s="9">
        <f t="shared" si="14"/>
        <v>2032</v>
      </c>
      <c r="W110" s="9">
        <f t="shared" si="14"/>
        <v>2033</v>
      </c>
      <c r="X110" s="9">
        <f t="shared" si="14"/>
        <v>2034</v>
      </c>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row>
    <row r="111" spans="1:56" s="63" customFormat="1" ht="12" thickBot="1">
      <c r="A111" s="4" t="s">
        <v>2</v>
      </c>
      <c r="B111" s="4"/>
      <c r="C111" s="4">
        <v>0</v>
      </c>
      <c r="D111" s="4">
        <v>1</v>
      </c>
      <c r="E111" s="4">
        <v>2</v>
      </c>
      <c r="F111" s="4">
        <v>3</v>
      </c>
      <c r="G111" s="4">
        <v>4</v>
      </c>
      <c r="H111" s="4">
        <v>5</v>
      </c>
      <c r="I111" s="4">
        <v>6</v>
      </c>
      <c r="J111" s="4">
        <v>7</v>
      </c>
      <c r="K111" s="4">
        <v>8</v>
      </c>
      <c r="L111" s="4">
        <v>9</v>
      </c>
      <c r="M111" s="4">
        <v>10</v>
      </c>
      <c r="N111" s="4">
        <v>11</v>
      </c>
      <c r="O111" s="4">
        <v>12</v>
      </c>
      <c r="P111" s="4">
        <v>13</v>
      </c>
      <c r="Q111" s="4">
        <v>14</v>
      </c>
      <c r="R111" s="4">
        <v>15</v>
      </c>
      <c r="S111" s="4">
        <v>16</v>
      </c>
      <c r="T111" s="4">
        <v>17</v>
      </c>
      <c r="U111" s="4">
        <v>18</v>
      </c>
      <c r="V111" s="4">
        <v>19</v>
      </c>
      <c r="W111" s="4">
        <v>20</v>
      </c>
      <c r="X111" s="4">
        <v>21</v>
      </c>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row>
    <row r="112" spans="1:56" s="63" customFormat="1" ht="12" thickTop="1">
      <c r="A112" s="1" t="s">
        <v>62</v>
      </c>
      <c r="B112" s="1"/>
      <c r="C112" s="1"/>
      <c r="D112" s="10"/>
      <c r="E112" s="10">
        <f>E24</f>
        <v>1.8</v>
      </c>
      <c r="F112" s="10">
        <f aca="true" t="shared" si="15" ref="F112:X112">F24</f>
        <v>2</v>
      </c>
      <c r="G112" s="10">
        <f t="shared" si="15"/>
        <v>2.2</v>
      </c>
      <c r="H112" s="10">
        <f t="shared" si="15"/>
        <v>2.4</v>
      </c>
      <c r="I112" s="10">
        <f t="shared" si="15"/>
        <v>2.65</v>
      </c>
      <c r="J112" s="10">
        <f t="shared" si="15"/>
        <v>2.9</v>
      </c>
      <c r="K112" s="10">
        <f t="shared" si="15"/>
        <v>3.2</v>
      </c>
      <c r="L112" s="10">
        <f t="shared" si="15"/>
        <v>3.5</v>
      </c>
      <c r="M112" s="10">
        <f t="shared" si="15"/>
        <v>3.5</v>
      </c>
      <c r="N112" s="10">
        <f t="shared" si="15"/>
        <v>3.5</v>
      </c>
      <c r="O112" s="10">
        <f t="shared" si="15"/>
        <v>3.5</v>
      </c>
      <c r="P112" s="10">
        <f t="shared" si="15"/>
        <v>3.5</v>
      </c>
      <c r="Q112" s="10">
        <f t="shared" si="15"/>
        <v>3.5</v>
      </c>
      <c r="R112" s="10">
        <f t="shared" si="15"/>
        <v>3.5</v>
      </c>
      <c r="S112" s="10">
        <f t="shared" si="15"/>
        <v>3.5</v>
      </c>
      <c r="T112" s="10">
        <f t="shared" si="15"/>
        <v>3.5</v>
      </c>
      <c r="U112" s="10">
        <f t="shared" si="15"/>
        <v>3.5</v>
      </c>
      <c r="V112" s="10">
        <f t="shared" si="15"/>
        <v>3.5</v>
      </c>
      <c r="W112" s="10">
        <f t="shared" si="15"/>
        <v>3.5</v>
      </c>
      <c r="X112" s="10">
        <f t="shared" si="15"/>
        <v>3.5</v>
      </c>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row>
    <row r="113" spans="1:56" s="63" customFormat="1" ht="11.25">
      <c r="A113" s="1" t="s">
        <v>102</v>
      </c>
      <c r="B113" s="1"/>
      <c r="C113" s="1">
        <f>B26*(1+$B$27)</f>
        <v>378000</v>
      </c>
      <c r="D113" s="1">
        <f>C113*(1+$B$27)</f>
        <v>396900</v>
      </c>
      <c r="E113" s="1">
        <f aca="true" t="shared" si="16" ref="E113:X113">D113*(1+$B$27)</f>
        <v>416745</v>
      </c>
      <c r="F113" s="1">
        <f t="shared" si="16"/>
        <v>437582.25</v>
      </c>
      <c r="G113" s="1">
        <f t="shared" si="16"/>
        <v>459461.36250000005</v>
      </c>
      <c r="H113" s="1">
        <f t="shared" si="16"/>
        <v>482434.4306250001</v>
      </c>
      <c r="I113" s="1">
        <f t="shared" si="16"/>
        <v>506556.15215625014</v>
      </c>
      <c r="J113" s="1">
        <f t="shared" si="16"/>
        <v>531883.9597640627</v>
      </c>
      <c r="K113" s="1">
        <f t="shared" si="16"/>
        <v>558478.1577522658</v>
      </c>
      <c r="L113" s="1">
        <f t="shared" si="16"/>
        <v>586402.0656398791</v>
      </c>
      <c r="M113" s="1">
        <f t="shared" si="16"/>
        <v>615722.1689218731</v>
      </c>
      <c r="N113" s="1">
        <f t="shared" si="16"/>
        <v>646508.2773679667</v>
      </c>
      <c r="O113" s="1">
        <f t="shared" si="16"/>
        <v>678833.6912363651</v>
      </c>
      <c r="P113" s="1">
        <f t="shared" si="16"/>
        <v>712775.3757981834</v>
      </c>
      <c r="Q113" s="1">
        <f t="shared" si="16"/>
        <v>748414.1445880926</v>
      </c>
      <c r="R113" s="1">
        <f t="shared" si="16"/>
        <v>785834.8518174973</v>
      </c>
      <c r="S113" s="1">
        <f t="shared" si="16"/>
        <v>825126.5944083722</v>
      </c>
      <c r="T113" s="1">
        <f t="shared" si="16"/>
        <v>866382.9241287909</v>
      </c>
      <c r="U113" s="1">
        <f t="shared" si="16"/>
        <v>909702.0703352304</v>
      </c>
      <c r="V113" s="1">
        <f t="shared" si="16"/>
        <v>955187.173851992</v>
      </c>
      <c r="W113" s="1">
        <f t="shared" si="16"/>
        <v>1002946.5325445917</v>
      </c>
      <c r="X113" s="1">
        <f t="shared" si="16"/>
        <v>1053093.8591718213</v>
      </c>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row>
    <row r="114" spans="1:56" s="63" customFormat="1" ht="11.25">
      <c r="A114" s="1" t="s">
        <v>64</v>
      </c>
      <c r="B114" s="1"/>
      <c r="C114" s="19"/>
      <c r="D114" s="1"/>
      <c r="E114" s="1">
        <f aca="true" t="shared" si="17" ref="E114:X114">E113*E112</f>
        <v>750141</v>
      </c>
      <c r="F114" s="1">
        <f t="shared" si="17"/>
        <v>875164.5</v>
      </c>
      <c r="G114" s="1">
        <f t="shared" si="17"/>
        <v>1010814.9975000002</v>
      </c>
      <c r="H114" s="1">
        <f t="shared" si="17"/>
        <v>1157842.6335000002</v>
      </c>
      <c r="I114" s="1">
        <f t="shared" si="17"/>
        <v>1342373.803214063</v>
      </c>
      <c r="J114" s="1">
        <f t="shared" si="17"/>
        <v>1542463.4833157817</v>
      </c>
      <c r="K114" s="1">
        <f t="shared" si="17"/>
        <v>1787130.1048072507</v>
      </c>
      <c r="L114" s="1">
        <f t="shared" si="17"/>
        <v>2052407.2297395768</v>
      </c>
      <c r="M114" s="1">
        <f t="shared" si="17"/>
        <v>2155027.591226556</v>
      </c>
      <c r="N114" s="1">
        <f t="shared" si="17"/>
        <v>2262778.9707878837</v>
      </c>
      <c r="O114" s="1">
        <f t="shared" si="17"/>
        <v>2375917.9193272777</v>
      </c>
      <c r="P114" s="1">
        <f t="shared" si="17"/>
        <v>2494713.8152936418</v>
      </c>
      <c r="Q114" s="1">
        <f t="shared" si="17"/>
        <v>2619449.506058324</v>
      </c>
      <c r="R114" s="1">
        <f t="shared" si="17"/>
        <v>2750421.9813612406</v>
      </c>
      <c r="S114" s="1">
        <f t="shared" si="17"/>
        <v>2887943.0804293025</v>
      </c>
      <c r="T114" s="1">
        <f t="shared" si="17"/>
        <v>3032340.2344507677</v>
      </c>
      <c r="U114" s="1">
        <f t="shared" si="17"/>
        <v>3183957.2461733064</v>
      </c>
      <c r="V114" s="1">
        <f t="shared" si="17"/>
        <v>3343155.108481972</v>
      </c>
      <c r="W114" s="1">
        <f t="shared" si="17"/>
        <v>3510312.863906071</v>
      </c>
      <c r="X114" s="1">
        <f t="shared" si="17"/>
        <v>3685828.5071013747</v>
      </c>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row>
    <row r="116" spans="1:56" s="63" customFormat="1" ht="11.25">
      <c r="A116" s="6" t="s">
        <v>10</v>
      </c>
      <c r="B116" s="6"/>
      <c r="C116" s="7"/>
      <c r="D116" s="7"/>
      <c r="E116" s="7"/>
      <c r="F116" s="7"/>
      <c r="G116" s="7"/>
      <c r="H116" s="7"/>
      <c r="I116" s="7"/>
      <c r="J116" s="7"/>
      <c r="K116" s="7"/>
      <c r="L116" s="7"/>
      <c r="M116" s="7"/>
      <c r="N116" s="7"/>
      <c r="O116" s="7"/>
      <c r="P116" s="7"/>
      <c r="Q116" s="7"/>
      <c r="R116" s="7"/>
      <c r="S116" s="7"/>
      <c r="T116" s="7"/>
      <c r="U116" s="7"/>
      <c r="V116" s="7"/>
      <c r="W116" s="7"/>
      <c r="X116" s="7"/>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row>
    <row r="117" spans="1:56" s="63" customFormat="1" ht="11.25">
      <c r="A117" s="1"/>
      <c r="B117" s="9">
        <f aca="true" t="shared" si="18" ref="B117:X117">B110</f>
        <v>0</v>
      </c>
      <c r="C117" s="9">
        <f t="shared" si="18"/>
        <v>2013</v>
      </c>
      <c r="D117" s="9">
        <f t="shared" si="18"/>
        <v>2014</v>
      </c>
      <c r="E117" s="9">
        <f t="shared" si="18"/>
        <v>2015</v>
      </c>
      <c r="F117" s="9">
        <f t="shared" si="18"/>
        <v>2016</v>
      </c>
      <c r="G117" s="9">
        <f t="shared" si="18"/>
        <v>2017</v>
      </c>
      <c r="H117" s="9">
        <f t="shared" si="18"/>
        <v>2018</v>
      </c>
      <c r="I117" s="9">
        <f t="shared" si="18"/>
        <v>2019</v>
      </c>
      <c r="J117" s="9">
        <f t="shared" si="18"/>
        <v>2020</v>
      </c>
      <c r="K117" s="9">
        <f t="shared" si="18"/>
        <v>2021</v>
      </c>
      <c r="L117" s="9">
        <f t="shared" si="18"/>
        <v>2022</v>
      </c>
      <c r="M117" s="9">
        <f t="shared" si="18"/>
        <v>2023</v>
      </c>
      <c r="N117" s="9">
        <f t="shared" si="18"/>
        <v>2024</v>
      </c>
      <c r="O117" s="9">
        <f t="shared" si="18"/>
        <v>2025</v>
      </c>
      <c r="P117" s="9">
        <f t="shared" si="18"/>
        <v>2026</v>
      </c>
      <c r="Q117" s="9">
        <f t="shared" si="18"/>
        <v>2027</v>
      </c>
      <c r="R117" s="9">
        <f t="shared" si="18"/>
        <v>2028</v>
      </c>
      <c r="S117" s="9">
        <f t="shared" si="18"/>
        <v>2029</v>
      </c>
      <c r="T117" s="9">
        <f t="shared" si="18"/>
        <v>2030</v>
      </c>
      <c r="U117" s="9">
        <f t="shared" si="18"/>
        <v>2031</v>
      </c>
      <c r="V117" s="9">
        <f t="shared" si="18"/>
        <v>2032</v>
      </c>
      <c r="W117" s="9">
        <f t="shared" si="18"/>
        <v>2033</v>
      </c>
      <c r="X117" s="9">
        <f t="shared" si="18"/>
        <v>2034</v>
      </c>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row>
    <row r="118" spans="1:56" s="63" customFormat="1" ht="12" thickBot="1">
      <c r="A118" s="4" t="s">
        <v>2</v>
      </c>
      <c r="B118" s="4"/>
      <c r="C118" s="4">
        <v>0</v>
      </c>
      <c r="D118" s="4">
        <v>1</v>
      </c>
      <c r="E118" s="4">
        <v>2</v>
      </c>
      <c r="F118" s="4">
        <v>3</v>
      </c>
      <c r="G118" s="4">
        <v>4</v>
      </c>
      <c r="H118" s="4">
        <v>5</v>
      </c>
      <c r="I118" s="4">
        <v>6</v>
      </c>
      <c r="J118" s="4">
        <v>7</v>
      </c>
      <c r="K118" s="4">
        <v>8</v>
      </c>
      <c r="L118" s="4">
        <v>9</v>
      </c>
      <c r="M118" s="4">
        <v>10</v>
      </c>
      <c r="N118" s="4">
        <v>11</v>
      </c>
      <c r="O118" s="4">
        <v>12</v>
      </c>
      <c r="P118" s="4">
        <v>13</v>
      </c>
      <c r="Q118" s="4">
        <v>14</v>
      </c>
      <c r="R118" s="4">
        <v>15</v>
      </c>
      <c r="S118" s="4">
        <v>16</v>
      </c>
      <c r="T118" s="4">
        <v>17</v>
      </c>
      <c r="U118" s="4">
        <v>18</v>
      </c>
      <c r="V118" s="4">
        <v>19</v>
      </c>
      <c r="W118" s="4">
        <v>20</v>
      </c>
      <c r="X118" s="4">
        <v>21</v>
      </c>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row>
    <row r="119" spans="1:56" s="63" customFormat="1" ht="12" thickTop="1">
      <c r="A119" s="24" t="s">
        <v>103</v>
      </c>
      <c r="B119" s="2"/>
      <c r="C119" s="1"/>
      <c r="D119" s="1"/>
      <c r="E119" s="1">
        <f>$B$29*E58*E112</f>
        <v>94818.3282</v>
      </c>
      <c r="F119" s="1">
        <f>$B$29*F58*F112</f>
        <v>112728.45686000002</v>
      </c>
      <c r="G119" s="1">
        <f>$B$29*G58*G112</f>
        <v>132681.39372422005</v>
      </c>
      <c r="H119" s="1">
        <f>$B$29*H58*H112</f>
        <v>154875.37231081686</v>
      </c>
      <c r="I119" s="1">
        <f>$B$29*I58*I112</f>
        <v>182978.79924471714</v>
      </c>
      <c r="J119" s="1">
        <f>$B$29*J58*J112</f>
        <v>214257.81662504052</v>
      </c>
      <c r="K119" s="1">
        <f>$B$29*K58*K112</f>
        <v>252971.98762901343</v>
      </c>
      <c r="L119" s="1">
        <f>$B$29*L58*L112</f>
        <v>296056.27927207976</v>
      </c>
      <c r="M119" s="1">
        <f>$B$29*M58*M112</f>
        <v>316780.2188211254</v>
      </c>
      <c r="N119" s="1">
        <f>$B$29*N58*N112</f>
        <v>338954.8341386041</v>
      </c>
      <c r="O119" s="1">
        <f>$B$29*O58*O112</f>
        <v>362681.67252830643</v>
      </c>
      <c r="P119" s="1">
        <f>$B$29*P58*P112</f>
        <v>388069.3896052879</v>
      </c>
      <c r="Q119" s="1">
        <f>$B$29*Q58*Q112</f>
        <v>415234.2468776581</v>
      </c>
      <c r="R119" s="1">
        <f>$B$29*R58*R112</f>
        <v>444300.6441590942</v>
      </c>
      <c r="S119" s="1">
        <f>$B$29*S58*S112</f>
        <v>475401.68925023085</v>
      </c>
      <c r="T119" s="1">
        <f>$B$29*T58*T112</f>
        <v>508679.80749774707</v>
      </c>
      <c r="U119" s="1">
        <f>$B$29*U58*U112</f>
        <v>544287.3940225894</v>
      </c>
      <c r="V119" s="1">
        <f>$B$29*V58*V112</f>
        <v>582387.5116041708</v>
      </c>
      <c r="W119" s="1">
        <f>$B$29*W58*W112</f>
        <v>623154.6374164628</v>
      </c>
      <c r="X119" s="1">
        <f>$B$29*X58*X112</f>
        <v>666775.4620356152</v>
      </c>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row>
    <row r="120" spans="1:56" s="63" customFormat="1" ht="11.25">
      <c r="A120" s="26" t="s">
        <v>104</v>
      </c>
      <c r="B120" s="1"/>
      <c r="C120" s="1"/>
      <c r="D120" s="1"/>
      <c r="E120" s="1">
        <f aca="true" t="shared" si="19" ref="E120:X120">$B$30*E58</f>
        <v>56964.499500000005</v>
      </c>
      <c r="F120" s="1">
        <f t="shared" si="19"/>
        <v>60952.01446500001</v>
      </c>
      <c r="G120" s="1">
        <f t="shared" si="19"/>
        <v>65218.65547755002</v>
      </c>
      <c r="H120" s="1">
        <f t="shared" si="19"/>
        <v>69783.96136097853</v>
      </c>
      <c r="I120" s="1">
        <f t="shared" si="19"/>
        <v>74668.83865624703</v>
      </c>
      <c r="J120" s="1">
        <f t="shared" si="19"/>
        <v>79895.65736218433</v>
      </c>
      <c r="K120" s="1">
        <f t="shared" si="19"/>
        <v>85488.35337753723</v>
      </c>
      <c r="L120" s="1">
        <f t="shared" si="19"/>
        <v>91472.53811396484</v>
      </c>
      <c r="M120" s="1">
        <f t="shared" si="19"/>
        <v>97875.6157819424</v>
      </c>
      <c r="N120" s="1">
        <f t="shared" si="19"/>
        <v>104726.90888667836</v>
      </c>
      <c r="O120" s="1">
        <f t="shared" si="19"/>
        <v>112057.79250874584</v>
      </c>
      <c r="P120" s="1">
        <f t="shared" si="19"/>
        <v>119901.83798435806</v>
      </c>
      <c r="Q120" s="1">
        <f t="shared" si="19"/>
        <v>128294.96664326313</v>
      </c>
      <c r="R120" s="1">
        <f t="shared" si="19"/>
        <v>137275.61430829158</v>
      </c>
      <c r="S120" s="1">
        <f t="shared" si="19"/>
        <v>146884.907309872</v>
      </c>
      <c r="T120" s="1">
        <f t="shared" si="19"/>
        <v>157166.85082156304</v>
      </c>
      <c r="U120" s="1">
        <f t="shared" si="19"/>
        <v>168168.53037907247</v>
      </c>
      <c r="V120" s="1">
        <f t="shared" si="19"/>
        <v>179940.32750560757</v>
      </c>
      <c r="W120" s="1">
        <f t="shared" si="19"/>
        <v>192536.15043100013</v>
      </c>
      <c r="X120" s="1">
        <f t="shared" si="19"/>
        <v>206013.68096117015</v>
      </c>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row>
    <row r="121" spans="1:56" s="63" customFormat="1" ht="11.25">
      <c r="A121" s="26" t="s">
        <v>32</v>
      </c>
      <c r="B121" s="1"/>
      <c r="C121" s="1"/>
      <c r="D121" s="1"/>
      <c r="E121" s="1">
        <f aca="true" t="shared" si="20" ref="E121:X121">E114*$B$31</f>
        <v>37507.05</v>
      </c>
      <c r="F121" s="1">
        <f t="shared" si="20"/>
        <v>43758.225000000006</v>
      </c>
      <c r="G121" s="1">
        <f t="shared" si="20"/>
        <v>50540.74987500001</v>
      </c>
      <c r="H121" s="1">
        <f t="shared" si="20"/>
        <v>57892.13167500001</v>
      </c>
      <c r="I121" s="1">
        <f t="shared" si="20"/>
        <v>67118.69016070315</v>
      </c>
      <c r="J121" s="1">
        <f t="shared" si="20"/>
        <v>77123.17416578908</v>
      </c>
      <c r="K121" s="1">
        <f t="shared" si="20"/>
        <v>89356.50524036255</v>
      </c>
      <c r="L121" s="1">
        <f t="shared" si="20"/>
        <v>102620.36148697884</v>
      </c>
      <c r="M121" s="1">
        <f t="shared" si="20"/>
        <v>107751.3795613278</v>
      </c>
      <c r="N121" s="1">
        <f t="shared" si="20"/>
        <v>113138.94853939419</v>
      </c>
      <c r="O121" s="1">
        <f t="shared" si="20"/>
        <v>118795.8959663639</v>
      </c>
      <c r="P121" s="1">
        <f t="shared" si="20"/>
        <v>124735.69076468209</v>
      </c>
      <c r="Q121" s="1">
        <f t="shared" si="20"/>
        <v>130972.47530291621</v>
      </c>
      <c r="R121" s="1">
        <f t="shared" si="20"/>
        <v>137521.09906806203</v>
      </c>
      <c r="S121" s="1">
        <f t="shared" si="20"/>
        <v>144397.15402146513</v>
      </c>
      <c r="T121" s="1">
        <f t="shared" si="20"/>
        <v>151617.0117225384</v>
      </c>
      <c r="U121" s="1">
        <f t="shared" si="20"/>
        <v>159197.86230866532</v>
      </c>
      <c r="V121" s="1">
        <f t="shared" si="20"/>
        <v>167157.7554240986</v>
      </c>
      <c r="W121" s="1">
        <f t="shared" si="20"/>
        <v>175515.64319530356</v>
      </c>
      <c r="X121" s="1">
        <f t="shared" si="20"/>
        <v>184291.42535506876</v>
      </c>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row>
    <row r="122" spans="1:56" s="63" customFormat="1" ht="11.25">
      <c r="A122" s="1" t="s">
        <v>12</v>
      </c>
      <c r="B122" s="1"/>
      <c r="C122" s="1"/>
      <c r="D122" s="1"/>
      <c r="E122" s="1">
        <f>E121+E120+E119</f>
        <v>189289.8777</v>
      </c>
      <c r="F122" s="1">
        <f aca="true" t="shared" si="21" ref="F122:X122">F121+F120+F119</f>
        <v>217438.69632500003</v>
      </c>
      <c r="G122" s="1">
        <f t="shared" si="21"/>
        <v>248440.79907677008</v>
      </c>
      <c r="H122" s="1">
        <f t="shared" si="21"/>
        <v>282551.4653467954</v>
      </c>
      <c r="I122" s="1">
        <f t="shared" si="21"/>
        <v>324766.3280616673</v>
      </c>
      <c r="J122" s="1">
        <f t="shared" si="21"/>
        <v>371276.6481530139</v>
      </c>
      <c r="K122" s="1">
        <f t="shared" si="21"/>
        <v>427816.8462469132</v>
      </c>
      <c r="L122" s="1">
        <f t="shared" si="21"/>
        <v>490149.1788730234</v>
      </c>
      <c r="M122" s="1">
        <f t="shared" si="21"/>
        <v>522407.2141643956</v>
      </c>
      <c r="N122" s="1">
        <f t="shared" si="21"/>
        <v>556820.6915646766</v>
      </c>
      <c r="O122" s="1">
        <f t="shared" si="21"/>
        <v>593535.3610034161</v>
      </c>
      <c r="P122" s="1">
        <f t="shared" si="21"/>
        <v>632706.918354328</v>
      </c>
      <c r="Q122" s="1">
        <f t="shared" si="21"/>
        <v>674501.6888238374</v>
      </c>
      <c r="R122" s="1">
        <f t="shared" si="21"/>
        <v>719097.3575354478</v>
      </c>
      <c r="S122" s="1">
        <f t="shared" si="21"/>
        <v>766683.750581568</v>
      </c>
      <c r="T122" s="1">
        <f t="shared" si="21"/>
        <v>817463.6700418484</v>
      </c>
      <c r="U122" s="1">
        <f t="shared" si="21"/>
        <v>871653.7867103273</v>
      </c>
      <c r="V122" s="1">
        <f t="shared" si="21"/>
        <v>929485.594533877</v>
      </c>
      <c r="W122" s="1">
        <f t="shared" si="21"/>
        <v>991206.4310427664</v>
      </c>
      <c r="X122" s="1">
        <f t="shared" si="21"/>
        <v>1057080.568351854</v>
      </c>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row>
    <row r="124" spans="1:56" s="63" customFormat="1" ht="11.25">
      <c r="A124" s="6" t="s">
        <v>149</v>
      </c>
      <c r="B124" s="6"/>
      <c r="C124" s="7"/>
      <c r="D124" s="7"/>
      <c r="E124" s="7"/>
      <c r="F124" s="7"/>
      <c r="G124" s="7"/>
      <c r="H124" s="7"/>
      <c r="I124" s="7"/>
      <c r="J124" s="7"/>
      <c r="K124" s="7"/>
      <c r="L124" s="7"/>
      <c r="M124" s="7"/>
      <c r="N124" s="7"/>
      <c r="O124" s="7"/>
      <c r="P124" s="7"/>
      <c r="Q124" s="7"/>
      <c r="R124" s="7"/>
      <c r="S124" s="7"/>
      <c r="T124" s="7"/>
      <c r="U124" s="7"/>
      <c r="V124" s="7"/>
      <c r="W124" s="7"/>
      <c r="X124" s="7"/>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row>
    <row r="125" spans="1:56" s="63" customFormat="1" ht="11.25">
      <c r="A125" s="1"/>
      <c r="B125" s="9">
        <f aca="true" t="shared" si="22" ref="B125:X125">B1</f>
        <v>2012</v>
      </c>
      <c r="C125" s="9">
        <f t="shared" si="22"/>
        <v>2013</v>
      </c>
      <c r="D125" s="9">
        <f t="shared" si="22"/>
        <v>2014</v>
      </c>
      <c r="E125" s="9">
        <f t="shared" si="22"/>
        <v>2015</v>
      </c>
      <c r="F125" s="9">
        <f t="shared" si="22"/>
        <v>2016</v>
      </c>
      <c r="G125" s="9">
        <f t="shared" si="22"/>
        <v>2017</v>
      </c>
      <c r="H125" s="9">
        <f t="shared" si="22"/>
        <v>2018</v>
      </c>
      <c r="I125" s="9">
        <f t="shared" si="22"/>
        <v>2019</v>
      </c>
      <c r="J125" s="9">
        <f t="shared" si="22"/>
        <v>2020</v>
      </c>
      <c r="K125" s="9">
        <f t="shared" si="22"/>
        <v>2021</v>
      </c>
      <c r="L125" s="9">
        <f t="shared" si="22"/>
        <v>2022</v>
      </c>
      <c r="M125" s="9">
        <f t="shared" si="22"/>
        <v>2023</v>
      </c>
      <c r="N125" s="9">
        <f t="shared" si="22"/>
        <v>2024</v>
      </c>
      <c r="O125" s="9">
        <f t="shared" si="22"/>
        <v>2025</v>
      </c>
      <c r="P125" s="9">
        <f t="shared" si="22"/>
        <v>2026</v>
      </c>
      <c r="Q125" s="9">
        <f t="shared" si="22"/>
        <v>2027</v>
      </c>
      <c r="R125" s="9">
        <f t="shared" si="22"/>
        <v>2028</v>
      </c>
      <c r="S125" s="9">
        <f t="shared" si="22"/>
        <v>2029</v>
      </c>
      <c r="T125" s="9">
        <f t="shared" si="22"/>
        <v>2030</v>
      </c>
      <c r="U125" s="9">
        <f t="shared" si="22"/>
        <v>2031</v>
      </c>
      <c r="V125" s="9">
        <f t="shared" si="22"/>
        <v>2032</v>
      </c>
      <c r="W125" s="9">
        <f t="shared" si="22"/>
        <v>2033</v>
      </c>
      <c r="X125" s="9">
        <f t="shared" si="22"/>
        <v>2034</v>
      </c>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row>
    <row r="126" spans="1:56" s="63" customFormat="1" ht="12" thickBot="1">
      <c r="A126" s="4" t="s">
        <v>2</v>
      </c>
      <c r="B126" s="4"/>
      <c r="C126" s="4">
        <v>0</v>
      </c>
      <c r="D126" s="4">
        <v>1</v>
      </c>
      <c r="E126" s="4">
        <v>2</v>
      </c>
      <c r="F126" s="4">
        <v>3</v>
      </c>
      <c r="G126" s="4">
        <v>4</v>
      </c>
      <c r="H126" s="4">
        <v>5</v>
      </c>
      <c r="I126" s="4">
        <v>6</v>
      </c>
      <c r="J126" s="4">
        <v>7</v>
      </c>
      <c r="K126" s="4">
        <v>8</v>
      </c>
      <c r="L126" s="4">
        <v>9</v>
      </c>
      <c r="M126" s="4">
        <v>10</v>
      </c>
      <c r="N126" s="4">
        <v>11</v>
      </c>
      <c r="O126" s="4">
        <v>12</v>
      </c>
      <c r="P126" s="4">
        <v>13</v>
      </c>
      <c r="Q126" s="4">
        <v>14</v>
      </c>
      <c r="R126" s="4">
        <v>15</v>
      </c>
      <c r="S126" s="4">
        <v>16</v>
      </c>
      <c r="T126" s="4">
        <v>17</v>
      </c>
      <c r="U126" s="4">
        <v>18</v>
      </c>
      <c r="V126" s="4">
        <v>19</v>
      </c>
      <c r="W126" s="4">
        <v>20</v>
      </c>
      <c r="X126" s="4">
        <v>21</v>
      </c>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row>
    <row r="127" spans="1:56" s="63" customFormat="1" ht="12" thickTop="1">
      <c r="A127" s="1" t="s">
        <v>33</v>
      </c>
      <c r="B127" s="1"/>
      <c r="C127" s="1"/>
      <c r="D127" s="1"/>
      <c r="E127" s="1">
        <f>E114</f>
        <v>750141</v>
      </c>
      <c r="F127" s="1">
        <f aca="true" t="shared" si="23" ref="F127:X127">F114</f>
        <v>875164.5</v>
      </c>
      <c r="G127" s="1">
        <f t="shared" si="23"/>
        <v>1010814.9975000002</v>
      </c>
      <c r="H127" s="1">
        <f t="shared" si="23"/>
        <v>1157842.6335000002</v>
      </c>
      <c r="I127" s="1">
        <f t="shared" si="23"/>
        <v>1342373.803214063</v>
      </c>
      <c r="J127" s="1">
        <f t="shared" si="23"/>
        <v>1542463.4833157817</v>
      </c>
      <c r="K127" s="1">
        <f t="shared" si="23"/>
        <v>1787130.1048072507</v>
      </c>
      <c r="L127" s="1">
        <f t="shared" si="23"/>
        <v>2052407.2297395768</v>
      </c>
      <c r="M127" s="1">
        <f t="shared" si="23"/>
        <v>2155027.591226556</v>
      </c>
      <c r="N127" s="1">
        <f t="shared" si="23"/>
        <v>2262778.9707878837</v>
      </c>
      <c r="O127" s="1">
        <f t="shared" si="23"/>
        <v>2375917.9193272777</v>
      </c>
      <c r="P127" s="1">
        <f t="shared" si="23"/>
        <v>2494713.8152936418</v>
      </c>
      <c r="Q127" s="1">
        <f t="shared" si="23"/>
        <v>2619449.506058324</v>
      </c>
      <c r="R127" s="1">
        <f t="shared" si="23"/>
        <v>2750421.9813612406</v>
      </c>
      <c r="S127" s="1">
        <f t="shared" si="23"/>
        <v>2887943.0804293025</v>
      </c>
      <c r="T127" s="1">
        <f t="shared" si="23"/>
        <v>3032340.2344507677</v>
      </c>
      <c r="U127" s="1">
        <f t="shared" si="23"/>
        <v>3183957.2461733064</v>
      </c>
      <c r="V127" s="1">
        <f t="shared" si="23"/>
        <v>3343155.108481972</v>
      </c>
      <c r="W127" s="1">
        <f t="shared" si="23"/>
        <v>3510312.863906071</v>
      </c>
      <c r="X127" s="1">
        <f t="shared" si="23"/>
        <v>3685828.5071013747</v>
      </c>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row>
    <row r="128" spans="1:56" s="63" customFormat="1" ht="11.25">
      <c r="A128" s="15" t="s">
        <v>35</v>
      </c>
      <c r="B128" s="1"/>
      <c r="C128" s="1"/>
      <c r="D128" s="1"/>
      <c r="E128" s="1">
        <f>-E122</f>
        <v>-189289.8777</v>
      </c>
      <c r="F128" s="1">
        <f aca="true" t="shared" si="24" ref="F128:X128">-F122</f>
        <v>-217438.69632500003</v>
      </c>
      <c r="G128" s="1">
        <f t="shared" si="24"/>
        <v>-248440.79907677008</v>
      </c>
      <c r="H128" s="1">
        <f t="shared" si="24"/>
        <v>-282551.4653467954</v>
      </c>
      <c r="I128" s="1">
        <f t="shared" si="24"/>
        <v>-324766.3280616673</v>
      </c>
      <c r="J128" s="1">
        <f t="shared" si="24"/>
        <v>-371276.6481530139</v>
      </c>
      <c r="K128" s="1">
        <f t="shared" si="24"/>
        <v>-427816.8462469132</v>
      </c>
      <c r="L128" s="1">
        <f t="shared" si="24"/>
        <v>-490149.1788730234</v>
      </c>
      <c r="M128" s="1">
        <f t="shared" si="24"/>
        <v>-522407.2141643956</v>
      </c>
      <c r="N128" s="1">
        <f t="shared" si="24"/>
        <v>-556820.6915646766</v>
      </c>
      <c r="O128" s="1">
        <f t="shared" si="24"/>
        <v>-593535.3610034161</v>
      </c>
      <c r="P128" s="1">
        <f t="shared" si="24"/>
        <v>-632706.918354328</v>
      </c>
      <c r="Q128" s="1">
        <f t="shared" si="24"/>
        <v>-674501.6888238374</v>
      </c>
      <c r="R128" s="1">
        <f t="shared" si="24"/>
        <v>-719097.3575354478</v>
      </c>
      <c r="S128" s="1">
        <f t="shared" si="24"/>
        <v>-766683.750581568</v>
      </c>
      <c r="T128" s="1">
        <f t="shared" si="24"/>
        <v>-817463.6700418484</v>
      </c>
      <c r="U128" s="1">
        <f t="shared" si="24"/>
        <v>-871653.7867103273</v>
      </c>
      <c r="V128" s="1">
        <f t="shared" si="24"/>
        <v>-929485.594533877</v>
      </c>
      <c r="W128" s="1">
        <f t="shared" si="24"/>
        <v>-991206.4310427664</v>
      </c>
      <c r="X128" s="1">
        <f t="shared" si="24"/>
        <v>-1057080.568351854</v>
      </c>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row>
    <row r="129" spans="1:56" s="63" customFormat="1" ht="11.25">
      <c r="A129" s="28" t="s">
        <v>34</v>
      </c>
      <c r="B129" s="1"/>
      <c r="C129" s="1"/>
      <c r="D129" s="1"/>
      <c r="E129" s="1">
        <f aca="true" t="shared" si="25" ref="E129:X129">E128+E127</f>
        <v>560851.1222999999</v>
      </c>
      <c r="F129" s="1">
        <f t="shared" si="25"/>
        <v>657725.803675</v>
      </c>
      <c r="G129" s="1">
        <f t="shared" si="25"/>
        <v>762374.1984232301</v>
      </c>
      <c r="H129" s="1">
        <f t="shared" si="25"/>
        <v>875291.1681532048</v>
      </c>
      <c r="I129" s="1">
        <f t="shared" si="25"/>
        <v>1017607.4751523957</v>
      </c>
      <c r="J129" s="1">
        <f t="shared" si="25"/>
        <v>1171186.8351627677</v>
      </c>
      <c r="K129" s="1">
        <f t="shared" si="25"/>
        <v>1359313.2585603376</v>
      </c>
      <c r="L129" s="1">
        <f t="shared" si="25"/>
        <v>1562258.0508665533</v>
      </c>
      <c r="M129" s="1">
        <f t="shared" si="25"/>
        <v>1632620.3770621603</v>
      </c>
      <c r="N129" s="1">
        <f t="shared" si="25"/>
        <v>1705958.2792232072</v>
      </c>
      <c r="O129" s="1">
        <f t="shared" si="25"/>
        <v>1782382.5583238616</v>
      </c>
      <c r="P129" s="1">
        <f t="shared" si="25"/>
        <v>1862006.8969393137</v>
      </c>
      <c r="Q129" s="1">
        <f t="shared" si="25"/>
        <v>1944947.8172344868</v>
      </c>
      <c r="R129" s="1">
        <f t="shared" si="25"/>
        <v>2031324.6238257927</v>
      </c>
      <c r="S129" s="1">
        <f t="shared" si="25"/>
        <v>2121259.3298477344</v>
      </c>
      <c r="T129" s="1">
        <f t="shared" si="25"/>
        <v>2214876.5644089193</v>
      </c>
      <c r="U129" s="1">
        <f t="shared" si="25"/>
        <v>2312303.459462979</v>
      </c>
      <c r="V129" s="1">
        <f t="shared" si="25"/>
        <v>2413669.513948095</v>
      </c>
      <c r="W129" s="1">
        <f t="shared" si="25"/>
        <v>2519106.4328633044</v>
      </c>
      <c r="X129" s="1">
        <f t="shared" si="25"/>
        <v>2628747.9387495206</v>
      </c>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row>
    <row r="130" spans="1:56" s="63" customFormat="1" ht="11.25">
      <c r="A130" s="15" t="s">
        <v>36</v>
      </c>
      <c r="B130" s="1"/>
      <c r="C130" s="1"/>
      <c r="D130" s="1"/>
      <c r="E130" s="1">
        <f>-E81</f>
        <v>-202549.85938</v>
      </c>
      <c r="F130" s="1">
        <f aca="true" t="shared" si="26" ref="F130:X130">-F81</f>
        <v>-202549.85938</v>
      </c>
      <c r="G130" s="1">
        <f t="shared" si="26"/>
        <v>-202549.85938</v>
      </c>
      <c r="H130" s="1">
        <f t="shared" si="26"/>
        <v>-202549.85938</v>
      </c>
      <c r="I130" s="1">
        <f t="shared" si="26"/>
        <v>-202549.85938</v>
      </c>
      <c r="J130" s="1">
        <f t="shared" si="26"/>
        <v>-202549.85938</v>
      </c>
      <c r="K130" s="1">
        <f t="shared" si="26"/>
        <v>-202549.85938</v>
      </c>
      <c r="L130" s="1">
        <f t="shared" si="26"/>
        <v>-202549.85938</v>
      </c>
      <c r="M130" s="1">
        <f t="shared" si="26"/>
        <v>-202549.85938</v>
      </c>
      <c r="N130" s="1">
        <f t="shared" si="26"/>
        <v>-202549.85938</v>
      </c>
      <c r="O130" s="1">
        <f t="shared" si="26"/>
        <v>-202549.85938</v>
      </c>
      <c r="P130" s="1">
        <f t="shared" si="26"/>
        <v>-202549.85938</v>
      </c>
      <c r="Q130" s="1">
        <f t="shared" si="26"/>
        <v>-202549.85938</v>
      </c>
      <c r="R130" s="1">
        <f t="shared" si="26"/>
        <v>-202549.85938</v>
      </c>
      <c r="S130" s="1">
        <f t="shared" si="26"/>
        <v>-202549.85938</v>
      </c>
      <c r="T130" s="1">
        <f t="shared" si="26"/>
        <v>-202549.85938</v>
      </c>
      <c r="U130" s="1">
        <f t="shared" si="26"/>
        <v>-202549.85938</v>
      </c>
      <c r="V130" s="1">
        <f t="shared" si="26"/>
        <v>-202549.85938</v>
      </c>
      <c r="W130" s="1">
        <f t="shared" si="26"/>
        <v>-202549.85938</v>
      </c>
      <c r="X130" s="1">
        <f t="shared" si="26"/>
        <v>-202549.85938</v>
      </c>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row>
    <row r="131" spans="1:56" s="63" customFormat="1" ht="11.25">
      <c r="A131" s="1" t="s">
        <v>13</v>
      </c>
      <c r="B131" s="1"/>
      <c r="C131" s="1"/>
      <c r="D131" s="1"/>
      <c r="E131" s="1">
        <f>E130+E129</f>
        <v>358301.2629199999</v>
      </c>
      <c r="F131" s="1">
        <f aca="true" t="shared" si="27" ref="F131:X131">F130+F129</f>
        <v>455175.94429499994</v>
      </c>
      <c r="G131" s="1">
        <f t="shared" si="27"/>
        <v>559824.33904323</v>
      </c>
      <c r="H131" s="1">
        <f t="shared" si="27"/>
        <v>672741.3087732048</v>
      </c>
      <c r="I131" s="1">
        <f t="shared" si="27"/>
        <v>815057.6157723956</v>
      </c>
      <c r="J131" s="1">
        <f t="shared" si="27"/>
        <v>968636.9757827676</v>
      </c>
      <c r="K131" s="1">
        <f t="shared" si="27"/>
        <v>1156763.3991803376</v>
      </c>
      <c r="L131" s="1">
        <f t="shared" si="27"/>
        <v>1359708.1914865533</v>
      </c>
      <c r="M131" s="1">
        <f t="shared" si="27"/>
        <v>1430070.5176821603</v>
      </c>
      <c r="N131" s="1">
        <f t="shared" si="27"/>
        <v>1503408.419843207</v>
      </c>
      <c r="O131" s="1">
        <f t="shared" si="27"/>
        <v>1579832.6989438615</v>
      </c>
      <c r="P131" s="1">
        <f t="shared" si="27"/>
        <v>1659457.0375593137</v>
      </c>
      <c r="Q131" s="1">
        <f t="shared" si="27"/>
        <v>1742397.9578544868</v>
      </c>
      <c r="R131" s="1">
        <f t="shared" si="27"/>
        <v>1828774.7644457927</v>
      </c>
      <c r="S131" s="1">
        <f t="shared" si="27"/>
        <v>1918709.4704677344</v>
      </c>
      <c r="T131" s="1">
        <f t="shared" si="27"/>
        <v>2012326.7050289193</v>
      </c>
      <c r="U131" s="1">
        <f t="shared" si="27"/>
        <v>2109753.600082979</v>
      </c>
      <c r="V131" s="1">
        <f t="shared" si="27"/>
        <v>2211119.654568095</v>
      </c>
      <c r="W131" s="1">
        <f t="shared" si="27"/>
        <v>2316556.5734833046</v>
      </c>
      <c r="X131" s="1">
        <f t="shared" si="27"/>
        <v>2426198.079369521</v>
      </c>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row>
    <row r="132" spans="1:56" s="63" customFormat="1" ht="11.25">
      <c r="A132" s="15" t="s">
        <v>26</v>
      </c>
      <c r="B132" s="1"/>
      <c r="C132" s="1"/>
      <c r="D132" s="1"/>
      <c r="E132" s="1">
        <f>-E102</f>
        <v>-264500</v>
      </c>
      <c r="F132" s="1">
        <f aca="true" t="shared" si="28" ref="F132:X132">-F102</f>
        <v>-247903.84305357566</v>
      </c>
      <c r="G132" s="1">
        <f t="shared" si="28"/>
        <v>-229648.07041250894</v>
      </c>
      <c r="H132" s="1">
        <f t="shared" si="28"/>
        <v>-209566.72050733553</v>
      </c>
      <c r="I132" s="1">
        <f t="shared" si="28"/>
        <v>-187477.23561164478</v>
      </c>
      <c r="J132" s="1">
        <f t="shared" si="28"/>
        <v>-163178.80222638496</v>
      </c>
      <c r="K132" s="1">
        <f t="shared" si="28"/>
        <v>-136450.52550259914</v>
      </c>
      <c r="L132" s="1">
        <f t="shared" si="28"/>
        <v>-107049.42110643473</v>
      </c>
      <c r="M132" s="1">
        <f t="shared" si="28"/>
        <v>-74708.2062706539</v>
      </c>
      <c r="N132" s="1">
        <f t="shared" si="28"/>
        <v>-39132.86995129498</v>
      </c>
      <c r="O132" s="1">
        <f t="shared" si="28"/>
        <v>-1.673470251262188E-10</v>
      </c>
      <c r="P132" s="1">
        <f t="shared" si="28"/>
        <v>-1.673470251262188E-10</v>
      </c>
      <c r="Q132" s="1">
        <f t="shared" si="28"/>
        <v>-1.673470251262188E-10</v>
      </c>
      <c r="R132" s="1">
        <f t="shared" si="28"/>
        <v>-1.673470251262188E-10</v>
      </c>
      <c r="S132" s="1">
        <f t="shared" si="28"/>
        <v>-1.673470251262188E-10</v>
      </c>
      <c r="T132" s="1">
        <f t="shared" si="28"/>
        <v>-1.673470251262188E-10</v>
      </c>
      <c r="U132" s="1">
        <f t="shared" si="28"/>
        <v>-1.673470251262188E-10</v>
      </c>
      <c r="V132" s="1">
        <f t="shared" si="28"/>
        <v>-1.673470251262188E-10</v>
      </c>
      <c r="W132" s="1">
        <f t="shared" si="28"/>
        <v>-1.673470251262188E-10</v>
      </c>
      <c r="X132" s="1">
        <f t="shared" si="28"/>
        <v>-1.673470251262188E-10</v>
      </c>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row>
    <row r="133" spans="1:56" s="63" customFormat="1" ht="11.25">
      <c r="A133" s="1" t="s">
        <v>14</v>
      </c>
      <c r="B133" s="1"/>
      <c r="C133" s="1"/>
      <c r="D133" s="1"/>
      <c r="E133" s="1">
        <f>E132+E131</f>
        <v>93801.26291999989</v>
      </c>
      <c r="F133" s="1">
        <f aca="true" t="shared" si="29" ref="F133:X133">F132+F131</f>
        <v>207272.10124142427</v>
      </c>
      <c r="G133" s="1">
        <f t="shared" si="29"/>
        <v>330176.26863072114</v>
      </c>
      <c r="H133" s="1">
        <f t="shared" si="29"/>
        <v>463174.5882658693</v>
      </c>
      <c r="I133" s="1">
        <f t="shared" si="29"/>
        <v>627580.3801607508</v>
      </c>
      <c r="J133" s="1">
        <f t="shared" si="29"/>
        <v>805458.1735563827</v>
      </c>
      <c r="K133" s="1">
        <f t="shared" si="29"/>
        <v>1020312.8736777385</v>
      </c>
      <c r="L133" s="1">
        <f t="shared" si="29"/>
        <v>1252658.7703801186</v>
      </c>
      <c r="M133" s="1">
        <f t="shared" si="29"/>
        <v>1355362.3114115063</v>
      </c>
      <c r="N133" s="1">
        <f t="shared" si="29"/>
        <v>1464275.5498919121</v>
      </c>
      <c r="O133" s="1">
        <f t="shared" si="29"/>
        <v>1579832.6989438613</v>
      </c>
      <c r="P133" s="1">
        <f t="shared" si="29"/>
        <v>1659457.0375593135</v>
      </c>
      <c r="Q133" s="1">
        <f t="shared" si="29"/>
        <v>1742397.9578544865</v>
      </c>
      <c r="R133" s="1">
        <f t="shared" si="29"/>
        <v>1828774.7644457924</v>
      </c>
      <c r="S133" s="1">
        <f t="shared" si="29"/>
        <v>1918709.4704677342</v>
      </c>
      <c r="T133" s="1">
        <f t="shared" si="29"/>
        <v>2012326.705028919</v>
      </c>
      <c r="U133" s="1">
        <f t="shared" si="29"/>
        <v>2109753.600082979</v>
      </c>
      <c r="V133" s="1">
        <f t="shared" si="29"/>
        <v>2211119.654568095</v>
      </c>
      <c r="W133" s="1">
        <f t="shared" si="29"/>
        <v>2316556.5734833046</v>
      </c>
      <c r="X133" s="1">
        <f t="shared" si="29"/>
        <v>2426198.079369521</v>
      </c>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row>
    <row r="134" spans="1:56" s="63" customFormat="1" ht="11.25">
      <c r="A134" s="1" t="s">
        <v>15</v>
      </c>
      <c r="B134" s="1"/>
      <c r="C134" s="1"/>
      <c r="D134" s="1"/>
      <c r="E134" s="1">
        <f>MAX(0,E133)</f>
        <v>93801.26291999989</v>
      </c>
      <c r="F134" s="1">
        <f aca="true" t="shared" si="30" ref="F134:X134">MAX(0,F133)</f>
        <v>207272.10124142427</v>
      </c>
      <c r="G134" s="1">
        <f t="shared" si="30"/>
        <v>330176.26863072114</v>
      </c>
      <c r="H134" s="1">
        <f t="shared" si="30"/>
        <v>463174.5882658693</v>
      </c>
      <c r="I134" s="1">
        <f t="shared" si="30"/>
        <v>627580.3801607508</v>
      </c>
      <c r="J134" s="1">
        <f t="shared" si="30"/>
        <v>805458.1735563827</v>
      </c>
      <c r="K134" s="1">
        <f t="shared" si="30"/>
        <v>1020312.8736777385</v>
      </c>
      <c r="L134" s="1">
        <f t="shared" si="30"/>
        <v>1252658.7703801186</v>
      </c>
      <c r="M134" s="1">
        <f t="shared" si="30"/>
        <v>1355362.3114115063</v>
      </c>
      <c r="N134" s="1">
        <f t="shared" si="30"/>
        <v>1464275.5498919121</v>
      </c>
      <c r="O134" s="1">
        <f t="shared" si="30"/>
        <v>1579832.6989438613</v>
      </c>
      <c r="P134" s="1">
        <f t="shared" si="30"/>
        <v>1659457.0375593135</v>
      </c>
      <c r="Q134" s="1">
        <f t="shared" si="30"/>
        <v>1742397.9578544865</v>
      </c>
      <c r="R134" s="1">
        <f t="shared" si="30"/>
        <v>1828774.7644457924</v>
      </c>
      <c r="S134" s="1">
        <f t="shared" si="30"/>
        <v>1918709.4704677342</v>
      </c>
      <c r="T134" s="1">
        <f t="shared" si="30"/>
        <v>2012326.705028919</v>
      </c>
      <c r="U134" s="1">
        <f t="shared" si="30"/>
        <v>2109753.600082979</v>
      </c>
      <c r="V134" s="1">
        <f t="shared" si="30"/>
        <v>2211119.654568095</v>
      </c>
      <c r="W134" s="1">
        <f t="shared" si="30"/>
        <v>2316556.5734833046</v>
      </c>
      <c r="X134" s="1">
        <f t="shared" si="30"/>
        <v>2426198.079369521</v>
      </c>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row>
    <row r="135" spans="1:56" s="63" customFormat="1" ht="11.25">
      <c r="A135" s="15" t="s">
        <v>66</v>
      </c>
      <c r="B135" s="1"/>
      <c r="C135" s="1"/>
      <c r="D135" s="1"/>
      <c r="E135" s="1">
        <f>-E134*$B$34</f>
        <v>-23450.315729999973</v>
      </c>
      <c r="F135" s="1">
        <f aca="true" t="shared" si="31" ref="F135:X135">-F134*$B$34</f>
        <v>-51818.02531035607</v>
      </c>
      <c r="G135" s="1">
        <f t="shared" si="31"/>
        <v>-82544.06715768029</v>
      </c>
      <c r="H135" s="1">
        <f t="shared" si="31"/>
        <v>-115793.64706646733</v>
      </c>
      <c r="I135" s="1">
        <f t="shared" si="31"/>
        <v>-156895.0950401877</v>
      </c>
      <c r="J135" s="1">
        <f t="shared" si="31"/>
        <v>-201364.54338909566</v>
      </c>
      <c r="K135" s="1">
        <f t="shared" si="31"/>
        <v>-255078.21841943462</v>
      </c>
      <c r="L135" s="1">
        <f t="shared" si="31"/>
        <v>-313164.69259502966</v>
      </c>
      <c r="M135" s="1">
        <f t="shared" si="31"/>
        <v>-338840.57785287657</v>
      </c>
      <c r="N135" s="1">
        <f t="shared" si="31"/>
        <v>-366068.88747297804</v>
      </c>
      <c r="O135" s="1">
        <f t="shared" si="31"/>
        <v>-394958.1747359653</v>
      </c>
      <c r="P135" s="1">
        <f t="shared" si="31"/>
        <v>-414864.25938982837</v>
      </c>
      <c r="Q135" s="1">
        <f t="shared" si="31"/>
        <v>-435599.48946362163</v>
      </c>
      <c r="R135" s="1">
        <f t="shared" si="31"/>
        <v>-457193.6911114481</v>
      </c>
      <c r="S135" s="1">
        <f t="shared" si="31"/>
        <v>-479677.36761693354</v>
      </c>
      <c r="T135" s="1">
        <f t="shared" si="31"/>
        <v>-503081.67625722976</v>
      </c>
      <c r="U135" s="1">
        <f t="shared" si="31"/>
        <v>-527438.4000207448</v>
      </c>
      <c r="V135" s="1">
        <f t="shared" si="31"/>
        <v>-552779.9136420238</v>
      </c>
      <c r="W135" s="1">
        <f t="shared" si="31"/>
        <v>-579139.1433708261</v>
      </c>
      <c r="X135" s="1">
        <f t="shared" si="31"/>
        <v>-606549.5198423802</v>
      </c>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row>
    <row r="136" spans="1:56" s="63" customFormat="1" ht="11.25">
      <c r="A136" s="1" t="s">
        <v>17</v>
      </c>
      <c r="B136" s="1"/>
      <c r="C136" s="1"/>
      <c r="D136" s="1"/>
      <c r="E136" s="1">
        <f aca="true" t="shared" si="32" ref="E136:X136">E133+E135</f>
        <v>70350.94718999992</v>
      </c>
      <c r="F136" s="1">
        <f t="shared" si="32"/>
        <v>155454.07593106822</v>
      </c>
      <c r="G136" s="1">
        <f t="shared" si="32"/>
        <v>247632.20147304086</v>
      </c>
      <c r="H136" s="1">
        <f t="shared" si="32"/>
        <v>347380.941199402</v>
      </c>
      <c r="I136" s="1">
        <f t="shared" si="32"/>
        <v>470685.2851205631</v>
      </c>
      <c r="J136" s="1">
        <f t="shared" si="32"/>
        <v>604093.630167287</v>
      </c>
      <c r="K136" s="1">
        <f t="shared" si="32"/>
        <v>765234.6552583039</v>
      </c>
      <c r="L136" s="1">
        <f t="shared" si="32"/>
        <v>939494.0777850889</v>
      </c>
      <c r="M136" s="1">
        <f t="shared" si="32"/>
        <v>1016521.7335586296</v>
      </c>
      <c r="N136" s="1">
        <f t="shared" si="32"/>
        <v>1098206.662418934</v>
      </c>
      <c r="O136" s="1">
        <f t="shared" si="32"/>
        <v>1184874.524207896</v>
      </c>
      <c r="P136" s="1">
        <f t="shared" si="32"/>
        <v>1244592.778169485</v>
      </c>
      <c r="Q136" s="1">
        <f t="shared" si="32"/>
        <v>1306798.4683908648</v>
      </c>
      <c r="R136" s="1">
        <f t="shared" si="32"/>
        <v>1371581.0733343442</v>
      </c>
      <c r="S136" s="1">
        <f t="shared" si="32"/>
        <v>1439032.1028508006</v>
      </c>
      <c r="T136" s="1">
        <f t="shared" si="32"/>
        <v>1509245.0287716892</v>
      </c>
      <c r="U136" s="1">
        <f t="shared" si="32"/>
        <v>1582315.2000622344</v>
      </c>
      <c r="V136" s="1">
        <f t="shared" si="32"/>
        <v>1658339.7409260715</v>
      </c>
      <c r="W136" s="1">
        <f t="shared" si="32"/>
        <v>1737417.4301124783</v>
      </c>
      <c r="X136" s="1">
        <f t="shared" si="32"/>
        <v>1819648.5595271406</v>
      </c>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row>
    <row r="138" spans="1:56" s="63" customFormat="1" ht="11.25">
      <c r="A138" s="6" t="s">
        <v>43</v>
      </c>
      <c r="B138" s="6"/>
      <c r="C138" s="7"/>
      <c r="D138" s="7"/>
      <c r="E138" s="7"/>
      <c r="F138" s="7"/>
      <c r="G138" s="7"/>
      <c r="H138" s="7"/>
      <c r="I138" s="7"/>
      <c r="J138" s="7"/>
      <c r="K138" s="7"/>
      <c r="L138" s="7"/>
      <c r="M138" s="7"/>
      <c r="N138" s="7"/>
      <c r="O138" s="7"/>
      <c r="P138" s="7"/>
      <c r="Q138" s="7"/>
      <c r="R138" s="7"/>
      <c r="S138" s="7"/>
      <c r="T138" s="7"/>
      <c r="U138" s="7"/>
      <c r="V138" s="7"/>
      <c r="W138" s="7"/>
      <c r="X138" s="7"/>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row>
    <row r="139" spans="1:56" s="63" customFormat="1" ht="11.25">
      <c r="A139" s="1"/>
      <c r="B139" s="1"/>
      <c r="C139" s="23">
        <f aca="true" t="shared" si="33" ref="C139:X139">C1</f>
        <v>2013</v>
      </c>
      <c r="D139" s="23">
        <f t="shared" si="33"/>
        <v>2014</v>
      </c>
      <c r="E139" s="23">
        <f t="shared" si="33"/>
        <v>2015</v>
      </c>
      <c r="F139" s="23">
        <f t="shared" si="33"/>
        <v>2016</v>
      </c>
      <c r="G139" s="23">
        <f t="shared" si="33"/>
        <v>2017</v>
      </c>
      <c r="H139" s="23">
        <f t="shared" si="33"/>
        <v>2018</v>
      </c>
      <c r="I139" s="23">
        <f t="shared" si="33"/>
        <v>2019</v>
      </c>
      <c r="J139" s="23">
        <f t="shared" si="33"/>
        <v>2020</v>
      </c>
      <c r="K139" s="23">
        <f t="shared" si="33"/>
        <v>2021</v>
      </c>
      <c r="L139" s="23">
        <f t="shared" si="33"/>
        <v>2022</v>
      </c>
      <c r="M139" s="23">
        <f t="shared" si="33"/>
        <v>2023</v>
      </c>
      <c r="N139" s="23">
        <f t="shared" si="33"/>
        <v>2024</v>
      </c>
      <c r="O139" s="23">
        <f t="shared" si="33"/>
        <v>2025</v>
      </c>
      <c r="P139" s="23">
        <f t="shared" si="33"/>
        <v>2026</v>
      </c>
      <c r="Q139" s="23">
        <f t="shared" si="33"/>
        <v>2027</v>
      </c>
      <c r="R139" s="23">
        <f t="shared" si="33"/>
        <v>2028</v>
      </c>
      <c r="S139" s="23">
        <f t="shared" si="33"/>
        <v>2029</v>
      </c>
      <c r="T139" s="23">
        <f t="shared" si="33"/>
        <v>2030</v>
      </c>
      <c r="U139" s="23">
        <f t="shared" si="33"/>
        <v>2031</v>
      </c>
      <c r="V139" s="23">
        <f t="shared" si="33"/>
        <v>2032</v>
      </c>
      <c r="W139" s="23">
        <f t="shared" si="33"/>
        <v>2033</v>
      </c>
      <c r="X139" s="23">
        <f t="shared" si="33"/>
        <v>2034</v>
      </c>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row>
    <row r="140" spans="1:56" s="63" customFormat="1" ht="12" thickBot="1">
      <c r="A140" s="4" t="s">
        <v>2</v>
      </c>
      <c r="B140" s="69" t="s">
        <v>21</v>
      </c>
      <c r="C140" s="22">
        <v>0</v>
      </c>
      <c r="D140" s="22">
        <v>1</v>
      </c>
      <c r="E140" s="22">
        <v>2</v>
      </c>
      <c r="F140" s="22">
        <v>3</v>
      </c>
      <c r="G140" s="22">
        <v>4</v>
      </c>
      <c r="H140" s="22">
        <v>5</v>
      </c>
      <c r="I140" s="22">
        <v>6</v>
      </c>
      <c r="J140" s="22">
        <v>7</v>
      </c>
      <c r="K140" s="22">
        <v>8</v>
      </c>
      <c r="L140" s="22">
        <v>9</v>
      </c>
      <c r="M140" s="22">
        <v>10</v>
      </c>
      <c r="N140" s="22">
        <v>11</v>
      </c>
      <c r="O140" s="22">
        <v>12</v>
      </c>
      <c r="P140" s="22">
        <v>13</v>
      </c>
      <c r="Q140" s="22">
        <v>14</v>
      </c>
      <c r="R140" s="22">
        <v>15</v>
      </c>
      <c r="S140" s="22">
        <v>16</v>
      </c>
      <c r="T140" s="22">
        <v>17</v>
      </c>
      <c r="U140" s="22">
        <v>18</v>
      </c>
      <c r="V140" s="22">
        <v>19</v>
      </c>
      <c r="W140" s="22">
        <v>20</v>
      </c>
      <c r="X140" s="22">
        <v>21</v>
      </c>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row>
    <row r="141" spans="1:56" s="63" customFormat="1" ht="12" thickTop="1">
      <c r="A141" s="8"/>
      <c r="B141" s="1"/>
      <c r="C141" s="1"/>
      <c r="D141" s="1"/>
      <c r="E141" s="1"/>
      <c r="F141" s="1"/>
      <c r="G141" s="1"/>
      <c r="H141" s="1"/>
      <c r="I141" s="1"/>
      <c r="J141" s="1"/>
      <c r="K141" s="1"/>
      <c r="L141" s="1"/>
      <c r="M141" s="1"/>
      <c r="N141" s="1"/>
      <c r="O141" s="1"/>
      <c r="P141" s="1"/>
      <c r="Q141" s="1"/>
      <c r="R141" s="1"/>
      <c r="S141" s="1"/>
      <c r="T141" s="1"/>
      <c r="U141" s="1"/>
      <c r="V141" s="1"/>
      <c r="W141" s="1"/>
      <c r="X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row>
    <row r="142" spans="1:56" s="63" customFormat="1" ht="11.25">
      <c r="A142" s="1" t="s">
        <v>33</v>
      </c>
      <c r="B142" s="8">
        <f aca="true" t="shared" si="34" ref="B142:B152">NPV($B$38,D142:X142)+C142</f>
        <v>8296642.060239434</v>
      </c>
      <c r="C142" s="1">
        <f>C127</f>
        <v>0</v>
      </c>
      <c r="D142" s="1">
        <f>D127</f>
        <v>0</v>
      </c>
      <c r="E142" s="1">
        <f>E127</f>
        <v>750141</v>
      </c>
      <c r="F142" s="1">
        <f aca="true" t="shared" si="35" ref="F142:X142">F127</f>
        <v>875164.5</v>
      </c>
      <c r="G142" s="1">
        <f t="shared" si="35"/>
        <v>1010814.9975000002</v>
      </c>
      <c r="H142" s="1">
        <f t="shared" si="35"/>
        <v>1157842.6335000002</v>
      </c>
      <c r="I142" s="1">
        <f t="shared" si="35"/>
        <v>1342373.803214063</v>
      </c>
      <c r="J142" s="1">
        <f t="shared" si="35"/>
        <v>1542463.4833157817</v>
      </c>
      <c r="K142" s="1">
        <f t="shared" si="35"/>
        <v>1787130.1048072507</v>
      </c>
      <c r="L142" s="1">
        <f t="shared" si="35"/>
        <v>2052407.2297395768</v>
      </c>
      <c r="M142" s="1">
        <f t="shared" si="35"/>
        <v>2155027.591226556</v>
      </c>
      <c r="N142" s="1">
        <f t="shared" si="35"/>
        <v>2262778.9707878837</v>
      </c>
      <c r="O142" s="1">
        <f t="shared" si="35"/>
        <v>2375917.9193272777</v>
      </c>
      <c r="P142" s="1">
        <f t="shared" si="35"/>
        <v>2494713.8152936418</v>
      </c>
      <c r="Q142" s="1">
        <f t="shared" si="35"/>
        <v>2619449.506058324</v>
      </c>
      <c r="R142" s="1">
        <f t="shared" si="35"/>
        <v>2750421.9813612406</v>
      </c>
      <c r="S142" s="1">
        <f t="shared" si="35"/>
        <v>2887943.0804293025</v>
      </c>
      <c r="T142" s="1">
        <f t="shared" si="35"/>
        <v>3032340.2344507677</v>
      </c>
      <c r="U142" s="1">
        <f t="shared" si="35"/>
        <v>3183957.2461733064</v>
      </c>
      <c r="V142" s="1">
        <f t="shared" si="35"/>
        <v>3343155.108481972</v>
      </c>
      <c r="W142" s="1">
        <f t="shared" si="35"/>
        <v>3510312.863906071</v>
      </c>
      <c r="X142" s="1">
        <f t="shared" si="35"/>
        <v>3685828.5071013747</v>
      </c>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row>
    <row r="143" spans="1:56" s="63" customFormat="1" ht="11.25">
      <c r="A143" s="1" t="s">
        <v>105</v>
      </c>
      <c r="B143" s="8">
        <f t="shared" si="34"/>
        <v>0</v>
      </c>
      <c r="C143" s="1">
        <v>0</v>
      </c>
      <c r="D143" s="1">
        <v>0</v>
      </c>
      <c r="E143" s="1">
        <v>0</v>
      </c>
      <c r="F143" s="1">
        <v>0</v>
      </c>
      <c r="G143" s="1">
        <v>0</v>
      </c>
      <c r="H143" s="1">
        <v>0</v>
      </c>
      <c r="I143" s="1">
        <v>0</v>
      </c>
      <c r="J143" s="1">
        <v>0</v>
      </c>
      <c r="K143" s="1">
        <v>0</v>
      </c>
      <c r="L143" s="1">
        <v>0</v>
      </c>
      <c r="M143" s="1">
        <v>0</v>
      </c>
      <c r="N143" s="1">
        <v>0</v>
      </c>
      <c r="O143" s="1">
        <v>0</v>
      </c>
      <c r="P143" s="1">
        <v>0</v>
      </c>
      <c r="Q143" s="1">
        <v>0</v>
      </c>
      <c r="R143" s="1">
        <v>0</v>
      </c>
      <c r="S143" s="1">
        <v>0</v>
      </c>
      <c r="T143" s="1">
        <v>0</v>
      </c>
      <c r="U143" s="1">
        <v>0</v>
      </c>
      <c r="V143" s="1">
        <v>0</v>
      </c>
      <c r="W143" s="1">
        <v>0</v>
      </c>
      <c r="X143" s="1">
        <v>0</v>
      </c>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row>
    <row r="144" spans="1:56" s="63" customFormat="1" ht="11.25">
      <c r="A144" s="1" t="s">
        <v>11</v>
      </c>
      <c r="B144" s="8">
        <f t="shared" si="34"/>
        <v>-2082633.8186288285</v>
      </c>
      <c r="C144" s="1">
        <f>-C122</f>
        <v>0</v>
      </c>
      <c r="D144" s="1">
        <f>-D122</f>
        <v>0</v>
      </c>
      <c r="E144" s="1">
        <f>-E122</f>
        <v>-189289.8777</v>
      </c>
      <c r="F144" s="1">
        <f aca="true" t="shared" si="36" ref="F144:X144">-F122</f>
        <v>-217438.69632500003</v>
      </c>
      <c r="G144" s="1">
        <f t="shared" si="36"/>
        <v>-248440.79907677008</v>
      </c>
      <c r="H144" s="1">
        <f t="shared" si="36"/>
        <v>-282551.4653467954</v>
      </c>
      <c r="I144" s="1">
        <f t="shared" si="36"/>
        <v>-324766.3280616673</v>
      </c>
      <c r="J144" s="1">
        <f t="shared" si="36"/>
        <v>-371276.6481530139</v>
      </c>
      <c r="K144" s="1">
        <f t="shared" si="36"/>
        <v>-427816.8462469132</v>
      </c>
      <c r="L144" s="1">
        <f t="shared" si="36"/>
        <v>-490149.1788730234</v>
      </c>
      <c r="M144" s="1">
        <f t="shared" si="36"/>
        <v>-522407.2141643956</v>
      </c>
      <c r="N144" s="1">
        <f t="shared" si="36"/>
        <v>-556820.6915646766</v>
      </c>
      <c r="O144" s="1">
        <f t="shared" si="36"/>
        <v>-593535.3610034161</v>
      </c>
      <c r="P144" s="1">
        <f t="shared" si="36"/>
        <v>-632706.918354328</v>
      </c>
      <c r="Q144" s="1">
        <f t="shared" si="36"/>
        <v>-674501.6888238374</v>
      </c>
      <c r="R144" s="1">
        <f t="shared" si="36"/>
        <v>-719097.3575354478</v>
      </c>
      <c r="S144" s="1">
        <f t="shared" si="36"/>
        <v>-766683.750581568</v>
      </c>
      <c r="T144" s="1">
        <f t="shared" si="36"/>
        <v>-817463.6700418484</v>
      </c>
      <c r="U144" s="1">
        <f t="shared" si="36"/>
        <v>-871653.7867103273</v>
      </c>
      <c r="V144" s="1">
        <f t="shared" si="36"/>
        <v>-929485.594533877</v>
      </c>
      <c r="W144" s="1">
        <f t="shared" si="36"/>
        <v>-991206.4310427664</v>
      </c>
      <c r="X144" s="1">
        <f t="shared" si="36"/>
        <v>-1057080.568351854</v>
      </c>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row>
    <row r="145" spans="1:56" s="63" customFormat="1" ht="11.25">
      <c r="A145" s="1" t="s">
        <v>16</v>
      </c>
      <c r="B145" s="8">
        <f t="shared" si="34"/>
        <v>-1081303.3377113894</v>
      </c>
      <c r="C145" s="1">
        <f>C135</f>
        <v>0</v>
      </c>
      <c r="D145" s="1">
        <f>D135</f>
        <v>0</v>
      </c>
      <c r="E145" s="1">
        <f>E135</f>
        <v>-23450.315729999973</v>
      </c>
      <c r="F145" s="1">
        <f aca="true" t="shared" si="37" ref="F145:X145">F135</f>
        <v>-51818.02531035607</v>
      </c>
      <c r="G145" s="1">
        <f t="shared" si="37"/>
        <v>-82544.06715768029</v>
      </c>
      <c r="H145" s="1">
        <f t="shared" si="37"/>
        <v>-115793.64706646733</v>
      </c>
      <c r="I145" s="1">
        <f t="shared" si="37"/>
        <v>-156895.0950401877</v>
      </c>
      <c r="J145" s="1">
        <f t="shared" si="37"/>
        <v>-201364.54338909566</v>
      </c>
      <c r="K145" s="1">
        <f t="shared" si="37"/>
        <v>-255078.21841943462</v>
      </c>
      <c r="L145" s="1">
        <f t="shared" si="37"/>
        <v>-313164.69259502966</v>
      </c>
      <c r="M145" s="1">
        <f t="shared" si="37"/>
        <v>-338840.57785287657</v>
      </c>
      <c r="N145" s="1">
        <f t="shared" si="37"/>
        <v>-366068.88747297804</v>
      </c>
      <c r="O145" s="1">
        <f t="shared" si="37"/>
        <v>-394958.1747359653</v>
      </c>
      <c r="P145" s="1">
        <f t="shared" si="37"/>
        <v>-414864.25938982837</v>
      </c>
      <c r="Q145" s="1">
        <f t="shared" si="37"/>
        <v>-435599.48946362163</v>
      </c>
      <c r="R145" s="1">
        <f t="shared" si="37"/>
        <v>-457193.6911114481</v>
      </c>
      <c r="S145" s="1">
        <f t="shared" si="37"/>
        <v>-479677.36761693354</v>
      </c>
      <c r="T145" s="1">
        <f t="shared" si="37"/>
        <v>-503081.67625722976</v>
      </c>
      <c r="U145" s="1">
        <f t="shared" si="37"/>
        <v>-527438.4000207448</v>
      </c>
      <c r="V145" s="1">
        <f t="shared" si="37"/>
        <v>-552779.9136420238</v>
      </c>
      <c r="W145" s="1">
        <f t="shared" si="37"/>
        <v>-579139.1433708261</v>
      </c>
      <c r="X145" s="1">
        <f t="shared" si="37"/>
        <v>-606549.5198423802</v>
      </c>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row>
    <row r="146" spans="1:56" s="63" customFormat="1" ht="11.25">
      <c r="A146" s="1" t="s">
        <v>38</v>
      </c>
      <c r="B146" s="8">
        <f t="shared" si="34"/>
        <v>-3692542.378148148</v>
      </c>
      <c r="C146" s="1">
        <f>SUM(C147:C151)</f>
        <v>-1388848.23</v>
      </c>
      <c r="D146" s="1">
        <f>SUM(D147:D151)</f>
        <v>-2662148.9576000003</v>
      </c>
      <c r="E146" s="1">
        <f aca="true" t="shared" si="38" ref="E146:X146">SUM(E147:E151)</f>
        <v>0</v>
      </c>
      <c r="F146" s="1">
        <f t="shared" si="38"/>
        <v>0</v>
      </c>
      <c r="G146" s="1">
        <f t="shared" si="38"/>
        <v>0</v>
      </c>
      <c r="H146" s="1">
        <f t="shared" si="38"/>
        <v>0</v>
      </c>
      <c r="I146" s="1">
        <f t="shared" si="38"/>
        <v>0</v>
      </c>
      <c r="J146" s="1">
        <f t="shared" si="38"/>
        <v>0</v>
      </c>
      <c r="K146" s="1">
        <f t="shared" si="38"/>
        <v>0</v>
      </c>
      <c r="L146" s="1">
        <f t="shared" si="38"/>
        <v>0</v>
      </c>
      <c r="M146" s="1">
        <f t="shared" si="38"/>
        <v>0</v>
      </c>
      <c r="N146" s="1">
        <f t="shared" si="38"/>
        <v>0</v>
      </c>
      <c r="O146" s="1">
        <f t="shared" si="38"/>
        <v>0</v>
      </c>
      <c r="P146" s="1">
        <f t="shared" si="38"/>
        <v>0</v>
      </c>
      <c r="Q146" s="1">
        <f t="shared" si="38"/>
        <v>0</v>
      </c>
      <c r="R146" s="1">
        <f t="shared" si="38"/>
        <v>0</v>
      </c>
      <c r="S146" s="1">
        <f t="shared" si="38"/>
        <v>0</v>
      </c>
      <c r="T146" s="1">
        <f t="shared" si="38"/>
        <v>0</v>
      </c>
      <c r="U146" s="1">
        <f t="shared" si="38"/>
        <v>0</v>
      </c>
      <c r="V146" s="1">
        <f t="shared" si="38"/>
        <v>0</v>
      </c>
      <c r="W146" s="1">
        <f t="shared" si="38"/>
        <v>0</v>
      </c>
      <c r="X146" s="1">
        <f t="shared" si="38"/>
        <v>0</v>
      </c>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row>
    <row r="147" spans="1:56" s="63" customFormat="1" ht="11.25">
      <c r="A147" s="15" t="s">
        <v>52</v>
      </c>
      <c r="B147" s="8">
        <f t="shared" si="34"/>
        <v>-501492.98962962965</v>
      </c>
      <c r="C147" s="1">
        <f>-C70</f>
        <v>-282611.61000000004</v>
      </c>
      <c r="D147" s="1">
        <f>-D70</f>
        <v>-252939.3223</v>
      </c>
      <c r="E147" s="1">
        <f aca="true" t="shared" si="39" ref="E147:X147">-E70</f>
        <v>0</v>
      </c>
      <c r="F147" s="1">
        <f t="shared" si="39"/>
        <v>0</v>
      </c>
      <c r="G147" s="1">
        <f t="shared" si="39"/>
        <v>0</v>
      </c>
      <c r="H147" s="1">
        <f t="shared" si="39"/>
        <v>0</v>
      </c>
      <c r="I147" s="1">
        <f t="shared" si="39"/>
        <v>0</v>
      </c>
      <c r="J147" s="1">
        <f t="shared" si="39"/>
        <v>0</v>
      </c>
      <c r="K147" s="1">
        <f t="shared" si="39"/>
        <v>0</v>
      </c>
      <c r="L147" s="1">
        <f t="shared" si="39"/>
        <v>0</v>
      </c>
      <c r="M147" s="1">
        <f t="shared" si="39"/>
        <v>0</v>
      </c>
      <c r="N147" s="1">
        <f t="shared" si="39"/>
        <v>0</v>
      </c>
      <c r="O147" s="1">
        <f t="shared" si="39"/>
        <v>0</v>
      </c>
      <c r="P147" s="1">
        <f t="shared" si="39"/>
        <v>0</v>
      </c>
      <c r="Q147" s="1">
        <f t="shared" si="39"/>
        <v>0</v>
      </c>
      <c r="R147" s="1">
        <f t="shared" si="39"/>
        <v>0</v>
      </c>
      <c r="S147" s="1">
        <f t="shared" si="39"/>
        <v>0</v>
      </c>
      <c r="T147" s="1">
        <f t="shared" si="39"/>
        <v>0</v>
      </c>
      <c r="U147" s="1">
        <f t="shared" si="39"/>
        <v>0</v>
      </c>
      <c r="V147" s="1">
        <f t="shared" si="39"/>
        <v>0</v>
      </c>
      <c r="W147" s="1">
        <f t="shared" si="39"/>
        <v>0</v>
      </c>
      <c r="X147" s="1">
        <f t="shared" si="39"/>
        <v>0</v>
      </c>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row>
    <row r="148" spans="1:56" s="63" customFormat="1" ht="11.25">
      <c r="A148" s="15" t="s">
        <v>50</v>
      </c>
      <c r="B148" s="8">
        <f t="shared" si="34"/>
        <v>-1278154.154074074</v>
      </c>
      <c r="C148" s="1">
        <f>-C71</f>
        <v>-462875.58</v>
      </c>
      <c r="D148" s="1">
        <f aca="true" t="shared" si="40" ref="D148:X150">-D71</f>
        <v>-942135.9202</v>
      </c>
      <c r="E148" s="1">
        <f t="shared" si="40"/>
        <v>0</v>
      </c>
      <c r="F148" s="1">
        <f t="shared" si="40"/>
        <v>0</v>
      </c>
      <c r="G148" s="1">
        <f t="shared" si="40"/>
        <v>0</v>
      </c>
      <c r="H148" s="1">
        <f t="shared" si="40"/>
        <v>0</v>
      </c>
      <c r="I148" s="1">
        <f t="shared" si="40"/>
        <v>0</v>
      </c>
      <c r="J148" s="1">
        <f t="shared" si="40"/>
        <v>0</v>
      </c>
      <c r="K148" s="1">
        <f t="shared" si="40"/>
        <v>0</v>
      </c>
      <c r="L148" s="1">
        <f t="shared" si="40"/>
        <v>0</v>
      </c>
      <c r="M148" s="1">
        <f t="shared" si="40"/>
        <v>0</v>
      </c>
      <c r="N148" s="1">
        <f t="shared" si="40"/>
        <v>0</v>
      </c>
      <c r="O148" s="1">
        <f t="shared" si="40"/>
        <v>0</v>
      </c>
      <c r="P148" s="1">
        <f t="shared" si="40"/>
        <v>0</v>
      </c>
      <c r="Q148" s="1">
        <f t="shared" si="40"/>
        <v>0</v>
      </c>
      <c r="R148" s="1">
        <f t="shared" si="40"/>
        <v>0</v>
      </c>
      <c r="S148" s="1">
        <f t="shared" si="40"/>
        <v>0</v>
      </c>
      <c r="T148" s="1">
        <f t="shared" si="40"/>
        <v>0</v>
      </c>
      <c r="U148" s="1">
        <f t="shared" si="40"/>
        <v>0</v>
      </c>
      <c r="V148" s="1">
        <f t="shared" si="40"/>
        <v>0</v>
      </c>
      <c r="W148" s="1">
        <f t="shared" si="40"/>
        <v>0</v>
      </c>
      <c r="X148" s="1">
        <f t="shared" si="40"/>
        <v>0</v>
      </c>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row>
    <row r="149" spans="1:56" s="63" customFormat="1" ht="11.25">
      <c r="A149" s="15" t="s">
        <v>47</v>
      </c>
      <c r="B149" s="8">
        <f t="shared" si="34"/>
        <v>-1380417.818888889</v>
      </c>
      <c r="C149" s="1">
        <f>-C72</f>
        <v>-432974.43</v>
      </c>
      <c r="D149" s="1">
        <f t="shared" si="40"/>
        <v>-1094865.5802000002</v>
      </c>
      <c r="E149" s="1">
        <f t="shared" si="40"/>
        <v>0</v>
      </c>
      <c r="F149" s="1">
        <f t="shared" si="40"/>
        <v>0</v>
      </c>
      <c r="G149" s="1">
        <f t="shared" si="40"/>
        <v>0</v>
      </c>
      <c r="H149" s="1">
        <f t="shared" si="40"/>
        <v>0</v>
      </c>
      <c r="I149" s="1">
        <f t="shared" si="40"/>
        <v>0</v>
      </c>
      <c r="J149" s="1">
        <f t="shared" si="40"/>
        <v>0</v>
      </c>
      <c r="K149" s="1">
        <f t="shared" si="40"/>
        <v>0</v>
      </c>
      <c r="L149" s="1">
        <f t="shared" si="40"/>
        <v>0</v>
      </c>
      <c r="M149" s="1">
        <f t="shared" si="40"/>
        <v>0</v>
      </c>
      <c r="N149" s="1">
        <f t="shared" si="40"/>
        <v>0</v>
      </c>
      <c r="O149" s="1">
        <f t="shared" si="40"/>
        <v>0</v>
      </c>
      <c r="P149" s="1">
        <f t="shared" si="40"/>
        <v>0</v>
      </c>
      <c r="Q149" s="1">
        <f t="shared" si="40"/>
        <v>0</v>
      </c>
      <c r="R149" s="1">
        <f t="shared" si="40"/>
        <v>0</v>
      </c>
      <c r="S149" s="1">
        <f t="shared" si="40"/>
        <v>0</v>
      </c>
      <c r="T149" s="1">
        <f t="shared" si="40"/>
        <v>0</v>
      </c>
      <c r="U149" s="1">
        <f t="shared" si="40"/>
        <v>0</v>
      </c>
      <c r="V149" s="1">
        <f t="shared" si="40"/>
        <v>0</v>
      </c>
      <c r="W149" s="1">
        <f t="shared" si="40"/>
        <v>0</v>
      </c>
      <c r="X149" s="1">
        <f t="shared" si="40"/>
        <v>0</v>
      </c>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row>
    <row r="150" spans="1:56" s="63" customFormat="1" ht="11.25">
      <c r="A150" s="15" t="s">
        <v>53</v>
      </c>
      <c r="B150" s="8">
        <f t="shared" si="34"/>
        <v>-465830.56333333335</v>
      </c>
      <c r="C150" s="1">
        <f>-C73</f>
        <v>-181085.73</v>
      </c>
      <c r="D150" s="1">
        <f t="shared" si="40"/>
        <v>-329051.12940000003</v>
      </c>
      <c r="E150" s="1">
        <f t="shared" si="40"/>
        <v>0</v>
      </c>
      <c r="F150" s="1">
        <f t="shared" si="40"/>
        <v>0</v>
      </c>
      <c r="G150" s="1">
        <f t="shared" si="40"/>
        <v>0</v>
      </c>
      <c r="H150" s="1">
        <f t="shared" si="40"/>
        <v>0</v>
      </c>
      <c r="I150" s="1">
        <f t="shared" si="40"/>
        <v>0</v>
      </c>
      <c r="J150" s="1">
        <f t="shared" si="40"/>
        <v>0</v>
      </c>
      <c r="K150" s="1">
        <f t="shared" si="40"/>
        <v>0</v>
      </c>
      <c r="L150" s="1">
        <f t="shared" si="40"/>
        <v>0</v>
      </c>
      <c r="M150" s="1">
        <f t="shared" si="40"/>
        <v>0</v>
      </c>
      <c r="N150" s="1">
        <f t="shared" si="40"/>
        <v>0</v>
      </c>
      <c r="O150" s="1">
        <f t="shared" si="40"/>
        <v>0</v>
      </c>
      <c r="P150" s="1">
        <f t="shared" si="40"/>
        <v>0</v>
      </c>
      <c r="Q150" s="1">
        <f t="shared" si="40"/>
        <v>0</v>
      </c>
      <c r="R150" s="1">
        <f t="shared" si="40"/>
        <v>0</v>
      </c>
      <c r="S150" s="1">
        <f t="shared" si="40"/>
        <v>0</v>
      </c>
      <c r="T150" s="1">
        <f t="shared" si="40"/>
        <v>0</v>
      </c>
      <c r="U150" s="1">
        <f t="shared" si="40"/>
        <v>0</v>
      </c>
      <c r="V150" s="1">
        <f t="shared" si="40"/>
        <v>0</v>
      </c>
      <c r="W150" s="1">
        <f t="shared" si="40"/>
        <v>0</v>
      </c>
      <c r="X150" s="1">
        <f t="shared" si="40"/>
        <v>0</v>
      </c>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row>
    <row r="151" spans="1:56" s="63" customFormat="1" ht="11.25">
      <c r="A151" s="15" t="s">
        <v>158</v>
      </c>
      <c r="B151" s="8">
        <f t="shared" si="34"/>
        <v>-66646.85222222222</v>
      </c>
      <c r="C151" s="1">
        <f>-C74</f>
        <v>-29300.88</v>
      </c>
      <c r="D151" s="1">
        <f>-D74</f>
        <v>-43157.00550000001</v>
      </c>
      <c r="E151" s="1">
        <f aca="true" t="shared" si="41" ref="E151:X151">-E75</f>
        <v>0</v>
      </c>
      <c r="F151" s="1">
        <f t="shared" si="41"/>
        <v>0</v>
      </c>
      <c r="G151" s="1">
        <f t="shared" si="41"/>
        <v>0</v>
      </c>
      <c r="H151" s="1">
        <f t="shared" si="41"/>
        <v>0</v>
      </c>
      <c r="I151" s="1">
        <f t="shared" si="41"/>
        <v>0</v>
      </c>
      <c r="J151" s="1">
        <f t="shared" si="41"/>
        <v>0</v>
      </c>
      <c r="K151" s="1">
        <f t="shared" si="41"/>
        <v>0</v>
      </c>
      <c r="L151" s="1">
        <f t="shared" si="41"/>
        <v>0</v>
      </c>
      <c r="M151" s="1">
        <f t="shared" si="41"/>
        <v>0</v>
      </c>
      <c r="N151" s="1">
        <f t="shared" si="41"/>
        <v>0</v>
      </c>
      <c r="O151" s="1">
        <f t="shared" si="41"/>
        <v>0</v>
      </c>
      <c r="P151" s="1">
        <f t="shared" si="41"/>
        <v>0</v>
      </c>
      <c r="Q151" s="1">
        <f t="shared" si="41"/>
        <v>0</v>
      </c>
      <c r="R151" s="1">
        <f t="shared" si="41"/>
        <v>0</v>
      </c>
      <c r="S151" s="1">
        <f t="shared" si="41"/>
        <v>0</v>
      </c>
      <c r="T151" s="1">
        <f t="shared" si="41"/>
        <v>0</v>
      </c>
      <c r="U151" s="1">
        <f t="shared" si="41"/>
        <v>0</v>
      </c>
      <c r="V151" s="1">
        <f t="shared" si="41"/>
        <v>0</v>
      </c>
      <c r="W151" s="1">
        <f t="shared" si="41"/>
        <v>0</v>
      </c>
      <c r="X151" s="1">
        <f t="shared" si="41"/>
        <v>0</v>
      </c>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row>
    <row r="152" spans="1:56" s="63" customFormat="1" ht="11.25">
      <c r="A152" s="1" t="s">
        <v>37</v>
      </c>
      <c r="B152" s="8">
        <f t="shared" si="34"/>
        <v>-6856479.534488365</v>
      </c>
      <c r="C152" s="1">
        <f>C144+C145+C146</f>
        <v>-1388848.23</v>
      </c>
      <c r="D152" s="1">
        <f>D144+D145+D146</f>
        <v>-2662148.9576000003</v>
      </c>
      <c r="E152" s="1">
        <f>E144+E145+E146</f>
        <v>-212740.19342999998</v>
      </c>
      <c r="F152" s="1">
        <f aca="true" t="shared" si="42" ref="F152:X152">F144+F145+F146</f>
        <v>-269256.7216353561</v>
      </c>
      <c r="G152" s="1">
        <f t="shared" si="42"/>
        <v>-330984.86623445037</v>
      </c>
      <c r="H152" s="1">
        <f t="shared" si="42"/>
        <v>-398345.1124132627</v>
      </c>
      <c r="I152" s="1">
        <f t="shared" si="42"/>
        <v>-481661.423101855</v>
      </c>
      <c r="J152" s="1">
        <f t="shared" si="42"/>
        <v>-572641.1915421096</v>
      </c>
      <c r="K152" s="1">
        <f t="shared" si="42"/>
        <v>-682895.0646663478</v>
      </c>
      <c r="L152" s="1">
        <f t="shared" si="42"/>
        <v>-803313.8714680531</v>
      </c>
      <c r="M152" s="1">
        <f t="shared" si="42"/>
        <v>-861247.7920172722</v>
      </c>
      <c r="N152" s="1">
        <f t="shared" si="42"/>
        <v>-922889.5790376547</v>
      </c>
      <c r="O152" s="1">
        <f t="shared" si="42"/>
        <v>-988493.5357393814</v>
      </c>
      <c r="P152" s="1">
        <f t="shared" si="42"/>
        <v>-1047571.1777441564</v>
      </c>
      <c r="Q152" s="1">
        <f t="shared" si="42"/>
        <v>-1110101.178287459</v>
      </c>
      <c r="R152" s="1">
        <f t="shared" si="42"/>
        <v>-1176291.048646896</v>
      </c>
      <c r="S152" s="1">
        <f t="shared" si="42"/>
        <v>-1246361.1181985014</v>
      </c>
      <c r="T152" s="1">
        <f t="shared" si="42"/>
        <v>-1320545.3462990783</v>
      </c>
      <c r="U152" s="1">
        <f t="shared" si="42"/>
        <v>-1399092.1867310721</v>
      </c>
      <c r="V152" s="1">
        <f t="shared" si="42"/>
        <v>-1482265.5081759007</v>
      </c>
      <c r="W152" s="1">
        <f t="shared" si="42"/>
        <v>-1570345.5744135925</v>
      </c>
      <c r="X152" s="1">
        <f t="shared" si="42"/>
        <v>-1663630.0881942343</v>
      </c>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row>
    <row r="153" spans="1:56" s="63" customFormat="1" ht="11.25">
      <c r="A153" s="2" t="s">
        <v>18</v>
      </c>
      <c r="B153" s="48">
        <f>NPV($B$38,D153:X153)+C153</f>
        <v>1440162.5257510692</v>
      </c>
      <c r="C153" s="1">
        <f>C142+C143+C152</f>
        <v>-1388848.23</v>
      </c>
      <c r="D153" s="1">
        <f aca="true" t="shared" si="43" ref="D153:X153">D142+D143+D152</f>
        <v>-2662148.9576000003</v>
      </c>
      <c r="E153" s="1">
        <f t="shared" si="43"/>
        <v>537400.80657</v>
      </c>
      <c r="F153" s="1">
        <f t="shared" si="43"/>
        <v>605907.7783646439</v>
      </c>
      <c r="G153" s="1">
        <f t="shared" si="43"/>
        <v>679830.1312655498</v>
      </c>
      <c r="H153" s="1">
        <f t="shared" si="43"/>
        <v>759497.5210867375</v>
      </c>
      <c r="I153" s="1">
        <f t="shared" si="43"/>
        <v>860712.380112208</v>
      </c>
      <c r="J153" s="1">
        <f t="shared" si="43"/>
        <v>969822.2917736721</v>
      </c>
      <c r="K153" s="1">
        <f t="shared" si="43"/>
        <v>1104235.0401409029</v>
      </c>
      <c r="L153" s="1">
        <f t="shared" si="43"/>
        <v>1249093.3582715238</v>
      </c>
      <c r="M153" s="1">
        <f t="shared" si="43"/>
        <v>1293779.7992092837</v>
      </c>
      <c r="N153" s="1">
        <f t="shared" si="43"/>
        <v>1339889.391750229</v>
      </c>
      <c r="O153" s="1">
        <f t="shared" si="43"/>
        <v>1387424.3835878964</v>
      </c>
      <c r="P153" s="1">
        <f t="shared" si="43"/>
        <v>1447142.6375494853</v>
      </c>
      <c r="Q153" s="1">
        <f t="shared" si="43"/>
        <v>1509348.327770865</v>
      </c>
      <c r="R153" s="1">
        <f t="shared" si="43"/>
        <v>1574130.9327143447</v>
      </c>
      <c r="S153" s="1">
        <f t="shared" si="43"/>
        <v>1641581.9622308011</v>
      </c>
      <c r="T153" s="1">
        <f t="shared" si="43"/>
        <v>1711794.8881516894</v>
      </c>
      <c r="U153" s="1">
        <f t="shared" si="43"/>
        <v>1784865.0594422342</v>
      </c>
      <c r="V153" s="1">
        <f t="shared" si="43"/>
        <v>1860889.6003060713</v>
      </c>
      <c r="W153" s="1">
        <f t="shared" si="43"/>
        <v>1939967.2894924786</v>
      </c>
      <c r="X153" s="1">
        <f t="shared" si="43"/>
        <v>2022198.4189071404</v>
      </c>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row>
    <row r="154" spans="1:56" s="63" customFormat="1" ht="11.25">
      <c r="A154" s="29" t="s">
        <v>24</v>
      </c>
      <c r="B154" s="17">
        <f>IRR(C153:X153,10%)</f>
        <v>0.20405764911283011</v>
      </c>
      <c r="C154" s="1"/>
      <c r="D154" s="1"/>
      <c r="E154" s="1"/>
      <c r="F154" s="1"/>
      <c r="G154" s="1"/>
      <c r="H154" s="1"/>
      <c r="I154" s="1"/>
      <c r="J154" s="1"/>
      <c r="K154" s="1"/>
      <c r="L154" s="1"/>
      <c r="M154" s="1"/>
      <c r="N154" s="1"/>
      <c r="O154" s="1"/>
      <c r="P154" s="1"/>
      <c r="Q154" s="1"/>
      <c r="R154" s="1"/>
      <c r="S154" s="1"/>
      <c r="T154" s="1"/>
      <c r="U154" s="1"/>
      <c r="V154" s="1"/>
      <c r="W154" s="1"/>
      <c r="X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row>
    <row r="155" spans="1:56" s="63" customFormat="1" ht="11.25">
      <c r="A155" s="29" t="s">
        <v>25</v>
      </c>
      <c r="B155" s="56">
        <f>(1+B154)/(1+$B$5)-1</f>
        <v>0.12528752253535513</v>
      </c>
      <c r="C155" s="1"/>
      <c r="D155" s="1"/>
      <c r="E155" s="1"/>
      <c r="F155" s="1"/>
      <c r="G155" s="1"/>
      <c r="H155" s="1"/>
      <c r="I155" s="1"/>
      <c r="J155" s="1"/>
      <c r="K155" s="1"/>
      <c r="L155" s="1"/>
      <c r="M155" s="1"/>
      <c r="N155" s="1"/>
      <c r="O155" s="1"/>
      <c r="P155" s="1"/>
      <c r="Q155" s="1"/>
      <c r="R155" s="1"/>
      <c r="S155" s="1"/>
      <c r="T155" s="1"/>
      <c r="U155" s="1"/>
      <c r="V155" s="1"/>
      <c r="W155" s="1"/>
      <c r="X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row>
    <row r="157" spans="1:56" s="63" customFormat="1" ht="11.25">
      <c r="A157" s="1" t="s">
        <v>39</v>
      </c>
      <c r="B157" s="1"/>
      <c r="C157" s="1">
        <f>-C106</f>
        <v>0</v>
      </c>
      <c r="D157" s="1">
        <f aca="true" t="shared" si="44" ref="D157:X157">-D106</f>
        <v>-2300000</v>
      </c>
      <c r="E157" s="1">
        <f t="shared" si="44"/>
        <v>408814.40822977654</v>
      </c>
      <c r="F157" s="1">
        <f t="shared" si="44"/>
        <v>406649.69210632984</v>
      </c>
      <c r="G157" s="1">
        <f t="shared" si="44"/>
        <v>404268.5043705386</v>
      </c>
      <c r="H157" s="1">
        <f t="shared" si="44"/>
        <v>401649.1978611682</v>
      </c>
      <c r="I157" s="1">
        <f t="shared" si="44"/>
        <v>398767.9607008607</v>
      </c>
      <c r="J157" s="1">
        <f t="shared" si="44"/>
        <v>395598.59982452245</v>
      </c>
      <c r="K157" s="1">
        <f t="shared" si="44"/>
        <v>392112.3028605504</v>
      </c>
      <c r="L157" s="1">
        <f t="shared" si="44"/>
        <v>388277.37620018114</v>
      </c>
      <c r="M157" s="1">
        <f t="shared" si="44"/>
        <v>384058.956873775</v>
      </c>
      <c r="N157" s="1">
        <f t="shared" si="44"/>
        <v>379418.69561472815</v>
      </c>
      <c r="O157" s="1">
        <f t="shared" si="44"/>
        <v>1.673470251262188E-10</v>
      </c>
      <c r="P157" s="1">
        <f t="shared" si="44"/>
        <v>1.673470251262188E-10</v>
      </c>
      <c r="Q157" s="1">
        <f t="shared" si="44"/>
        <v>1.673470251262188E-10</v>
      </c>
      <c r="R157" s="1">
        <f t="shared" si="44"/>
        <v>1.673470251262188E-10</v>
      </c>
      <c r="S157" s="1">
        <f t="shared" si="44"/>
        <v>1.673470251262188E-10</v>
      </c>
      <c r="T157" s="1">
        <f t="shared" si="44"/>
        <v>1.673470251262188E-10</v>
      </c>
      <c r="U157" s="1">
        <f t="shared" si="44"/>
        <v>1.673470251262188E-10</v>
      </c>
      <c r="V157" s="1">
        <f t="shared" si="44"/>
        <v>1.673470251262188E-10</v>
      </c>
      <c r="W157" s="1">
        <f t="shared" si="44"/>
        <v>1.673470251262188E-10</v>
      </c>
      <c r="X157" s="1">
        <f t="shared" si="44"/>
        <v>1.673470251262188E-10</v>
      </c>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row>
    <row r="158" spans="1:56" s="63" customFormat="1" ht="11.25">
      <c r="A158" s="16" t="s">
        <v>24</v>
      </c>
      <c r="B158" s="13">
        <f>IRR(C157:X157,10%)</f>
        <v>0.11499999999999999</v>
      </c>
      <c r="C158" s="1"/>
      <c r="D158" s="1"/>
      <c r="E158" s="1"/>
      <c r="F158" s="1"/>
      <c r="G158" s="1"/>
      <c r="H158" s="1"/>
      <c r="I158" s="1"/>
      <c r="J158" s="1"/>
      <c r="K158" s="1"/>
      <c r="L158" s="1"/>
      <c r="M158" s="1"/>
      <c r="N158" s="1"/>
      <c r="O158" s="1"/>
      <c r="P158" s="1"/>
      <c r="Q158" s="1"/>
      <c r="R158" s="1"/>
      <c r="S158" s="1"/>
      <c r="T158" s="1"/>
      <c r="U158" s="1"/>
      <c r="V158" s="1"/>
      <c r="W158" s="1"/>
      <c r="X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row>
    <row r="159" spans="1:56" s="63" customFormat="1" ht="11.25">
      <c r="A159" s="16" t="s">
        <v>25</v>
      </c>
      <c r="B159" s="13">
        <f>(1+B158)/(1+$B$5)-1</f>
        <v>0.04205607476635498</v>
      </c>
      <c r="C159" s="1"/>
      <c r="D159" s="1"/>
      <c r="E159" s="1"/>
      <c r="F159" s="1"/>
      <c r="G159" s="1"/>
      <c r="H159" s="1"/>
      <c r="I159" s="1"/>
      <c r="J159" s="1"/>
      <c r="K159" s="1"/>
      <c r="L159" s="1"/>
      <c r="M159" s="1"/>
      <c r="N159" s="1"/>
      <c r="O159" s="1"/>
      <c r="P159" s="1"/>
      <c r="Q159" s="1"/>
      <c r="R159" s="1"/>
      <c r="S159" s="1"/>
      <c r="T159" s="1"/>
      <c r="U159" s="1"/>
      <c r="V159" s="1"/>
      <c r="W159" s="1"/>
      <c r="X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row>
    <row r="160" spans="1:56" s="63" customFormat="1" ht="11.25">
      <c r="A160" s="16"/>
      <c r="B160" s="1"/>
      <c r="C160" s="1"/>
      <c r="D160" s="1"/>
      <c r="E160" s="1"/>
      <c r="F160" s="1"/>
      <c r="G160" s="1"/>
      <c r="H160" s="1"/>
      <c r="I160" s="1"/>
      <c r="J160" s="1"/>
      <c r="K160" s="1"/>
      <c r="L160" s="1"/>
      <c r="M160" s="1"/>
      <c r="N160" s="1"/>
      <c r="O160" s="1"/>
      <c r="P160" s="1"/>
      <c r="Q160" s="1"/>
      <c r="R160" s="1"/>
      <c r="S160" s="1"/>
      <c r="T160" s="1"/>
      <c r="U160" s="1"/>
      <c r="V160" s="1"/>
      <c r="W160" s="1"/>
      <c r="X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row>
    <row r="161" spans="1:56" s="63" customFormat="1" ht="11.25">
      <c r="A161" s="2" t="s">
        <v>22</v>
      </c>
      <c r="B161" s="48">
        <f>NPV($B$40,D161:X161)+C161</f>
        <v>444780.0964029678</v>
      </c>
      <c r="C161" s="1">
        <f>C153-C157</f>
        <v>-1388848.23</v>
      </c>
      <c r="D161" s="1">
        <f>D153-D157</f>
        <v>-362148.9576000003</v>
      </c>
      <c r="E161" s="1">
        <f aca="true" t="shared" si="45" ref="E161:X161">E153-E157</f>
        <v>128586.39834022347</v>
      </c>
      <c r="F161" s="1">
        <f t="shared" si="45"/>
        <v>199258.08625831408</v>
      </c>
      <c r="G161" s="1">
        <f t="shared" si="45"/>
        <v>275561.6268950112</v>
      </c>
      <c r="H161" s="1">
        <f t="shared" si="45"/>
        <v>357848.32322556933</v>
      </c>
      <c r="I161" s="1">
        <f t="shared" si="45"/>
        <v>461944.41941134725</v>
      </c>
      <c r="J161" s="1">
        <f t="shared" si="45"/>
        <v>574223.6919491496</v>
      </c>
      <c r="K161" s="1">
        <f t="shared" si="45"/>
        <v>712122.7372803525</v>
      </c>
      <c r="L161" s="1">
        <f t="shared" si="45"/>
        <v>860815.9820713426</v>
      </c>
      <c r="M161" s="1">
        <f t="shared" si="45"/>
        <v>909720.8423355087</v>
      </c>
      <c r="N161" s="1">
        <f t="shared" si="45"/>
        <v>960470.6961355009</v>
      </c>
      <c r="O161" s="1">
        <f t="shared" si="45"/>
        <v>1387424.3835878961</v>
      </c>
      <c r="P161" s="1">
        <f t="shared" si="45"/>
        <v>1447142.637549485</v>
      </c>
      <c r="Q161" s="1">
        <f t="shared" si="45"/>
        <v>1509348.3277708648</v>
      </c>
      <c r="R161" s="1">
        <f t="shared" si="45"/>
        <v>1574130.9327143445</v>
      </c>
      <c r="S161" s="1">
        <f t="shared" si="45"/>
        <v>1641581.962230801</v>
      </c>
      <c r="T161" s="1">
        <f t="shared" si="45"/>
        <v>1711794.8881516892</v>
      </c>
      <c r="U161" s="1">
        <f t="shared" si="45"/>
        <v>1784865.059442234</v>
      </c>
      <c r="V161" s="1">
        <f t="shared" si="45"/>
        <v>1860889.600306071</v>
      </c>
      <c r="W161" s="1">
        <f t="shared" si="45"/>
        <v>1939967.2894924784</v>
      </c>
      <c r="X161" s="1">
        <f t="shared" si="45"/>
        <v>2022198.4189071401</v>
      </c>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row>
    <row r="162" spans="1:56" s="63" customFormat="1" ht="11.25">
      <c r="A162" s="29" t="s">
        <v>24</v>
      </c>
      <c r="B162" s="17">
        <f>IRR(C161:X161,10%)</f>
        <v>0.2393088354932578</v>
      </c>
      <c r="C162" s="1"/>
      <c r="D162" s="1"/>
      <c r="E162" s="1"/>
      <c r="F162" s="1"/>
      <c r="G162" s="1"/>
      <c r="H162" s="1"/>
      <c r="I162" s="1"/>
      <c r="J162" s="1"/>
      <c r="K162" s="1"/>
      <c r="L162" s="1"/>
      <c r="M162" s="1"/>
      <c r="N162" s="1"/>
      <c r="O162" s="1"/>
      <c r="P162" s="1"/>
      <c r="Q162" s="1"/>
      <c r="R162" s="1"/>
      <c r="S162" s="1"/>
      <c r="T162" s="1"/>
      <c r="U162" s="1"/>
      <c r="V162" s="1"/>
      <c r="W162" s="1"/>
      <c r="X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row>
    <row r="163" spans="1:56" s="63" customFormat="1" ht="11.25">
      <c r="A163" s="29" t="s">
        <v>25</v>
      </c>
      <c r="B163" s="56">
        <f>(1+B162)/(1+$B$5)-1</f>
        <v>0.15823255653575496</v>
      </c>
      <c r="C163" s="1"/>
      <c r="D163" s="1"/>
      <c r="E163" s="1"/>
      <c r="F163" s="1"/>
      <c r="G163" s="1"/>
      <c r="H163" s="1"/>
      <c r="I163" s="1"/>
      <c r="J163" s="1"/>
      <c r="K163" s="1"/>
      <c r="L163" s="1"/>
      <c r="M163" s="1"/>
      <c r="N163" s="1"/>
      <c r="O163" s="1"/>
      <c r="P163" s="1"/>
      <c r="Q163" s="1"/>
      <c r="R163" s="1"/>
      <c r="S163" s="1"/>
      <c r="T163" s="1"/>
      <c r="U163" s="1"/>
      <c r="V163" s="1"/>
      <c r="W163" s="1"/>
      <c r="X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row>
    <row r="166" spans="1:56" s="63" customFormat="1" ht="11.25">
      <c r="A166" s="71" t="s">
        <v>28</v>
      </c>
      <c r="B166" s="72">
        <f>AVERAGE(E166:N166)</f>
        <v>2.3920332427209225</v>
      </c>
      <c r="C166" s="1"/>
      <c r="D166" s="10"/>
      <c r="E166" s="72">
        <f>E153/E157</f>
        <v>1.3145348983589413</v>
      </c>
      <c r="F166" s="72">
        <f aca="true" t="shared" si="46" ref="F166:N166">F153/F157</f>
        <v>1.4899993535620644</v>
      </c>
      <c r="G166" s="72">
        <f t="shared" si="46"/>
        <v>1.681630213375319</v>
      </c>
      <c r="H166" s="72">
        <f t="shared" si="46"/>
        <v>1.890947436547007</v>
      </c>
      <c r="I166" s="72">
        <f t="shared" si="46"/>
        <v>2.1584291240435913</v>
      </c>
      <c r="J166" s="72">
        <f t="shared" si="46"/>
        <v>2.4515311535578257</v>
      </c>
      <c r="K166" s="72">
        <f t="shared" si="46"/>
        <v>2.816119341538767</v>
      </c>
      <c r="L166" s="72">
        <f t="shared" si="46"/>
        <v>3.21701297792725</v>
      </c>
      <c r="M166" s="72">
        <f t="shared" si="46"/>
        <v>3.368701018563923</v>
      </c>
      <c r="N166" s="72">
        <f t="shared" si="46"/>
        <v>3.531426909734539</v>
      </c>
      <c r="O166" s="10"/>
      <c r="P166" s="10"/>
      <c r="Q166" s="10"/>
      <c r="R166" s="10"/>
      <c r="S166" s="10"/>
      <c r="T166" s="10"/>
      <c r="U166" s="10"/>
      <c r="V166" s="10"/>
      <c r="W166" s="10"/>
      <c r="X166" s="10"/>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row>
    <row r="167" spans="1:56" s="63" customFormat="1" ht="11.25">
      <c r="A167" s="20"/>
      <c r="B167" s="10"/>
      <c r="C167" s="1"/>
      <c r="D167" s="10"/>
      <c r="E167" s="10"/>
      <c r="F167" s="10"/>
      <c r="G167" s="10"/>
      <c r="H167" s="10"/>
      <c r="I167" s="10"/>
      <c r="J167" s="10"/>
      <c r="K167" s="10"/>
      <c r="L167" s="10"/>
      <c r="M167" s="10"/>
      <c r="N167" s="10"/>
      <c r="O167" s="10"/>
      <c r="P167" s="10"/>
      <c r="Q167" s="10"/>
      <c r="R167" s="10"/>
      <c r="S167" s="10"/>
      <c r="T167" s="10"/>
      <c r="U167" s="10"/>
      <c r="V167" s="10"/>
      <c r="W167" s="10"/>
      <c r="X167" s="10"/>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row>
    <row r="168" spans="1:56" s="63" customFormat="1" ht="11.25">
      <c r="A168" s="54" t="s">
        <v>131</v>
      </c>
      <c r="B168" s="13"/>
      <c r="C168" s="13"/>
      <c r="D168" s="13"/>
      <c r="E168" s="10"/>
      <c r="F168" s="10"/>
      <c r="G168" s="10"/>
      <c r="H168" s="10"/>
      <c r="I168" s="10"/>
      <c r="J168" s="10"/>
      <c r="K168" s="10"/>
      <c r="L168" s="10"/>
      <c r="M168" s="10"/>
      <c r="N168" s="10"/>
      <c r="O168" s="10"/>
      <c r="P168" s="10"/>
      <c r="Q168" s="10"/>
      <c r="R168" s="10"/>
      <c r="S168" s="10"/>
      <c r="T168" s="10"/>
      <c r="U168" s="10"/>
      <c r="V168" s="10"/>
      <c r="W168" s="10"/>
      <c r="X168" s="10"/>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row>
    <row r="169" ht="11.25">
      <c r="Y169" s="1"/>
    </row>
    <row r="170" spans="1:25" ht="11.25">
      <c r="A170" s="90" t="s">
        <v>181</v>
      </c>
      <c r="Y170" s="1"/>
    </row>
    <row r="171" spans="1:25" ht="11.25">
      <c r="A171" s="1" t="s">
        <v>182</v>
      </c>
      <c r="Y171" s="1"/>
    </row>
    <row r="172" spans="1:25" ht="11.25">
      <c r="A172" s="1" t="s">
        <v>183</v>
      </c>
      <c r="Y172" s="1"/>
    </row>
    <row r="173" spans="1:25" ht="11.25">
      <c r="A173" s="1" t="s">
        <v>184</v>
      </c>
      <c r="Y173" s="1"/>
    </row>
    <row r="174" spans="1:25" ht="11.25">
      <c r="A174" s="1" t="s">
        <v>185</v>
      </c>
      <c r="Y174" s="1"/>
    </row>
    <row r="175" spans="1:25" ht="11.25">
      <c r="A175" s="1" t="s">
        <v>186</v>
      </c>
      <c r="Y175" s="1"/>
    </row>
    <row r="176" ht="11.25">
      <c r="Y176" s="1"/>
    </row>
    <row r="177" ht="11.25">
      <c r="Y177" s="1"/>
    </row>
    <row r="178" ht="11.25">
      <c r="Y178" s="1"/>
    </row>
    <row r="179" ht="11.25">
      <c r="Y179" s="1"/>
    </row>
    <row r="180" s="14" customFormat="1" ht="11.25"/>
    <row r="181" s="14" customFormat="1" ht="11.25"/>
    <row r="182" s="32" customFormat="1" ht="11.25"/>
    <row r="183" s="32" customFormat="1" ht="11.25"/>
    <row r="184" s="32" customFormat="1" ht="11.25"/>
    <row r="185" s="32" customFormat="1" ht="11.25"/>
    <row r="186" s="32" customFormat="1" ht="11.25"/>
    <row r="187" s="32" customFormat="1" ht="11.25"/>
    <row r="188" s="32" customFormat="1" ht="11.25"/>
    <row r="189" s="32" customFormat="1" ht="11.25"/>
    <row r="190" s="32" customFormat="1" ht="11.25"/>
    <row r="191" s="32" customFormat="1" ht="11.25"/>
    <row r="192" s="32" customFormat="1" ht="11.25"/>
    <row r="193" s="32" customFormat="1" ht="11.25"/>
    <row r="194" s="32" customFormat="1" ht="11.25"/>
    <row r="195" s="32" customFormat="1" ht="11.25"/>
    <row r="196" s="32" customFormat="1" ht="11.25"/>
    <row r="197" s="32" customFormat="1" ht="11.25"/>
    <row r="198" s="32" customFormat="1" ht="11.25"/>
    <row r="199" s="32" customFormat="1" ht="11.25"/>
    <row r="200" s="32" customFormat="1" ht="11.25"/>
    <row r="201" s="32" customFormat="1" ht="11.25"/>
    <row r="202" s="32" customFormat="1" ht="11.25"/>
    <row r="203" s="32" customFormat="1" ht="11.25"/>
    <row r="204" s="32" customFormat="1" ht="11.25"/>
    <row r="205" s="32" customFormat="1" ht="11.25"/>
    <row r="206" s="32" customFormat="1" ht="11.25"/>
    <row r="207" s="32" customFormat="1" ht="11.25"/>
    <row r="208" s="32" customFormat="1" ht="11.25"/>
    <row r="209" s="32" customFormat="1" ht="11.25"/>
    <row r="210" s="32" customFormat="1" ht="11.25"/>
    <row r="211" s="32" customFormat="1" ht="11.25"/>
    <row r="212" s="32" customFormat="1" ht="11.25"/>
    <row r="213" s="32" customFormat="1" ht="11.25"/>
    <row r="214" s="32" customFormat="1" ht="11.25"/>
    <row r="215" s="32" customFormat="1" ht="11.25"/>
    <row r="216" s="32" customFormat="1" ht="11.25"/>
    <row r="217" s="32" customFormat="1" ht="11.25"/>
    <row r="218" s="32" customFormat="1" ht="11.25"/>
    <row r="219" s="32" customFormat="1" ht="11.25"/>
    <row r="220" s="32" customFormat="1" ht="11.25"/>
    <row r="221" s="32" customFormat="1" ht="11.25"/>
    <row r="222" s="32" customFormat="1" ht="11.25"/>
    <row r="223" s="32" customFormat="1" ht="11.25"/>
    <row r="224" s="32" customFormat="1" ht="11.25"/>
    <row r="225" s="32" customFormat="1" ht="11.25"/>
    <row r="226" s="32" customFormat="1" ht="11.25"/>
    <row r="227" s="32" customFormat="1" ht="11.25"/>
    <row r="228" s="32" customFormat="1" ht="11.25"/>
    <row r="229" s="32" customFormat="1" ht="11.25"/>
    <row r="230" s="32" customFormat="1" ht="11.25"/>
    <row r="231" s="32" customFormat="1" ht="11.25"/>
    <row r="232" s="32" customFormat="1" ht="11.25"/>
    <row r="233" s="32" customFormat="1" ht="11.25"/>
    <row r="234" s="32" customFormat="1" ht="11.25"/>
    <row r="235" s="32" customFormat="1" ht="11.25"/>
    <row r="236" s="32" customFormat="1" ht="11.25"/>
    <row r="237" s="32" customFormat="1" ht="11.25"/>
    <row r="238" s="32" customFormat="1" ht="11.25"/>
    <row r="239" s="32" customFormat="1" ht="11.25"/>
    <row r="240" s="32" customFormat="1" ht="11.25"/>
    <row r="241" s="32" customFormat="1" ht="11.25"/>
    <row r="242" s="32" customFormat="1" ht="11.25"/>
    <row r="243" s="32" customFormat="1" ht="11.25"/>
    <row r="244" s="32" customFormat="1" ht="11.25"/>
    <row r="245" s="32" customFormat="1" ht="11.25"/>
    <row r="246" s="32" customFormat="1" ht="11.25"/>
    <row r="247" s="32" customFormat="1" ht="11.25"/>
    <row r="248" s="32" customFormat="1" ht="11.25"/>
    <row r="249" s="32" customFormat="1" ht="11.25"/>
    <row r="250" s="32" customFormat="1" ht="11.25"/>
    <row r="251" s="32" customFormat="1" ht="11.25"/>
    <row r="252" s="32" customFormat="1" ht="11.25"/>
    <row r="253" s="32" customFormat="1" ht="11.25"/>
    <row r="254" s="32" customFormat="1" ht="11.25"/>
    <row r="255" s="32" customFormat="1" ht="11.25"/>
    <row r="256" s="32" customFormat="1" ht="11.25"/>
    <row r="257" s="32" customFormat="1" ht="11.25"/>
    <row r="258" s="32" customFormat="1" ht="11.25"/>
    <row r="259" s="32" customFormat="1" ht="11.25"/>
    <row r="260" s="32" customFormat="1" ht="11.25"/>
    <row r="261" s="32" customFormat="1" ht="11.25"/>
    <row r="262" s="32" customFormat="1" ht="11.25"/>
    <row r="263" s="32" customFormat="1" ht="11.25"/>
    <row r="264" s="32" customFormat="1" ht="11.25"/>
    <row r="265" s="32" customFormat="1" ht="11.25"/>
    <row r="266" s="32" customFormat="1" ht="11.25"/>
    <row r="267" s="32" customFormat="1" ht="11.25"/>
    <row r="268" s="32" customFormat="1" ht="11.25"/>
    <row r="269" s="32" customFormat="1" ht="11.25"/>
    <row r="270" s="32" customFormat="1" ht="11.25"/>
    <row r="271" s="32" customFormat="1" ht="11.25"/>
    <row r="272" s="32" customFormat="1" ht="11.25"/>
    <row r="273" s="32" customFormat="1" ht="11.25"/>
    <row r="274" s="32" customFormat="1" ht="11.25"/>
    <row r="275" s="32" customFormat="1" ht="11.25"/>
    <row r="276" s="32" customFormat="1" ht="11.25"/>
    <row r="277" s="32" customFormat="1" ht="11.25"/>
    <row r="278" s="32" customFormat="1" ht="11.25"/>
    <row r="279" s="32" customFormat="1" ht="11.25"/>
    <row r="280" s="32" customFormat="1" ht="11.25"/>
    <row r="281" s="32" customFormat="1" ht="11.25"/>
    <row r="282" s="32" customFormat="1" ht="11.25"/>
    <row r="283" s="32" customFormat="1" ht="11.25"/>
    <row r="284" s="32" customFormat="1" ht="11.25"/>
    <row r="285" s="32" customFormat="1" ht="11.25"/>
    <row r="286" s="32" customFormat="1" ht="11.25"/>
    <row r="287" s="32" customFormat="1" ht="11.25"/>
    <row r="288" s="32" customFormat="1" ht="11.25"/>
    <row r="289" s="32" customFormat="1" ht="11.25"/>
    <row r="290" s="32" customFormat="1" ht="11.25"/>
    <row r="291" s="32" customFormat="1" ht="11.25"/>
    <row r="292" s="32" customFormat="1" ht="11.25"/>
    <row r="293" ht="11.25">
      <c r="Y293" s="1"/>
    </row>
  </sheetData>
  <sheetProtection/>
  <printOptions gridLines="1" headings="1"/>
  <pageMargins left="0.75" right="0.75" top="1" bottom="1" header="0.5" footer="0.5"/>
  <pageSetup fitToHeight="23"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BD304"/>
  <sheetViews>
    <sheetView zoomScale="120" zoomScaleNormal="120" zoomScalePageLayoutView="0" workbookViewId="0" topLeftCell="A1">
      <pane xSplit="1" ySplit="2" topLeftCell="B275" activePane="bottomRight" state="frozen"/>
      <selection pane="topLeft" activeCell="A1" sqref="A1"/>
      <selection pane="topRight" activeCell="B1" sqref="B1"/>
      <selection pane="bottomLeft" activeCell="A3" sqref="A3"/>
      <selection pane="bottomRight" activeCell="N299" sqref="N299"/>
    </sheetView>
  </sheetViews>
  <sheetFormatPr defaultColWidth="9.140625" defaultRowHeight="12.75"/>
  <cols>
    <col min="1" max="1" width="71.421875" style="1" customWidth="1"/>
    <col min="2" max="2" width="9.57421875" style="1" customWidth="1"/>
    <col min="3" max="3" width="9.00390625" style="1" customWidth="1"/>
    <col min="4" max="13" width="8.57421875" style="1" customWidth="1"/>
    <col min="14" max="24" width="9.140625" style="1" customWidth="1"/>
    <col min="25" max="25" width="1.7109375" style="63" customWidth="1"/>
    <col min="26" max="16384" width="9.140625" style="1" customWidth="1"/>
  </cols>
  <sheetData>
    <row r="1" spans="1:25" s="14" customFormat="1" ht="11.25">
      <c r="A1" s="18" t="s">
        <v>46</v>
      </c>
      <c r="B1" s="23">
        <v>2012</v>
      </c>
      <c r="C1" s="23">
        <f>B1+1</f>
        <v>2013</v>
      </c>
      <c r="D1" s="23">
        <f aca="true" t="shared" si="0" ref="D1:S2">C1+1</f>
        <v>2014</v>
      </c>
      <c r="E1" s="23">
        <f t="shared" si="0"/>
        <v>2015</v>
      </c>
      <c r="F1" s="23">
        <f t="shared" si="0"/>
        <v>2016</v>
      </c>
      <c r="G1" s="23">
        <f t="shared" si="0"/>
        <v>2017</v>
      </c>
      <c r="H1" s="23">
        <f t="shared" si="0"/>
        <v>2018</v>
      </c>
      <c r="I1" s="23">
        <f t="shared" si="0"/>
        <v>2019</v>
      </c>
      <c r="J1" s="23">
        <f t="shared" si="0"/>
        <v>2020</v>
      </c>
      <c r="K1" s="23">
        <f t="shared" si="0"/>
        <v>2021</v>
      </c>
      <c r="L1" s="23">
        <f t="shared" si="0"/>
        <v>2022</v>
      </c>
      <c r="M1" s="23">
        <f t="shared" si="0"/>
        <v>2023</v>
      </c>
      <c r="N1" s="23">
        <f t="shared" si="0"/>
        <v>2024</v>
      </c>
      <c r="O1" s="23">
        <f t="shared" si="0"/>
        <v>2025</v>
      </c>
      <c r="P1" s="23">
        <f t="shared" si="0"/>
        <v>2026</v>
      </c>
      <c r="Q1" s="23">
        <f t="shared" si="0"/>
        <v>2027</v>
      </c>
      <c r="R1" s="23">
        <f t="shared" si="0"/>
        <v>2028</v>
      </c>
      <c r="S1" s="23">
        <f t="shared" si="0"/>
        <v>2029</v>
      </c>
      <c r="T1" s="23">
        <f aca="true" t="shared" si="1" ref="T1:X2">S1+1</f>
        <v>2030</v>
      </c>
      <c r="U1" s="23">
        <f t="shared" si="1"/>
        <v>2031</v>
      </c>
      <c r="V1" s="23">
        <f t="shared" si="1"/>
        <v>2032</v>
      </c>
      <c r="W1" s="23">
        <f t="shared" si="1"/>
        <v>2033</v>
      </c>
      <c r="X1" s="23">
        <f t="shared" si="1"/>
        <v>2034</v>
      </c>
      <c r="Y1" s="61"/>
    </row>
    <row r="2" spans="1:25" s="4" customFormat="1" ht="12" thickBot="1">
      <c r="A2" s="21"/>
      <c r="B2" s="4">
        <v>0</v>
      </c>
      <c r="C2" s="22">
        <f>B2+1</f>
        <v>1</v>
      </c>
      <c r="D2" s="22">
        <f t="shared" si="0"/>
        <v>2</v>
      </c>
      <c r="E2" s="22">
        <f t="shared" si="0"/>
        <v>3</v>
      </c>
      <c r="F2" s="22">
        <f t="shared" si="0"/>
        <v>4</v>
      </c>
      <c r="G2" s="22">
        <f t="shared" si="0"/>
        <v>5</v>
      </c>
      <c r="H2" s="22">
        <f t="shared" si="0"/>
        <v>6</v>
      </c>
      <c r="I2" s="22">
        <f t="shared" si="0"/>
        <v>7</v>
      </c>
      <c r="J2" s="22">
        <f t="shared" si="0"/>
        <v>8</v>
      </c>
      <c r="K2" s="22">
        <f t="shared" si="0"/>
        <v>9</v>
      </c>
      <c r="L2" s="22">
        <f t="shared" si="0"/>
        <v>10</v>
      </c>
      <c r="M2" s="22">
        <f t="shared" si="0"/>
        <v>11</v>
      </c>
      <c r="N2" s="22">
        <f t="shared" si="0"/>
        <v>12</v>
      </c>
      <c r="O2" s="22">
        <f t="shared" si="0"/>
        <v>13</v>
      </c>
      <c r="P2" s="22">
        <f t="shared" si="0"/>
        <v>14</v>
      </c>
      <c r="Q2" s="22">
        <f t="shared" si="0"/>
        <v>15</v>
      </c>
      <c r="R2" s="22">
        <f t="shared" si="0"/>
        <v>16</v>
      </c>
      <c r="S2" s="22">
        <f t="shared" si="0"/>
        <v>17</v>
      </c>
      <c r="T2" s="22">
        <f t="shared" si="1"/>
        <v>18</v>
      </c>
      <c r="U2" s="22">
        <f t="shared" si="1"/>
        <v>19</v>
      </c>
      <c r="V2" s="22">
        <f t="shared" si="1"/>
        <v>20</v>
      </c>
      <c r="W2" s="22">
        <f t="shared" si="1"/>
        <v>21</v>
      </c>
      <c r="X2" s="22">
        <f t="shared" si="1"/>
        <v>22</v>
      </c>
      <c r="Y2" s="62"/>
    </row>
    <row r="3" spans="1:25" s="14" customFormat="1" ht="12" thickTop="1">
      <c r="A3" s="54" t="s">
        <v>170</v>
      </c>
      <c r="B3" s="18"/>
      <c r="C3" s="23"/>
      <c r="D3" s="23"/>
      <c r="E3" s="23"/>
      <c r="F3" s="23"/>
      <c r="G3" s="23"/>
      <c r="H3" s="23"/>
      <c r="I3" s="23"/>
      <c r="J3" s="23"/>
      <c r="K3" s="23"/>
      <c r="L3" s="23"/>
      <c r="M3" s="23"/>
      <c r="N3" s="23"/>
      <c r="O3" s="23"/>
      <c r="P3" s="23"/>
      <c r="Q3" s="23"/>
      <c r="R3" s="23"/>
      <c r="S3" s="23"/>
      <c r="T3" s="23"/>
      <c r="U3" s="23"/>
      <c r="V3" s="23"/>
      <c r="W3" s="23"/>
      <c r="X3" s="23"/>
      <c r="Y3" s="61"/>
    </row>
    <row r="4" spans="1:25" s="14" customFormat="1" ht="11.25">
      <c r="A4" s="54"/>
      <c r="B4" s="18"/>
      <c r="C4" s="23"/>
      <c r="D4" s="23"/>
      <c r="E4" s="23"/>
      <c r="F4" s="23"/>
      <c r="G4" s="23"/>
      <c r="H4" s="23"/>
      <c r="I4" s="23"/>
      <c r="J4" s="23"/>
      <c r="K4" s="23"/>
      <c r="L4" s="23"/>
      <c r="M4" s="23"/>
      <c r="N4" s="23"/>
      <c r="O4" s="23"/>
      <c r="P4" s="23"/>
      <c r="Q4" s="23"/>
      <c r="R4" s="23"/>
      <c r="S4" s="23"/>
      <c r="T4" s="23"/>
      <c r="U4" s="23"/>
      <c r="V4" s="23"/>
      <c r="W4" s="23"/>
      <c r="X4" s="23"/>
      <c r="Y4" s="61"/>
    </row>
    <row r="5" spans="1:24" ht="11.25">
      <c r="A5" s="1" t="s">
        <v>0</v>
      </c>
      <c r="B5" s="11">
        <v>0.07</v>
      </c>
      <c r="C5" s="11">
        <f>$B$5</f>
        <v>0.07</v>
      </c>
      <c r="D5" s="11">
        <f aca="true" t="shared" si="2" ref="D5:X5">$B$5</f>
        <v>0.07</v>
      </c>
      <c r="E5" s="11">
        <f t="shared" si="2"/>
        <v>0.07</v>
      </c>
      <c r="F5" s="11">
        <f t="shared" si="2"/>
        <v>0.07</v>
      </c>
      <c r="G5" s="11">
        <f t="shared" si="2"/>
        <v>0.07</v>
      </c>
      <c r="H5" s="11">
        <f t="shared" si="2"/>
        <v>0.07</v>
      </c>
      <c r="I5" s="11">
        <f t="shared" si="2"/>
        <v>0.07</v>
      </c>
      <c r="J5" s="11">
        <f t="shared" si="2"/>
        <v>0.07</v>
      </c>
      <c r="K5" s="11">
        <f t="shared" si="2"/>
        <v>0.07</v>
      </c>
      <c r="L5" s="11">
        <f t="shared" si="2"/>
        <v>0.07</v>
      </c>
      <c r="M5" s="11">
        <f t="shared" si="2"/>
        <v>0.07</v>
      </c>
      <c r="N5" s="11">
        <f t="shared" si="2"/>
        <v>0.07</v>
      </c>
      <c r="O5" s="11">
        <f t="shared" si="2"/>
        <v>0.07</v>
      </c>
      <c r="P5" s="11">
        <f t="shared" si="2"/>
        <v>0.07</v>
      </c>
      <c r="Q5" s="11">
        <f t="shared" si="2"/>
        <v>0.07</v>
      </c>
      <c r="R5" s="11">
        <f t="shared" si="2"/>
        <v>0.07</v>
      </c>
      <c r="S5" s="11">
        <f t="shared" si="2"/>
        <v>0.07</v>
      </c>
      <c r="T5" s="11">
        <f t="shared" si="2"/>
        <v>0.07</v>
      </c>
      <c r="U5" s="11">
        <f t="shared" si="2"/>
        <v>0.07</v>
      </c>
      <c r="V5" s="11">
        <f t="shared" si="2"/>
        <v>0.07</v>
      </c>
      <c r="W5" s="11">
        <f t="shared" si="2"/>
        <v>0.07</v>
      </c>
      <c r="X5" s="11">
        <f t="shared" si="2"/>
        <v>0.07</v>
      </c>
    </row>
    <row r="6" spans="1:24" ht="11.25">
      <c r="A6" s="1" t="s">
        <v>1</v>
      </c>
      <c r="B6" s="11">
        <v>0.03</v>
      </c>
      <c r="C6" s="11">
        <f>$B$6</f>
        <v>0.03</v>
      </c>
      <c r="D6" s="11">
        <f aca="true" t="shared" si="3" ref="D6:X6">$B$6</f>
        <v>0.03</v>
      </c>
      <c r="E6" s="11">
        <f t="shared" si="3"/>
        <v>0.03</v>
      </c>
      <c r="F6" s="11">
        <f t="shared" si="3"/>
        <v>0.03</v>
      </c>
      <c r="G6" s="11">
        <f t="shared" si="3"/>
        <v>0.03</v>
      </c>
      <c r="H6" s="11">
        <f t="shared" si="3"/>
        <v>0.03</v>
      </c>
      <c r="I6" s="11">
        <f t="shared" si="3"/>
        <v>0.03</v>
      </c>
      <c r="J6" s="11">
        <f t="shared" si="3"/>
        <v>0.03</v>
      </c>
      <c r="K6" s="11">
        <f t="shared" si="3"/>
        <v>0.03</v>
      </c>
      <c r="L6" s="11">
        <f t="shared" si="3"/>
        <v>0.03</v>
      </c>
      <c r="M6" s="11">
        <f t="shared" si="3"/>
        <v>0.03</v>
      </c>
      <c r="N6" s="11">
        <f t="shared" si="3"/>
        <v>0.03</v>
      </c>
      <c r="O6" s="11">
        <f t="shared" si="3"/>
        <v>0.03</v>
      </c>
      <c r="P6" s="11">
        <f t="shared" si="3"/>
        <v>0.03</v>
      </c>
      <c r="Q6" s="11">
        <f t="shared" si="3"/>
        <v>0.03</v>
      </c>
      <c r="R6" s="11">
        <f t="shared" si="3"/>
        <v>0.03</v>
      </c>
      <c r="S6" s="11">
        <f t="shared" si="3"/>
        <v>0.03</v>
      </c>
      <c r="T6" s="11">
        <f t="shared" si="3"/>
        <v>0.03</v>
      </c>
      <c r="U6" s="11">
        <f t="shared" si="3"/>
        <v>0.03</v>
      </c>
      <c r="V6" s="11">
        <f t="shared" si="3"/>
        <v>0.03</v>
      </c>
      <c r="W6" s="11">
        <f t="shared" si="3"/>
        <v>0.03</v>
      </c>
      <c r="X6" s="11">
        <f t="shared" si="3"/>
        <v>0.03</v>
      </c>
    </row>
    <row r="7" spans="1:2" ht="11.25">
      <c r="A7" s="1" t="s">
        <v>57</v>
      </c>
      <c r="B7" s="1">
        <v>21000</v>
      </c>
    </row>
    <row r="9" ht="11.25">
      <c r="A9" s="2" t="s">
        <v>172</v>
      </c>
    </row>
    <row r="10" spans="1:4" ht="11.25">
      <c r="A10" s="1" t="s">
        <v>55</v>
      </c>
      <c r="C10" s="1">
        <v>264123</v>
      </c>
      <c r="D10" s="1">
        <v>220927</v>
      </c>
    </row>
    <row r="11" spans="1:4" ht="11.25">
      <c r="A11" s="1" t="s">
        <v>51</v>
      </c>
      <c r="C11" s="1">
        <v>432594</v>
      </c>
      <c r="D11" s="1">
        <v>822898</v>
      </c>
    </row>
    <row r="12" spans="1:4" ht="11.25">
      <c r="A12" s="1" t="s">
        <v>49</v>
      </c>
      <c r="C12" s="1">
        <v>19269</v>
      </c>
      <c r="D12" s="1">
        <v>45538</v>
      </c>
    </row>
    <row r="13" spans="1:4" ht="11.25">
      <c r="A13" s="1" t="s">
        <v>54</v>
      </c>
      <c r="C13" s="1">
        <v>8059</v>
      </c>
      <c r="D13" s="1">
        <v>13686</v>
      </c>
    </row>
    <row r="14" spans="1:4" ht="11.25">
      <c r="A14" s="1" t="s">
        <v>79</v>
      </c>
      <c r="C14" s="1">
        <v>1304</v>
      </c>
      <c r="D14" s="1">
        <v>1795</v>
      </c>
    </row>
    <row r="15" ht="11.25">
      <c r="G15" s="12"/>
    </row>
    <row r="16" spans="1:2" ht="11.25">
      <c r="A16" s="1" t="s">
        <v>140</v>
      </c>
      <c r="B16" s="1">
        <v>20</v>
      </c>
    </row>
    <row r="18" spans="1:2" ht="11.25">
      <c r="A18" s="1" t="s">
        <v>58</v>
      </c>
      <c r="B18" s="1">
        <v>2300000</v>
      </c>
    </row>
    <row r="19" spans="1:2" ht="11.25">
      <c r="A19" s="1" t="s">
        <v>23</v>
      </c>
      <c r="B19" s="11">
        <f>(1+11.5%)/(1+7%)-1</f>
        <v>0.04205607476635498</v>
      </c>
    </row>
    <row r="20" spans="1:3" ht="11.25">
      <c r="A20" s="1" t="s">
        <v>59</v>
      </c>
      <c r="B20" s="11">
        <f>(1+B19)*(1+C5)-1</f>
        <v>0.11499999999999999</v>
      </c>
      <c r="C20" s="5"/>
    </row>
    <row r="21" spans="1:3" ht="11.25">
      <c r="A21" s="1" t="s">
        <v>60</v>
      </c>
      <c r="B21" s="1">
        <v>10</v>
      </c>
      <c r="C21" s="1" t="s">
        <v>3</v>
      </c>
    </row>
    <row r="22" ht="11.25">
      <c r="A22" s="70" t="s">
        <v>143</v>
      </c>
    </row>
    <row r="24" spans="1:24" ht="11.25">
      <c r="A24" s="1" t="s">
        <v>62</v>
      </c>
      <c r="D24" s="10"/>
      <c r="E24" s="10">
        <v>1.8</v>
      </c>
      <c r="F24" s="10">
        <v>2</v>
      </c>
      <c r="G24" s="10">
        <v>2.2</v>
      </c>
      <c r="H24" s="10">
        <v>2.4</v>
      </c>
      <c r="I24" s="10">
        <v>2.65</v>
      </c>
      <c r="J24" s="10">
        <v>2.9</v>
      </c>
      <c r="K24" s="10">
        <v>3.2</v>
      </c>
      <c r="L24" s="10">
        <v>3.5</v>
      </c>
      <c r="M24" s="10">
        <v>3.5</v>
      </c>
      <c r="N24" s="10">
        <v>3.5</v>
      </c>
      <c r="O24" s="10">
        <v>3.5</v>
      </c>
      <c r="P24" s="10">
        <v>3.5</v>
      </c>
      <c r="Q24" s="10">
        <v>3.5</v>
      </c>
      <c r="R24" s="10">
        <v>3.5</v>
      </c>
      <c r="S24" s="10">
        <v>3.5</v>
      </c>
      <c r="T24" s="10">
        <v>3.5</v>
      </c>
      <c r="U24" s="10">
        <v>3.5</v>
      </c>
      <c r="V24" s="10">
        <v>3.5</v>
      </c>
      <c r="W24" s="10">
        <v>3.5</v>
      </c>
      <c r="X24" s="10">
        <v>3.5</v>
      </c>
    </row>
    <row r="25" spans="4:24" ht="11.25">
      <c r="D25" s="10"/>
      <c r="E25" s="10"/>
      <c r="F25" s="10"/>
      <c r="G25" s="10"/>
      <c r="H25" s="10"/>
      <c r="I25" s="10"/>
      <c r="J25" s="10"/>
      <c r="K25" s="10"/>
      <c r="L25" s="10"/>
      <c r="M25" s="10"/>
      <c r="N25" s="10"/>
      <c r="O25" s="10"/>
      <c r="P25" s="10"/>
      <c r="Q25" s="10"/>
      <c r="R25" s="10"/>
      <c r="S25" s="10"/>
      <c r="T25" s="10"/>
      <c r="U25" s="10"/>
      <c r="V25" s="10"/>
      <c r="W25" s="10"/>
      <c r="X25" s="10"/>
    </row>
    <row r="26" spans="1:24" ht="11.25">
      <c r="A26" s="1" t="s">
        <v>141</v>
      </c>
      <c r="B26" s="70">
        <f>B288</f>
        <v>330000</v>
      </c>
      <c r="G26" s="10"/>
      <c r="H26" s="10"/>
      <c r="I26" s="10"/>
      <c r="J26" s="10"/>
      <c r="K26" s="10"/>
      <c r="L26" s="10"/>
      <c r="M26" s="10"/>
      <c r="N26" s="10"/>
      <c r="O26" s="10"/>
      <c r="P26" s="10"/>
      <c r="Q26" s="10"/>
      <c r="R26" s="10"/>
      <c r="S26" s="10"/>
      <c r="T26" s="10"/>
      <c r="U26" s="10"/>
      <c r="V26" s="10"/>
      <c r="W26" s="10"/>
      <c r="X26" s="10"/>
    </row>
    <row r="27" spans="1:24" ht="11.25">
      <c r="A27" s="1" t="s">
        <v>63</v>
      </c>
      <c r="B27" s="3">
        <v>0.05</v>
      </c>
      <c r="G27" s="10"/>
      <c r="H27" s="10"/>
      <c r="I27" s="10"/>
      <c r="J27" s="10"/>
      <c r="K27" s="10"/>
      <c r="L27" s="10"/>
      <c r="M27" s="10"/>
      <c r="N27" s="10"/>
      <c r="O27" s="10"/>
      <c r="P27" s="10"/>
      <c r="Q27" s="10"/>
      <c r="R27" s="10"/>
      <c r="S27" s="10"/>
      <c r="T27" s="10"/>
      <c r="U27" s="10"/>
      <c r="V27" s="10"/>
      <c r="W27" s="10"/>
      <c r="X27" s="10"/>
    </row>
    <row r="29" spans="1:2" ht="11.25">
      <c r="A29" s="66" t="s">
        <v>142</v>
      </c>
      <c r="B29" s="14">
        <v>43000</v>
      </c>
    </row>
    <row r="30" spans="1:2" ht="11.25">
      <c r="A30" s="68" t="s">
        <v>154</v>
      </c>
      <c r="B30" s="14">
        <v>46500</v>
      </c>
    </row>
    <row r="31" spans="1:2" ht="11.25">
      <c r="A31" s="26" t="s">
        <v>65</v>
      </c>
      <c r="B31" s="3">
        <v>0.05</v>
      </c>
    </row>
    <row r="32" ht="11.25">
      <c r="A32" s="25"/>
    </row>
    <row r="33" spans="1:2" ht="11.25">
      <c r="A33" s="1" t="s">
        <v>67</v>
      </c>
      <c r="B33" s="3">
        <v>0.1</v>
      </c>
    </row>
    <row r="34" spans="1:2" ht="11.25">
      <c r="A34" s="1" t="s">
        <v>16</v>
      </c>
      <c r="B34" s="3">
        <v>0.25</v>
      </c>
    </row>
    <row r="35" spans="1:2" ht="11.25">
      <c r="A35" s="15"/>
      <c r="B35" s="3"/>
    </row>
    <row r="36" spans="1:2" ht="11.25">
      <c r="A36" s="28" t="s">
        <v>71</v>
      </c>
      <c r="B36" s="3"/>
    </row>
    <row r="37" spans="1:2" ht="11.25">
      <c r="A37" s="15" t="s">
        <v>156</v>
      </c>
      <c r="B37" s="13">
        <v>0.08</v>
      </c>
    </row>
    <row r="38" spans="1:2" ht="11.25">
      <c r="A38" s="15" t="s">
        <v>72</v>
      </c>
      <c r="B38" s="13">
        <f>(1+B37)*(1+$C$5)-1</f>
        <v>0.15560000000000018</v>
      </c>
    </row>
    <row r="39" spans="1:2" ht="11.25">
      <c r="A39" s="15" t="s">
        <v>73</v>
      </c>
      <c r="B39" s="13">
        <v>0.13</v>
      </c>
    </row>
    <row r="40" spans="1:2" ht="11.25">
      <c r="A40" s="15" t="s">
        <v>74</v>
      </c>
      <c r="B40" s="13">
        <f>(1+B39)*(1+$C$5)-1</f>
        <v>0.20910000000000006</v>
      </c>
    </row>
    <row r="41" spans="1:2" ht="11.25">
      <c r="A41" s="15" t="s">
        <v>155</v>
      </c>
      <c r="B41" s="13">
        <v>0.08</v>
      </c>
    </row>
    <row r="42" spans="1:2" ht="11.25">
      <c r="A42" s="28" t="s">
        <v>144</v>
      </c>
      <c r="B42" s="67">
        <v>1.05</v>
      </c>
    </row>
    <row r="43" spans="1:2" ht="11.25">
      <c r="A43" s="28" t="s">
        <v>159</v>
      </c>
      <c r="B43" s="67">
        <v>0.7</v>
      </c>
    </row>
    <row r="44" spans="1:2" ht="11.25">
      <c r="A44" s="28" t="s">
        <v>160</v>
      </c>
      <c r="B44" s="67">
        <v>0.6</v>
      </c>
    </row>
    <row r="45" spans="1:2" ht="11.25">
      <c r="A45" s="15"/>
      <c r="B45" s="3"/>
    </row>
    <row r="46" spans="1:24" ht="11.25">
      <c r="A46" s="18" t="s">
        <v>171</v>
      </c>
      <c r="B46" s="14"/>
      <c r="C46" s="14"/>
      <c r="D46" s="14"/>
      <c r="E46" s="14"/>
      <c r="F46" s="14"/>
      <c r="G46" s="14"/>
      <c r="H46" s="14"/>
      <c r="I46" s="14"/>
      <c r="J46" s="14"/>
      <c r="K46" s="14"/>
      <c r="L46" s="14"/>
      <c r="M46" s="14"/>
      <c r="N46" s="14"/>
      <c r="O46" s="14"/>
      <c r="P46" s="14"/>
      <c r="Q46" s="14"/>
      <c r="R46" s="14"/>
      <c r="S46" s="14"/>
      <c r="T46" s="14"/>
      <c r="U46" s="14"/>
      <c r="V46" s="14"/>
      <c r="W46" s="14"/>
      <c r="X46" s="14"/>
    </row>
    <row r="47" spans="1:24" ht="11.25">
      <c r="A47" s="14" t="s">
        <v>76</v>
      </c>
      <c r="B47" s="42"/>
      <c r="C47" s="42"/>
      <c r="D47" s="42"/>
      <c r="E47" s="42">
        <v>340088</v>
      </c>
      <c r="F47" s="42">
        <v>146705</v>
      </c>
      <c r="G47" s="42">
        <v>197595</v>
      </c>
      <c r="H47" s="42">
        <v>183907</v>
      </c>
      <c r="I47" s="42">
        <v>234798</v>
      </c>
      <c r="J47" s="42">
        <v>242871</v>
      </c>
      <c r="K47" s="42">
        <v>318328</v>
      </c>
      <c r="L47" s="42">
        <v>273405</v>
      </c>
      <c r="M47" s="42">
        <v>234096</v>
      </c>
      <c r="N47" s="42">
        <v>280775</v>
      </c>
      <c r="O47" s="42">
        <v>280775</v>
      </c>
      <c r="P47" s="42">
        <v>21760</v>
      </c>
      <c r="Q47" s="42">
        <v>21760</v>
      </c>
      <c r="R47" s="42">
        <v>21760</v>
      </c>
      <c r="S47" s="42">
        <v>43169</v>
      </c>
      <c r="T47" s="42">
        <v>43169</v>
      </c>
      <c r="U47" s="42">
        <v>64929</v>
      </c>
      <c r="V47" s="42">
        <v>64929</v>
      </c>
      <c r="W47" s="42">
        <v>86338</v>
      </c>
      <c r="X47" s="42">
        <v>86338</v>
      </c>
    </row>
    <row r="48" spans="1:24" ht="11.25">
      <c r="A48" s="14" t="s">
        <v>75</v>
      </c>
      <c r="B48" s="43"/>
      <c r="C48" s="43"/>
      <c r="D48" s="43"/>
      <c r="E48" s="42">
        <v>559445</v>
      </c>
      <c r="F48" s="42">
        <v>73001</v>
      </c>
      <c r="G48" s="42">
        <v>121786</v>
      </c>
      <c r="H48" s="42">
        <v>97219</v>
      </c>
      <c r="I48" s="42">
        <v>121786</v>
      </c>
      <c r="J48" s="42">
        <v>121786</v>
      </c>
      <c r="K48" s="42">
        <v>146003</v>
      </c>
      <c r="L48" s="42">
        <v>146003</v>
      </c>
      <c r="M48" s="42">
        <v>292007</v>
      </c>
      <c r="N48" s="42">
        <v>194437</v>
      </c>
      <c r="O48" s="42">
        <v>437658</v>
      </c>
      <c r="P48" s="42">
        <v>0</v>
      </c>
      <c r="Q48" s="42">
        <v>243222</v>
      </c>
      <c r="R48" s="42">
        <v>0</v>
      </c>
      <c r="S48" s="42">
        <v>0</v>
      </c>
      <c r="T48" s="42">
        <v>0</v>
      </c>
      <c r="U48" s="42">
        <v>194437</v>
      </c>
      <c r="V48" s="42">
        <v>0</v>
      </c>
      <c r="W48" s="42">
        <v>0</v>
      </c>
      <c r="X48" s="42">
        <v>0</v>
      </c>
    </row>
    <row r="49" spans="1:24" ht="11.25">
      <c r="A49" s="14" t="s">
        <v>77</v>
      </c>
      <c r="B49" s="43"/>
      <c r="C49" s="43"/>
      <c r="D49" s="43"/>
      <c r="E49" s="42">
        <f>INDEX($E$223:$X$225,$B$231,E2-2)</f>
        <v>25270</v>
      </c>
      <c r="F49" s="42">
        <f>INDEX($E$223:$X$225,$B$231,F2-2)</f>
        <v>27376</v>
      </c>
      <c r="G49" s="42">
        <f>INDEX($E$223:$X$225,$B$231,G2-2)</f>
        <v>30534</v>
      </c>
      <c r="H49" s="42">
        <f>INDEX($E$223:$X$225,$B$231,H2-2)</f>
        <v>32640</v>
      </c>
      <c r="I49" s="42">
        <f>INDEX($E$223:$X$225,$B$231,I2-2)</f>
        <v>36851</v>
      </c>
      <c r="J49" s="42">
        <f>INDEX($E$223:$X$225,$B$231,J2-2)</f>
        <v>40011</v>
      </c>
      <c r="K49" s="42">
        <f>INDEX($E$223:$X$225,$B$231,K2-2)</f>
        <v>44222</v>
      </c>
      <c r="L49" s="42">
        <f>INDEX($E$223:$X$225,$B$231,L2-2)</f>
        <v>49487</v>
      </c>
      <c r="M49" s="42">
        <f>INDEX($E$223:$X$225,$B$231,M2-2)</f>
        <v>53699</v>
      </c>
      <c r="N49" s="42">
        <f>INDEX($E$223:$X$225,$B$231,N2-2)</f>
        <v>58962</v>
      </c>
      <c r="O49" s="42">
        <f>INDEX($E$223:$X$225,$B$231,O2-2)</f>
        <v>64578</v>
      </c>
      <c r="P49" s="42">
        <f>INDEX($E$223:$X$225,$B$231,P2-2)</f>
        <v>64578</v>
      </c>
      <c r="Q49" s="42">
        <f>INDEX($E$223:$X$225,$B$231,Q2-2)</f>
        <v>64578</v>
      </c>
      <c r="R49" s="42">
        <f>INDEX($E$223:$X$225,$B$231,R2-2)</f>
        <v>64578</v>
      </c>
      <c r="S49" s="42">
        <f>INDEX($E$223:$X$225,$B$231,S2-2)</f>
        <v>64578</v>
      </c>
      <c r="T49" s="42">
        <f>INDEX($E$223:$X$225,$B$231,T2-2)</f>
        <v>64578</v>
      </c>
      <c r="U49" s="42">
        <f>INDEX($E$223:$X$225,$B$231,U2-2)</f>
        <v>64578</v>
      </c>
      <c r="V49" s="42">
        <f>INDEX($E$223:$X$225,$B$231,V2-2)</f>
        <v>64578</v>
      </c>
      <c r="W49" s="42">
        <f>INDEX($E$223:$X$225,$B$231,W2-2)</f>
        <v>64578</v>
      </c>
      <c r="X49" s="42">
        <f>INDEX($E$223:$X$225,$B$231,X2-2)</f>
        <v>64578</v>
      </c>
    </row>
    <row r="50" spans="1:24" ht="11.25">
      <c r="A50" s="14" t="s">
        <v>78</v>
      </c>
      <c r="B50" s="42"/>
      <c r="C50" s="42"/>
      <c r="D50" s="42"/>
      <c r="E50" s="42">
        <f>INDEX($E$227:$X$229,$B$231,E2-2)</f>
        <v>147758</v>
      </c>
      <c r="F50" s="42">
        <f>INDEX($E$227:$X$229,$B$231,F2-2)</f>
        <v>160042</v>
      </c>
      <c r="G50" s="42">
        <f>INDEX($E$227:$X$229,$B$231,G2-2)</f>
        <v>180749</v>
      </c>
      <c r="H50" s="42">
        <f>INDEX($E$227:$X$229,$B$231,H2-2)</f>
        <v>197244</v>
      </c>
      <c r="I50" s="42">
        <f>INDEX($E$227:$X$229,$B$231,I2-2)</f>
        <v>217601</v>
      </c>
      <c r="J50" s="42">
        <f>INDEX($E$227:$X$229,$B$231,J2-2)</f>
        <v>238308</v>
      </c>
      <c r="K50" s="42">
        <f>INDEX($E$227:$X$229,$B$231,K2-2)</f>
        <v>262875</v>
      </c>
      <c r="L50" s="42">
        <f>INDEX($E$227:$X$229,$B$231,L2-2)</f>
        <v>287444</v>
      </c>
      <c r="M50" s="42">
        <f>INDEX($E$227:$X$229,$B$231,M2-2)</f>
        <v>316223</v>
      </c>
      <c r="N50" s="42">
        <f>INDEX($E$227:$X$229,$B$231,N2-2)</f>
        <v>349214</v>
      </c>
      <c r="O50" s="42">
        <f>INDEX($E$227:$X$229,$B$231,O2-2)</f>
        <v>381854</v>
      </c>
      <c r="P50" s="42">
        <f>INDEX($E$227:$X$229,$B$231,P2-2)</f>
        <v>381854</v>
      </c>
      <c r="Q50" s="42">
        <f>INDEX($E$227:$X$229,$B$231,Q2-2)</f>
        <v>381854</v>
      </c>
      <c r="R50" s="42">
        <f>INDEX($E$227:$X$229,$B$231,R2-2)</f>
        <v>381854</v>
      </c>
      <c r="S50" s="42">
        <f>INDEX($E$227:$X$229,$B$231,S2-2)</f>
        <v>381854</v>
      </c>
      <c r="T50" s="42">
        <f>INDEX($E$227:$X$229,$B$231,T2-2)</f>
        <v>381854</v>
      </c>
      <c r="U50" s="42">
        <f>INDEX($E$227:$X$229,$B$231,U2-2)</f>
        <v>381854</v>
      </c>
      <c r="V50" s="42">
        <f>INDEX($E$227:$X$229,$B$231,V2-2)</f>
        <v>381854</v>
      </c>
      <c r="W50" s="42">
        <f>INDEX($E$227:$X$229,$B$231,W2-2)</f>
        <v>381854</v>
      </c>
      <c r="X50" s="42">
        <f>INDEX($E$227:$X$229,$B$231,X2-2)</f>
        <v>381854</v>
      </c>
    </row>
    <row r="51" spans="1:55" ht="11.25">
      <c r="A51" s="14" t="s">
        <v>79</v>
      </c>
      <c r="B51" s="43"/>
      <c r="C51" s="43"/>
      <c r="D51" s="43"/>
      <c r="E51" s="42">
        <v>38606</v>
      </c>
      <c r="F51" s="42">
        <v>42116</v>
      </c>
      <c r="G51" s="42">
        <v>46328</v>
      </c>
      <c r="H51" s="42">
        <v>51241</v>
      </c>
      <c r="I51" s="42">
        <v>55804</v>
      </c>
      <c r="J51" s="42">
        <v>61771</v>
      </c>
      <c r="K51" s="42">
        <v>67385</v>
      </c>
      <c r="L51" s="42">
        <v>74406</v>
      </c>
      <c r="M51" s="42">
        <v>81776</v>
      </c>
      <c r="N51" s="42">
        <v>89497</v>
      </c>
      <c r="O51" s="42">
        <v>98622</v>
      </c>
      <c r="P51" s="42">
        <v>98622</v>
      </c>
      <c r="Q51" s="42">
        <v>98622</v>
      </c>
      <c r="R51" s="42">
        <v>98622</v>
      </c>
      <c r="S51" s="42">
        <v>98622</v>
      </c>
      <c r="T51" s="42">
        <v>98622</v>
      </c>
      <c r="U51" s="42">
        <v>98622</v>
      </c>
      <c r="V51" s="42">
        <v>98622</v>
      </c>
      <c r="W51" s="42">
        <v>98622</v>
      </c>
      <c r="X51" s="42">
        <v>98622</v>
      </c>
      <c r="Y51" s="64"/>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row>
    <row r="52" spans="1:24" ht="11.25">
      <c r="A52" s="42"/>
      <c r="B52" s="43"/>
      <c r="C52" s="43"/>
      <c r="D52" s="43"/>
      <c r="E52" s="45"/>
      <c r="F52" s="45"/>
      <c r="G52" s="45"/>
      <c r="H52" s="45"/>
      <c r="I52" s="45"/>
      <c r="J52" s="45"/>
      <c r="K52" s="45"/>
      <c r="L52" s="45"/>
      <c r="M52" s="45"/>
      <c r="N52" s="45"/>
      <c r="O52" s="45"/>
      <c r="P52" s="45"/>
      <c r="Q52" s="45"/>
      <c r="R52" s="45"/>
      <c r="S52" s="45"/>
      <c r="T52" s="45"/>
      <c r="U52" s="45"/>
      <c r="V52" s="45"/>
      <c r="W52" s="45"/>
      <c r="X52" s="45"/>
    </row>
    <row r="53" spans="1:5" ht="11.25">
      <c r="A53" s="54" t="s">
        <v>187</v>
      </c>
      <c r="B53" s="3"/>
      <c r="E53" s="10"/>
    </row>
    <row r="54" spans="1:24" ht="12" thickBot="1">
      <c r="A54" s="30"/>
      <c r="B54" s="21"/>
      <c r="C54" s="31"/>
      <c r="D54" s="4"/>
      <c r="E54" s="4"/>
      <c r="F54" s="4"/>
      <c r="G54" s="4"/>
      <c r="H54" s="4"/>
      <c r="I54" s="4"/>
      <c r="J54" s="4"/>
      <c r="K54" s="4"/>
      <c r="L54" s="4"/>
      <c r="M54" s="4"/>
      <c r="N54" s="4"/>
      <c r="O54" s="4"/>
      <c r="P54" s="4"/>
      <c r="Q54" s="4"/>
      <c r="R54" s="4"/>
      <c r="S54" s="4"/>
      <c r="T54" s="4"/>
      <c r="U54" s="4"/>
      <c r="V54" s="4"/>
      <c r="W54" s="4"/>
      <c r="X54" s="4"/>
    </row>
    <row r="55" spans="1:2" ht="12" thickTop="1">
      <c r="A55" s="27"/>
      <c r="B55" s="9"/>
    </row>
    <row r="56" spans="1:24" ht="11.25">
      <c r="A56" s="2" t="s">
        <v>87</v>
      </c>
      <c r="B56" s="9"/>
      <c r="C56" s="9">
        <f aca="true" t="shared" si="4" ref="C56:X56">C1</f>
        <v>2013</v>
      </c>
      <c r="D56" s="9">
        <f t="shared" si="4"/>
        <v>2014</v>
      </c>
      <c r="E56" s="9">
        <f t="shared" si="4"/>
        <v>2015</v>
      </c>
      <c r="F56" s="9">
        <f t="shared" si="4"/>
        <v>2016</v>
      </c>
      <c r="G56" s="9">
        <f t="shared" si="4"/>
        <v>2017</v>
      </c>
      <c r="H56" s="9">
        <f t="shared" si="4"/>
        <v>2018</v>
      </c>
      <c r="I56" s="9">
        <f t="shared" si="4"/>
        <v>2019</v>
      </c>
      <c r="J56" s="9">
        <f t="shared" si="4"/>
        <v>2020</v>
      </c>
      <c r="K56" s="9">
        <f t="shared" si="4"/>
        <v>2021</v>
      </c>
      <c r="L56" s="9">
        <f t="shared" si="4"/>
        <v>2022</v>
      </c>
      <c r="M56" s="9">
        <f t="shared" si="4"/>
        <v>2023</v>
      </c>
      <c r="N56" s="9">
        <f t="shared" si="4"/>
        <v>2024</v>
      </c>
      <c r="O56" s="9">
        <f t="shared" si="4"/>
        <v>2025</v>
      </c>
      <c r="P56" s="9">
        <f t="shared" si="4"/>
        <v>2026</v>
      </c>
      <c r="Q56" s="9">
        <f t="shared" si="4"/>
        <v>2027</v>
      </c>
      <c r="R56" s="9">
        <f t="shared" si="4"/>
        <v>2028</v>
      </c>
      <c r="S56" s="9">
        <f t="shared" si="4"/>
        <v>2029</v>
      </c>
      <c r="T56" s="9">
        <f t="shared" si="4"/>
        <v>2030</v>
      </c>
      <c r="U56" s="9">
        <f t="shared" si="4"/>
        <v>2031</v>
      </c>
      <c r="V56" s="9">
        <f t="shared" si="4"/>
        <v>2032</v>
      </c>
      <c r="W56" s="9">
        <f t="shared" si="4"/>
        <v>2033</v>
      </c>
      <c r="X56" s="9">
        <f t="shared" si="4"/>
        <v>2034</v>
      </c>
    </row>
    <row r="57" spans="1:24" ht="12" thickBot="1">
      <c r="A57" s="4" t="s">
        <v>2</v>
      </c>
      <c r="B57" s="4"/>
      <c r="C57" s="4">
        <v>0</v>
      </c>
      <c r="D57" s="4">
        <v>1</v>
      </c>
      <c r="E57" s="4">
        <v>2</v>
      </c>
      <c r="F57" s="4">
        <v>3</v>
      </c>
      <c r="G57" s="4">
        <v>4</v>
      </c>
      <c r="H57" s="4">
        <v>5</v>
      </c>
      <c r="I57" s="4">
        <v>6</v>
      </c>
      <c r="J57" s="4">
        <v>7</v>
      </c>
      <c r="K57" s="4">
        <v>8</v>
      </c>
      <c r="L57" s="4">
        <v>9</v>
      </c>
      <c r="M57" s="4">
        <v>10</v>
      </c>
      <c r="N57" s="4">
        <v>11</v>
      </c>
      <c r="O57" s="4">
        <v>12</v>
      </c>
      <c r="P57" s="4">
        <v>13</v>
      </c>
      <c r="Q57" s="4">
        <v>14</v>
      </c>
      <c r="R57" s="4">
        <v>15</v>
      </c>
      <c r="S57" s="4">
        <v>16</v>
      </c>
      <c r="T57" s="4">
        <v>17</v>
      </c>
      <c r="U57" s="4">
        <v>18</v>
      </c>
      <c r="V57" s="4">
        <v>19</v>
      </c>
      <c r="W57" s="4">
        <v>20</v>
      </c>
      <c r="X57" s="4">
        <v>21</v>
      </c>
    </row>
    <row r="58" spans="1:24" ht="12" thickTop="1">
      <c r="A58" s="1" t="s">
        <v>40</v>
      </c>
      <c r="B58" s="1">
        <v>1</v>
      </c>
      <c r="C58" s="10">
        <f>B58*(1+C5)</f>
        <v>1.07</v>
      </c>
      <c r="D58" s="10">
        <f>C58*(1+D5)</f>
        <v>1.1449</v>
      </c>
      <c r="E58" s="10">
        <f>D58*(1+E5)</f>
        <v>1.225043</v>
      </c>
      <c r="F58" s="10">
        <f>E58*(1+F5)</f>
        <v>1.3107960100000002</v>
      </c>
      <c r="G58" s="10">
        <f>F58*(1+G5)</f>
        <v>1.4025517307000004</v>
      </c>
      <c r="H58" s="10">
        <f>G58*(1+H5)</f>
        <v>1.5007303518490005</v>
      </c>
      <c r="I58" s="10">
        <f>H58*(1+I5)</f>
        <v>1.6057814764784306</v>
      </c>
      <c r="J58" s="10">
        <f>I58*(1+J5)</f>
        <v>1.718186179831921</v>
      </c>
      <c r="K58" s="10">
        <f>J58*(1+K5)</f>
        <v>1.8384592124201555</v>
      </c>
      <c r="L58" s="10">
        <f>K58*(1+L5)</f>
        <v>1.9671513572895665</v>
      </c>
      <c r="M58" s="10">
        <f>L58*(1+M5)</f>
        <v>2.1048519522998363</v>
      </c>
      <c r="N58" s="10">
        <f>M58*(1+N5)</f>
        <v>2.252191588960825</v>
      </c>
      <c r="O58" s="10">
        <f>N58*(1+O5)</f>
        <v>2.4098450001880827</v>
      </c>
      <c r="P58" s="10">
        <f>O58*(1+P5)</f>
        <v>2.5785341502012487</v>
      </c>
      <c r="Q58" s="10">
        <f>P58*(1+Q5)</f>
        <v>2.7590315407153363</v>
      </c>
      <c r="R58" s="10">
        <f>Q58*(1+R5)</f>
        <v>2.95216374856541</v>
      </c>
      <c r="S58" s="10">
        <f>R58*(1+S5)</f>
        <v>3.158815210964989</v>
      </c>
      <c r="T58" s="10">
        <f>S58*(1+T5)</f>
        <v>3.3799322757325387</v>
      </c>
      <c r="U58" s="10">
        <f>T58*(1+U5)</f>
        <v>3.616527535033817</v>
      </c>
      <c r="V58" s="10">
        <f>U58*(1+V5)</f>
        <v>3.8696844624861844</v>
      </c>
      <c r="W58" s="10">
        <f>V58*(1+W5)</f>
        <v>4.140562374860218</v>
      </c>
      <c r="X58" s="10">
        <f>W58*(1+X5)</f>
        <v>4.430401741100433</v>
      </c>
    </row>
    <row r="59" spans="1:24" ht="11.25">
      <c r="A59" s="1" t="s">
        <v>41</v>
      </c>
      <c r="B59" s="1">
        <v>1</v>
      </c>
      <c r="C59" s="10">
        <f>B59*(1+C6)</f>
        <v>1.03</v>
      </c>
      <c r="D59" s="10">
        <f>C59*(1+D6)</f>
        <v>1.0609</v>
      </c>
      <c r="E59" s="10">
        <f>D59*(1+E6)</f>
        <v>1.092727</v>
      </c>
      <c r="F59" s="10">
        <f>E59*(1+F6)</f>
        <v>1.1255088100000001</v>
      </c>
      <c r="G59" s="10">
        <f>F59*(1+G6)</f>
        <v>1.1592740743</v>
      </c>
      <c r="H59" s="10">
        <f>G59*(1+H6)</f>
        <v>1.1940522965290001</v>
      </c>
      <c r="I59" s="10">
        <f>H59*(1+I6)</f>
        <v>1.2298738654248702</v>
      </c>
      <c r="J59" s="10">
        <f>I59*(1+J6)</f>
        <v>1.2667700813876164</v>
      </c>
      <c r="K59" s="10">
        <f>J59*(1+K6)</f>
        <v>1.304773183829245</v>
      </c>
      <c r="L59" s="10">
        <f>K59*(1+L6)</f>
        <v>1.3439163793441222</v>
      </c>
      <c r="M59" s="10">
        <f>L59*(1+M6)</f>
        <v>1.384233870724446</v>
      </c>
      <c r="N59" s="10">
        <f>M59*(1+N6)</f>
        <v>1.4257608868461793</v>
      </c>
      <c r="O59" s="10">
        <f>N59*(1+O6)</f>
        <v>1.4685337134515648</v>
      </c>
      <c r="P59" s="10">
        <f>O59*(1+P6)</f>
        <v>1.512589724855112</v>
      </c>
      <c r="Q59" s="10">
        <f>P59*(1+Q6)</f>
        <v>1.5579674166007653</v>
      </c>
      <c r="R59" s="10">
        <f>Q59*(1+R6)</f>
        <v>1.6047064390987884</v>
      </c>
      <c r="S59" s="10">
        <f>R59*(1+S6)</f>
        <v>1.652847632271752</v>
      </c>
      <c r="T59" s="10">
        <f>S59*(1+T6)</f>
        <v>1.7024330612399046</v>
      </c>
      <c r="U59" s="10">
        <f>T59*(1+U6)</f>
        <v>1.7535060530771018</v>
      </c>
      <c r="V59" s="10">
        <f>U59*(1+V6)</f>
        <v>1.806111234669415</v>
      </c>
      <c r="W59" s="10">
        <f>V59*(1+W6)</f>
        <v>1.8602945717094976</v>
      </c>
      <c r="X59" s="10">
        <f>W59*(1+X6)</f>
        <v>1.9161034088607827</v>
      </c>
    </row>
    <row r="60" spans="1:24" ht="11.25">
      <c r="A60" s="1" t="s">
        <v>42</v>
      </c>
      <c r="B60" s="1">
        <f>B7</f>
        <v>21000</v>
      </c>
      <c r="C60" s="1">
        <f>$B$60*C58/C59</f>
        <v>21815.533980582524</v>
      </c>
      <c r="D60" s="1">
        <f aca="true" t="shared" si="5" ref="D60:X60">$B$60*D58/D59</f>
        <v>22662.739183711947</v>
      </c>
      <c r="E60" s="1">
        <f t="shared" si="5"/>
        <v>23542.845559778427</v>
      </c>
      <c r="F60" s="1">
        <f t="shared" si="5"/>
        <v>24457.130824235843</v>
      </c>
      <c r="G60" s="1">
        <f t="shared" si="5"/>
        <v>25406.922312555685</v>
      </c>
      <c r="H60" s="1">
        <f t="shared" si="5"/>
        <v>26393.598907218042</v>
      </c>
      <c r="I60" s="1">
        <f t="shared" si="5"/>
        <v>27418.593039537187</v>
      </c>
      <c r="J60" s="1">
        <f t="shared" si="5"/>
        <v>28483.392769227954</v>
      </c>
      <c r="K60" s="1">
        <f t="shared" si="5"/>
        <v>29589.543944731955</v>
      </c>
      <c r="L60" s="1">
        <f t="shared" si="5"/>
        <v>30738.652447439992</v>
      </c>
      <c r="M60" s="1">
        <f t="shared" si="5"/>
        <v>31932.386523068733</v>
      </c>
      <c r="N60" s="1">
        <f t="shared" si="5"/>
        <v>33172.47920357626</v>
      </c>
      <c r="O60" s="1">
        <f t="shared" si="5"/>
        <v>34460.73082313261</v>
      </c>
      <c r="P60" s="1">
        <f t="shared" si="5"/>
        <v>35799.011631797955</v>
      </c>
      <c r="Q60" s="1">
        <f t="shared" si="5"/>
        <v>37189.264510702735</v>
      </c>
      <c r="R60" s="1">
        <f t="shared" si="5"/>
        <v>38633.50779267177</v>
      </c>
      <c r="S60" s="1">
        <f t="shared" si="5"/>
        <v>40133.83819238719</v>
      </c>
      <c r="T60" s="1">
        <f t="shared" si="5"/>
        <v>41692.43385034397</v>
      </c>
      <c r="U60" s="1">
        <f t="shared" si="5"/>
        <v>43311.55749501753</v>
      </c>
      <c r="V60" s="1">
        <f t="shared" si="5"/>
        <v>44993.559727833745</v>
      </c>
      <c r="W60" s="1">
        <f t="shared" si="5"/>
        <v>46740.88243571078</v>
      </c>
      <c r="X60" s="1">
        <f t="shared" si="5"/>
        <v>48556.06233612674</v>
      </c>
    </row>
    <row r="62" ht="11.25">
      <c r="A62" s="2" t="s">
        <v>89</v>
      </c>
    </row>
    <row r="63" spans="1:4" ht="11.25">
      <c r="A63" s="1" t="s">
        <v>55</v>
      </c>
      <c r="C63" s="1">
        <f>C10*C$58</f>
        <v>282611.61000000004</v>
      </c>
      <c r="D63" s="1">
        <f>D10*D$58</f>
        <v>252939.3223</v>
      </c>
    </row>
    <row r="64" spans="1:4" ht="11.25">
      <c r="A64" s="1" t="s">
        <v>51</v>
      </c>
      <c r="C64" s="1">
        <f>C11*C$58</f>
        <v>462875.58</v>
      </c>
      <c r="D64" s="1">
        <f>D11*D$58</f>
        <v>942135.9202</v>
      </c>
    </row>
    <row r="65" spans="1:4" ht="11.25">
      <c r="A65" s="1" t="s">
        <v>49</v>
      </c>
      <c r="C65" s="1">
        <f>C12*C$59</f>
        <v>19847.07</v>
      </c>
      <c r="D65" s="1">
        <f>D12*D$59</f>
        <v>48311.2642</v>
      </c>
    </row>
    <row r="66" spans="1:4" ht="11.25">
      <c r="A66" s="1" t="s">
        <v>54</v>
      </c>
      <c r="C66" s="1">
        <f>C13*C$59</f>
        <v>8300.77</v>
      </c>
      <c r="D66" s="1">
        <f>D13*D$59</f>
        <v>14519.4774</v>
      </c>
    </row>
    <row r="67" spans="1:4" ht="11.25">
      <c r="A67" s="8" t="s">
        <v>70</v>
      </c>
      <c r="C67" s="1">
        <f>C14*C$59</f>
        <v>1343.1200000000001</v>
      </c>
      <c r="D67" s="1">
        <f>D14*D$59</f>
        <v>1904.3155</v>
      </c>
    </row>
    <row r="69" ht="11.25">
      <c r="A69" s="2" t="s">
        <v>56</v>
      </c>
    </row>
    <row r="70" spans="1:4" ht="11.25">
      <c r="A70" s="15" t="s">
        <v>52</v>
      </c>
      <c r="C70" s="1">
        <f>C63</f>
        <v>282611.61000000004</v>
      </c>
      <c r="D70" s="1">
        <f>D63</f>
        <v>252939.3223</v>
      </c>
    </row>
    <row r="71" spans="1:4" ht="11.25">
      <c r="A71" s="15" t="s">
        <v>50</v>
      </c>
      <c r="C71" s="1">
        <f>C64</f>
        <v>462875.58</v>
      </c>
      <c r="D71" s="1">
        <f>D64</f>
        <v>942135.9202</v>
      </c>
    </row>
    <row r="72" spans="1:4" ht="11.25">
      <c r="A72" s="15" t="s">
        <v>48</v>
      </c>
      <c r="C72" s="1">
        <f aca="true" t="shared" si="6" ref="C72:D74">C65/1000*C$60</f>
        <v>432974.43</v>
      </c>
      <c r="D72" s="1">
        <f t="shared" si="6"/>
        <v>1094865.5802000002</v>
      </c>
    </row>
    <row r="73" spans="1:4" ht="11.25">
      <c r="A73" s="15" t="s">
        <v>54</v>
      </c>
      <c r="C73" s="1">
        <f t="shared" si="6"/>
        <v>181085.73</v>
      </c>
      <c r="D73" s="1">
        <f t="shared" si="6"/>
        <v>329051.12940000003</v>
      </c>
    </row>
    <row r="74" spans="1:4" ht="11.25">
      <c r="A74" s="15" t="s">
        <v>29</v>
      </c>
      <c r="C74" s="1">
        <f t="shared" si="6"/>
        <v>29300.88</v>
      </c>
      <c r="D74" s="1">
        <f t="shared" si="6"/>
        <v>43157.00550000001</v>
      </c>
    </row>
    <row r="75" spans="1:4" ht="11.25">
      <c r="A75" s="1" t="s">
        <v>31</v>
      </c>
      <c r="C75" s="1">
        <f>SUM(C70:C74)</f>
        <v>1388848.23</v>
      </c>
      <c r="D75" s="1">
        <f>SUM(D70:D74)</f>
        <v>2662148.9576000003</v>
      </c>
    </row>
    <row r="76" ht="11.25">
      <c r="A76" s="15"/>
    </row>
    <row r="77" spans="1:24" ht="11.25">
      <c r="A77" s="6" t="s">
        <v>4</v>
      </c>
      <c r="B77" s="6"/>
      <c r="C77" s="7"/>
      <c r="D77" s="7"/>
      <c r="E77" s="7"/>
      <c r="F77" s="7"/>
      <c r="G77" s="7"/>
      <c r="H77" s="7"/>
      <c r="I77" s="7"/>
      <c r="J77" s="7"/>
      <c r="K77" s="7"/>
      <c r="L77" s="7"/>
      <c r="M77" s="7"/>
      <c r="N77" s="7"/>
      <c r="O77" s="7"/>
      <c r="P77" s="7"/>
      <c r="Q77" s="7"/>
      <c r="R77" s="7"/>
      <c r="S77" s="7"/>
      <c r="T77" s="7"/>
      <c r="U77" s="7"/>
      <c r="V77" s="7"/>
      <c r="W77" s="7"/>
      <c r="X77" s="7"/>
    </row>
    <row r="78" spans="3:24" ht="11.25">
      <c r="C78" s="9">
        <f aca="true" t="shared" si="7" ref="C78:X78">C1</f>
        <v>2013</v>
      </c>
      <c r="D78" s="9">
        <f t="shared" si="7"/>
        <v>2014</v>
      </c>
      <c r="E78" s="9">
        <f t="shared" si="7"/>
        <v>2015</v>
      </c>
      <c r="F78" s="9">
        <f t="shared" si="7"/>
        <v>2016</v>
      </c>
      <c r="G78" s="9">
        <f t="shared" si="7"/>
        <v>2017</v>
      </c>
      <c r="H78" s="9">
        <f t="shared" si="7"/>
        <v>2018</v>
      </c>
      <c r="I78" s="9">
        <f t="shared" si="7"/>
        <v>2019</v>
      </c>
      <c r="J78" s="9">
        <f t="shared" si="7"/>
        <v>2020</v>
      </c>
      <c r="K78" s="9">
        <f t="shared" si="7"/>
        <v>2021</v>
      </c>
      <c r="L78" s="9">
        <f t="shared" si="7"/>
        <v>2022</v>
      </c>
      <c r="M78" s="9">
        <f t="shared" si="7"/>
        <v>2023</v>
      </c>
      <c r="N78" s="9">
        <f t="shared" si="7"/>
        <v>2024</v>
      </c>
      <c r="O78" s="9">
        <f t="shared" si="7"/>
        <v>2025</v>
      </c>
      <c r="P78" s="9">
        <f t="shared" si="7"/>
        <v>2026</v>
      </c>
      <c r="Q78" s="9">
        <f t="shared" si="7"/>
        <v>2027</v>
      </c>
      <c r="R78" s="9">
        <f t="shared" si="7"/>
        <v>2028</v>
      </c>
      <c r="S78" s="9">
        <f t="shared" si="7"/>
        <v>2029</v>
      </c>
      <c r="T78" s="9">
        <f t="shared" si="7"/>
        <v>2030</v>
      </c>
      <c r="U78" s="9">
        <f t="shared" si="7"/>
        <v>2031</v>
      </c>
      <c r="V78" s="9">
        <f t="shared" si="7"/>
        <v>2032</v>
      </c>
      <c r="W78" s="9">
        <f t="shared" si="7"/>
        <v>2033</v>
      </c>
      <c r="X78" s="9">
        <f t="shared" si="7"/>
        <v>2034</v>
      </c>
    </row>
    <row r="79" spans="1:24" ht="12" thickBot="1">
      <c r="A79" s="4" t="s">
        <v>2</v>
      </c>
      <c r="B79" s="4"/>
      <c r="C79" s="4">
        <v>0</v>
      </c>
      <c r="D79" s="4">
        <v>1</v>
      </c>
      <c r="E79" s="4">
        <v>2</v>
      </c>
      <c r="F79" s="4">
        <v>3</v>
      </c>
      <c r="G79" s="4">
        <v>4</v>
      </c>
      <c r="H79" s="4">
        <v>5</v>
      </c>
      <c r="I79" s="4">
        <v>6</v>
      </c>
      <c r="J79" s="4">
        <v>7</v>
      </c>
      <c r="K79" s="4">
        <v>8</v>
      </c>
      <c r="L79" s="4">
        <v>9</v>
      </c>
      <c r="M79" s="4">
        <v>10</v>
      </c>
      <c r="N79" s="4">
        <v>11</v>
      </c>
      <c r="O79" s="4">
        <v>12</v>
      </c>
      <c r="P79" s="4">
        <v>13</v>
      </c>
      <c r="Q79" s="4">
        <v>14</v>
      </c>
      <c r="R79" s="4">
        <v>15</v>
      </c>
      <c r="S79" s="4">
        <v>16</v>
      </c>
      <c r="T79" s="4">
        <v>17</v>
      </c>
      <c r="U79" s="4">
        <v>18</v>
      </c>
      <c r="V79" s="4">
        <v>19</v>
      </c>
      <c r="W79" s="4">
        <v>20</v>
      </c>
      <c r="X79" s="4">
        <v>21</v>
      </c>
    </row>
    <row r="80" spans="1:2" ht="12" thickTop="1">
      <c r="A80" s="1" t="s">
        <v>145</v>
      </c>
      <c r="B80" s="1">
        <f>C75+D75</f>
        <v>4050997.1876000003</v>
      </c>
    </row>
    <row r="81" spans="1:24" ht="11.25">
      <c r="A81" s="1" t="s">
        <v>146</v>
      </c>
      <c r="E81" s="1">
        <f aca="true" t="shared" si="8" ref="E81:X81">$B$80/$B$16</f>
        <v>202549.85938</v>
      </c>
      <c r="F81" s="1">
        <f t="shared" si="8"/>
        <v>202549.85938</v>
      </c>
      <c r="G81" s="1">
        <f t="shared" si="8"/>
        <v>202549.85938</v>
      </c>
      <c r="H81" s="1">
        <f t="shared" si="8"/>
        <v>202549.85938</v>
      </c>
      <c r="I81" s="1">
        <f t="shared" si="8"/>
        <v>202549.85938</v>
      </c>
      <c r="J81" s="1">
        <f t="shared" si="8"/>
        <v>202549.85938</v>
      </c>
      <c r="K81" s="1">
        <f t="shared" si="8"/>
        <v>202549.85938</v>
      </c>
      <c r="L81" s="1">
        <f t="shared" si="8"/>
        <v>202549.85938</v>
      </c>
      <c r="M81" s="1">
        <f t="shared" si="8"/>
        <v>202549.85938</v>
      </c>
      <c r="N81" s="1">
        <f t="shared" si="8"/>
        <v>202549.85938</v>
      </c>
      <c r="O81" s="1">
        <f t="shared" si="8"/>
        <v>202549.85938</v>
      </c>
      <c r="P81" s="1">
        <f t="shared" si="8"/>
        <v>202549.85938</v>
      </c>
      <c r="Q81" s="1">
        <f t="shared" si="8"/>
        <v>202549.85938</v>
      </c>
      <c r="R81" s="1">
        <f t="shared" si="8"/>
        <v>202549.85938</v>
      </c>
      <c r="S81" s="1">
        <f t="shared" si="8"/>
        <v>202549.85938</v>
      </c>
      <c r="T81" s="1">
        <f t="shared" si="8"/>
        <v>202549.85938</v>
      </c>
      <c r="U81" s="1">
        <f t="shared" si="8"/>
        <v>202549.85938</v>
      </c>
      <c r="V81" s="1">
        <f t="shared" si="8"/>
        <v>202549.85938</v>
      </c>
      <c r="W81" s="1">
        <f t="shared" si="8"/>
        <v>202549.85938</v>
      </c>
      <c r="X81" s="1">
        <f t="shared" si="8"/>
        <v>202549.85938</v>
      </c>
    </row>
    <row r="83" ht="11.25">
      <c r="A83" s="2" t="s">
        <v>68</v>
      </c>
    </row>
    <row r="84" spans="1:4" ht="11.25">
      <c r="A84" s="1" t="s">
        <v>20</v>
      </c>
      <c r="C84" s="1">
        <f>C75-C85</f>
        <v>1388848.23</v>
      </c>
      <c r="D84" s="1">
        <f>D75-D85</f>
        <v>362148.9576000003</v>
      </c>
    </row>
    <row r="85" spans="1:4" ht="11.25">
      <c r="A85" s="1" t="s">
        <v>30</v>
      </c>
      <c r="C85" s="1">
        <v>0</v>
      </c>
      <c r="D85" s="1">
        <v>2300000</v>
      </c>
    </row>
    <row r="87" ht="11.25">
      <c r="A87" s="2" t="s">
        <v>150</v>
      </c>
    </row>
    <row r="88" spans="1:3" ht="11.25">
      <c r="A88" s="1" t="s">
        <v>20</v>
      </c>
      <c r="B88" s="1">
        <f>SUM(C84:D84)</f>
        <v>1750997.1876000003</v>
      </c>
      <c r="C88" s="11">
        <f>B88/SUM($B$88:$B$89)</f>
        <v>0.43223855917741894</v>
      </c>
    </row>
    <row r="89" spans="1:3" ht="11.25">
      <c r="A89" s="1" t="s">
        <v>19</v>
      </c>
      <c r="B89" s="1">
        <f>SUM(C85:D85)</f>
        <v>2300000</v>
      </c>
      <c r="C89" s="11">
        <f>B89/SUM($B$88:$B$89)</f>
        <v>0.5677614408225811</v>
      </c>
    </row>
    <row r="91" spans="1:3" ht="11.25">
      <c r="A91" s="1" t="s">
        <v>151</v>
      </c>
      <c r="C91" s="13">
        <v>0.2091</v>
      </c>
    </row>
    <row r="92" spans="1:3" ht="11.25">
      <c r="A92" s="1" t="s">
        <v>152</v>
      </c>
      <c r="C92" s="13">
        <f>B20</f>
        <v>0.11499999999999999</v>
      </c>
    </row>
    <row r="93" spans="1:3" ht="11.25">
      <c r="A93" s="1" t="s">
        <v>153</v>
      </c>
      <c r="C93" s="13">
        <f>C91*C88+C92*C89</f>
        <v>0.15567364841859513</v>
      </c>
    </row>
    <row r="95" spans="1:24" ht="11.25">
      <c r="A95" s="6" t="s">
        <v>5</v>
      </c>
      <c r="B95" s="6"/>
      <c r="C95" s="7"/>
      <c r="D95" s="7"/>
      <c r="E95" s="7"/>
      <c r="F95" s="7"/>
      <c r="G95" s="7"/>
      <c r="H95" s="7"/>
      <c r="I95" s="7"/>
      <c r="J95" s="7"/>
      <c r="K95" s="7"/>
      <c r="L95" s="7"/>
      <c r="M95" s="7"/>
      <c r="N95" s="7"/>
      <c r="O95" s="7"/>
      <c r="P95" s="7"/>
      <c r="Q95" s="7"/>
      <c r="R95" s="7"/>
      <c r="S95" s="7"/>
      <c r="T95" s="7"/>
      <c r="U95" s="7"/>
      <c r="V95" s="7"/>
      <c r="W95" s="7"/>
      <c r="X95" s="7"/>
    </row>
    <row r="96" spans="2:24" ht="11.25">
      <c r="B96" s="9"/>
      <c r="C96" s="9">
        <f aca="true" t="shared" si="9" ref="C96:X96">C1</f>
        <v>2013</v>
      </c>
      <c r="D96" s="9">
        <f t="shared" si="9"/>
        <v>2014</v>
      </c>
      <c r="E96" s="9">
        <f t="shared" si="9"/>
        <v>2015</v>
      </c>
      <c r="F96" s="9">
        <f t="shared" si="9"/>
        <v>2016</v>
      </c>
      <c r="G96" s="9">
        <f t="shared" si="9"/>
        <v>2017</v>
      </c>
      <c r="H96" s="9">
        <f t="shared" si="9"/>
        <v>2018</v>
      </c>
      <c r="I96" s="9">
        <f t="shared" si="9"/>
        <v>2019</v>
      </c>
      <c r="J96" s="9">
        <f t="shared" si="9"/>
        <v>2020</v>
      </c>
      <c r="K96" s="9">
        <f t="shared" si="9"/>
        <v>2021</v>
      </c>
      <c r="L96" s="9">
        <f t="shared" si="9"/>
        <v>2022</v>
      </c>
      <c r="M96" s="9">
        <f t="shared" si="9"/>
        <v>2023</v>
      </c>
      <c r="N96" s="9">
        <f t="shared" si="9"/>
        <v>2024</v>
      </c>
      <c r="O96" s="9">
        <f t="shared" si="9"/>
        <v>2025</v>
      </c>
      <c r="P96" s="9">
        <f t="shared" si="9"/>
        <v>2026</v>
      </c>
      <c r="Q96" s="9">
        <f t="shared" si="9"/>
        <v>2027</v>
      </c>
      <c r="R96" s="9">
        <f t="shared" si="9"/>
        <v>2028</v>
      </c>
      <c r="S96" s="9">
        <f t="shared" si="9"/>
        <v>2029</v>
      </c>
      <c r="T96" s="9">
        <f t="shared" si="9"/>
        <v>2030</v>
      </c>
      <c r="U96" s="9">
        <f t="shared" si="9"/>
        <v>2031</v>
      </c>
      <c r="V96" s="9">
        <f t="shared" si="9"/>
        <v>2032</v>
      </c>
      <c r="W96" s="9">
        <f t="shared" si="9"/>
        <v>2033</v>
      </c>
      <c r="X96" s="9">
        <f t="shared" si="9"/>
        <v>2034</v>
      </c>
    </row>
    <row r="97" spans="1:24" ht="12" thickBot="1">
      <c r="A97" s="4" t="s">
        <v>2</v>
      </c>
      <c r="B97" s="4"/>
      <c r="C97" s="4">
        <v>0</v>
      </c>
      <c r="D97" s="4">
        <v>1</v>
      </c>
      <c r="E97" s="4">
        <v>2</v>
      </c>
      <c r="F97" s="4">
        <v>3</v>
      </c>
      <c r="G97" s="4">
        <v>4</v>
      </c>
      <c r="H97" s="4">
        <v>5</v>
      </c>
      <c r="I97" s="4">
        <v>6</v>
      </c>
      <c r="J97" s="4">
        <v>7</v>
      </c>
      <c r="K97" s="4">
        <v>8</v>
      </c>
      <c r="L97" s="4">
        <v>9</v>
      </c>
      <c r="M97" s="4">
        <v>10</v>
      </c>
      <c r="N97" s="4">
        <v>11</v>
      </c>
      <c r="O97" s="4">
        <v>12</v>
      </c>
      <c r="P97" s="4">
        <v>13</v>
      </c>
      <c r="Q97" s="4">
        <v>14</v>
      </c>
      <c r="R97" s="4">
        <v>15</v>
      </c>
      <c r="S97" s="4">
        <v>16</v>
      </c>
      <c r="T97" s="4">
        <v>17</v>
      </c>
      <c r="U97" s="4">
        <v>18</v>
      </c>
      <c r="V97" s="4">
        <v>19</v>
      </c>
      <c r="W97" s="4">
        <v>20</v>
      </c>
      <c r="X97" s="4">
        <v>21</v>
      </c>
    </row>
    <row r="98" ht="12" thickTop="1"/>
    <row r="99" spans="1:2" ht="11.25">
      <c r="A99" s="18" t="s">
        <v>61</v>
      </c>
      <c r="B99" s="18"/>
    </row>
    <row r="100" spans="1:24" ht="11.25">
      <c r="A100" s="14" t="s">
        <v>45</v>
      </c>
      <c r="D100" s="1">
        <f>C104</f>
        <v>0</v>
      </c>
      <c r="E100" s="1">
        <f aca="true" t="shared" si="10" ref="E100:X100">D104</f>
        <v>2300000</v>
      </c>
      <c r="F100" s="1">
        <f t="shared" si="10"/>
        <v>2155685.5917702233</v>
      </c>
      <c r="G100" s="1">
        <f t="shared" si="10"/>
        <v>1996939.742717469</v>
      </c>
      <c r="H100" s="1">
        <f t="shared" si="10"/>
        <v>1822319.3087594395</v>
      </c>
      <c r="I100" s="1">
        <f t="shared" si="10"/>
        <v>1630236.8314056068</v>
      </c>
      <c r="J100" s="1">
        <f t="shared" si="10"/>
        <v>1418946.106316391</v>
      </c>
      <c r="K100" s="1">
        <f t="shared" si="10"/>
        <v>1186526.3087182534</v>
      </c>
      <c r="L100" s="1">
        <f t="shared" si="10"/>
        <v>930864.5313603021</v>
      </c>
      <c r="M100" s="1">
        <f t="shared" si="10"/>
        <v>649636.5762665557</v>
      </c>
      <c r="N100" s="1">
        <f t="shared" si="10"/>
        <v>340285.82566343463</v>
      </c>
      <c r="O100" s="1">
        <f t="shared" si="10"/>
        <v>1.4551915228366852E-09</v>
      </c>
      <c r="P100" s="1">
        <f t="shared" si="10"/>
        <v>1.4551915228366852E-09</v>
      </c>
      <c r="Q100" s="1">
        <f t="shared" si="10"/>
        <v>1.4551915228366852E-09</v>
      </c>
      <c r="R100" s="1">
        <f t="shared" si="10"/>
        <v>1.4551915228366852E-09</v>
      </c>
      <c r="S100" s="1">
        <f t="shared" si="10"/>
        <v>1.4551915228366852E-09</v>
      </c>
      <c r="T100" s="1">
        <f t="shared" si="10"/>
        <v>1.4551915228366852E-09</v>
      </c>
      <c r="U100" s="1">
        <f t="shared" si="10"/>
        <v>1.4551915228366852E-09</v>
      </c>
      <c r="V100" s="1">
        <f t="shared" si="10"/>
        <v>1.4551915228366852E-09</v>
      </c>
      <c r="W100" s="1">
        <f t="shared" si="10"/>
        <v>1.4551915228366852E-09</v>
      </c>
      <c r="X100" s="1">
        <f t="shared" si="10"/>
        <v>1.4551915228366852E-09</v>
      </c>
    </row>
    <row r="101" spans="1:4" ht="11.25">
      <c r="A101" s="14" t="s">
        <v>6</v>
      </c>
      <c r="B101" s="14"/>
      <c r="D101" s="1">
        <f>D85</f>
        <v>2300000</v>
      </c>
    </row>
    <row r="102" spans="1:24" ht="11.25">
      <c r="A102" s="14" t="s">
        <v>7</v>
      </c>
      <c r="D102" s="1">
        <f aca="true" t="shared" si="11" ref="D102:X102">D100*$B$20</f>
        <v>0</v>
      </c>
      <c r="E102" s="1">
        <f t="shared" si="11"/>
        <v>264500</v>
      </c>
      <c r="F102" s="1">
        <f t="shared" si="11"/>
        <v>247903.84305357566</v>
      </c>
      <c r="G102" s="1">
        <f t="shared" si="11"/>
        <v>229648.07041250894</v>
      </c>
      <c r="H102" s="1">
        <f t="shared" si="11"/>
        <v>209566.72050733553</v>
      </c>
      <c r="I102" s="1">
        <f t="shared" si="11"/>
        <v>187477.23561164478</v>
      </c>
      <c r="J102" s="1">
        <f t="shared" si="11"/>
        <v>163178.80222638496</v>
      </c>
      <c r="K102" s="1">
        <f t="shared" si="11"/>
        <v>136450.52550259914</v>
      </c>
      <c r="L102" s="1">
        <f t="shared" si="11"/>
        <v>107049.42110643473</v>
      </c>
      <c r="M102" s="1">
        <f t="shared" si="11"/>
        <v>74708.2062706539</v>
      </c>
      <c r="N102" s="1">
        <f t="shared" si="11"/>
        <v>39132.86995129498</v>
      </c>
      <c r="O102" s="1">
        <f t="shared" si="11"/>
        <v>1.673470251262188E-10</v>
      </c>
      <c r="P102" s="1">
        <f t="shared" si="11"/>
        <v>1.673470251262188E-10</v>
      </c>
      <c r="Q102" s="1">
        <f t="shared" si="11"/>
        <v>1.673470251262188E-10</v>
      </c>
      <c r="R102" s="1">
        <f t="shared" si="11"/>
        <v>1.673470251262188E-10</v>
      </c>
      <c r="S102" s="1">
        <f t="shared" si="11"/>
        <v>1.673470251262188E-10</v>
      </c>
      <c r="T102" s="1">
        <f t="shared" si="11"/>
        <v>1.673470251262188E-10</v>
      </c>
      <c r="U102" s="1">
        <f t="shared" si="11"/>
        <v>1.673470251262188E-10</v>
      </c>
      <c r="V102" s="1">
        <f t="shared" si="11"/>
        <v>1.673470251262188E-10</v>
      </c>
      <c r="W102" s="1">
        <f t="shared" si="11"/>
        <v>1.673470251262188E-10</v>
      </c>
      <c r="X102" s="1">
        <f t="shared" si="11"/>
        <v>1.673470251262188E-10</v>
      </c>
    </row>
    <row r="103" spans="1:14" ht="11.25">
      <c r="A103" s="14" t="s">
        <v>8</v>
      </c>
      <c r="D103" s="1">
        <v>0</v>
      </c>
      <c r="E103" s="1">
        <f>IF($B$304=1,'Đề xuất 1'!E103,$D$104/$B$21)</f>
        <v>144314.40822977654</v>
      </c>
      <c r="F103" s="1">
        <f>IF($B$304=1,'Đề xuất 1'!F103,$D$104/$B$21)</f>
        <v>158745.8490527542</v>
      </c>
      <c r="G103" s="1">
        <f>IF($B$304=1,'Đề xuất 1'!G103,$D$104/$B$21)</f>
        <v>174620.43395802964</v>
      </c>
      <c r="H103" s="1">
        <f>IF($B$304=1,'Đề xuất 1'!H103,$D$104/$B$21)</f>
        <v>192082.47735383263</v>
      </c>
      <c r="I103" s="1">
        <f>IF($B$304=1,'Đề xuất 1'!I103,$D$104/$B$21)</f>
        <v>211290.7250892159</v>
      </c>
      <c r="J103" s="1">
        <f>IF($B$304=1,'Đề xuất 1'!J103,$D$104/$B$21)</f>
        <v>232419.7975981375</v>
      </c>
      <c r="K103" s="1">
        <f>IF($B$304=1,'Đề xuất 1'!K103,$D$104/$B$21)</f>
        <v>255661.77735795127</v>
      </c>
      <c r="L103" s="1">
        <f>IF($B$304=1,'Đề xuất 1'!L103,$D$104/$B$21)</f>
        <v>281227.9550937464</v>
      </c>
      <c r="M103" s="1">
        <f>IF($B$304=1,'Đề xuất 1'!M103,$D$104/$B$21)</f>
        <v>309350.75060312107</v>
      </c>
      <c r="N103" s="1">
        <f>IF($B$304=1,'Đề xuất 1'!N103,$D$104/$B$21)</f>
        <v>340285.8256634332</v>
      </c>
    </row>
    <row r="104" spans="1:24" ht="11.25">
      <c r="A104" s="14" t="s">
        <v>9</v>
      </c>
      <c r="D104" s="1">
        <f aca="true" t="shared" si="12" ref="D104:X104">D100+D101-D103</f>
        <v>2300000</v>
      </c>
      <c r="E104" s="1">
        <f t="shared" si="12"/>
        <v>2155685.5917702233</v>
      </c>
      <c r="F104" s="1">
        <f t="shared" si="12"/>
        <v>1996939.742717469</v>
      </c>
      <c r="G104" s="1">
        <f t="shared" si="12"/>
        <v>1822319.3087594395</v>
      </c>
      <c r="H104" s="1">
        <f t="shared" si="12"/>
        <v>1630236.8314056068</v>
      </c>
      <c r="I104" s="1">
        <f t="shared" si="12"/>
        <v>1418946.106316391</v>
      </c>
      <c r="J104" s="1">
        <f t="shared" si="12"/>
        <v>1186526.3087182534</v>
      </c>
      <c r="K104" s="1">
        <f t="shared" si="12"/>
        <v>930864.5313603021</v>
      </c>
      <c r="L104" s="1">
        <f t="shared" si="12"/>
        <v>649636.5762665557</v>
      </c>
      <c r="M104" s="1">
        <f t="shared" si="12"/>
        <v>340285.82566343463</v>
      </c>
      <c r="N104" s="1">
        <f t="shared" si="12"/>
        <v>1.4551915228366852E-09</v>
      </c>
      <c r="O104" s="1">
        <f t="shared" si="12"/>
        <v>1.4551915228366852E-09</v>
      </c>
      <c r="P104" s="1">
        <f t="shared" si="12"/>
        <v>1.4551915228366852E-09</v>
      </c>
      <c r="Q104" s="1">
        <f t="shared" si="12"/>
        <v>1.4551915228366852E-09</v>
      </c>
      <c r="R104" s="1">
        <f t="shared" si="12"/>
        <v>1.4551915228366852E-09</v>
      </c>
      <c r="S104" s="1">
        <f t="shared" si="12"/>
        <v>1.4551915228366852E-09</v>
      </c>
      <c r="T104" s="1">
        <f t="shared" si="12"/>
        <v>1.4551915228366852E-09</v>
      </c>
      <c r="U104" s="1">
        <f t="shared" si="12"/>
        <v>1.4551915228366852E-09</v>
      </c>
      <c r="V104" s="1">
        <f t="shared" si="12"/>
        <v>1.4551915228366852E-09</v>
      </c>
      <c r="W104" s="1">
        <f t="shared" si="12"/>
        <v>1.4551915228366852E-09</v>
      </c>
      <c r="X104" s="1">
        <f t="shared" si="12"/>
        <v>1.4551915228366852E-09</v>
      </c>
    </row>
    <row r="105" spans="1:2" ht="11.25">
      <c r="A105" s="14"/>
      <c r="B105" s="85"/>
    </row>
    <row r="106" spans="1:24" ht="11.25">
      <c r="A106" s="14" t="s">
        <v>147</v>
      </c>
      <c r="D106" s="1">
        <f>D101-D102-D103</f>
        <v>2300000</v>
      </c>
      <c r="E106" s="1">
        <f aca="true" t="shared" si="13" ref="E106:X106">E101-E102-E103</f>
        <v>-408814.40822977654</v>
      </c>
      <c r="F106" s="1">
        <f t="shared" si="13"/>
        <v>-406649.69210632984</v>
      </c>
      <c r="G106" s="1">
        <f t="shared" si="13"/>
        <v>-404268.5043705386</v>
      </c>
      <c r="H106" s="1">
        <f t="shared" si="13"/>
        <v>-401649.1978611682</v>
      </c>
      <c r="I106" s="1">
        <f t="shared" si="13"/>
        <v>-398767.9607008607</v>
      </c>
      <c r="J106" s="1">
        <f t="shared" si="13"/>
        <v>-395598.59982452245</v>
      </c>
      <c r="K106" s="1">
        <f t="shared" si="13"/>
        <v>-392112.3028605504</v>
      </c>
      <c r="L106" s="1">
        <f t="shared" si="13"/>
        <v>-388277.37620018114</v>
      </c>
      <c r="M106" s="1">
        <f t="shared" si="13"/>
        <v>-384058.956873775</v>
      </c>
      <c r="N106" s="1">
        <f t="shared" si="13"/>
        <v>-379418.69561472815</v>
      </c>
      <c r="O106" s="1">
        <f t="shared" si="13"/>
        <v>-1.673470251262188E-10</v>
      </c>
      <c r="P106" s="1">
        <f t="shared" si="13"/>
        <v>-1.673470251262188E-10</v>
      </c>
      <c r="Q106" s="1">
        <f t="shared" si="13"/>
        <v>-1.673470251262188E-10</v>
      </c>
      <c r="R106" s="1">
        <f t="shared" si="13"/>
        <v>-1.673470251262188E-10</v>
      </c>
      <c r="S106" s="1">
        <f t="shared" si="13"/>
        <v>-1.673470251262188E-10</v>
      </c>
      <c r="T106" s="1">
        <f t="shared" si="13"/>
        <v>-1.673470251262188E-10</v>
      </c>
      <c r="U106" s="1">
        <f t="shared" si="13"/>
        <v>-1.673470251262188E-10</v>
      </c>
      <c r="V106" s="1">
        <f t="shared" si="13"/>
        <v>-1.673470251262188E-10</v>
      </c>
      <c r="W106" s="1">
        <f t="shared" si="13"/>
        <v>-1.673470251262188E-10</v>
      </c>
      <c r="X106" s="1">
        <f t="shared" si="13"/>
        <v>-1.673470251262188E-10</v>
      </c>
    </row>
    <row r="107" spans="1:3" ht="11.25">
      <c r="A107" s="14" t="s">
        <v>148</v>
      </c>
      <c r="B107" s="13">
        <f>IRR(C106:X106,10%)</f>
        <v>0.11499999999999996</v>
      </c>
      <c r="C107" s="11"/>
    </row>
    <row r="108" spans="1:2" ht="11.25">
      <c r="A108" s="14"/>
      <c r="B108" s="14"/>
    </row>
    <row r="109" spans="1:56" s="63" customFormat="1" ht="11.25">
      <c r="A109" s="6" t="s">
        <v>27</v>
      </c>
      <c r="B109" s="6"/>
      <c r="C109" s="7"/>
      <c r="D109" s="7"/>
      <c r="E109" s="7"/>
      <c r="F109" s="7"/>
      <c r="G109" s="7"/>
      <c r="H109" s="7"/>
      <c r="I109" s="7"/>
      <c r="J109" s="7"/>
      <c r="K109" s="7"/>
      <c r="L109" s="7"/>
      <c r="M109" s="7"/>
      <c r="N109" s="7"/>
      <c r="O109" s="7"/>
      <c r="P109" s="7"/>
      <c r="Q109" s="7"/>
      <c r="R109" s="7"/>
      <c r="S109" s="7"/>
      <c r="T109" s="7"/>
      <c r="U109" s="7"/>
      <c r="V109" s="7"/>
      <c r="W109" s="7"/>
      <c r="X109" s="7"/>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row>
    <row r="110" spans="1:56" s="63" customFormat="1" ht="11.25">
      <c r="A110" s="1"/>
      <c r="B110" s="9"/>
      <c r="C110" s="9">
        <f aca="true" t="shared" si="14" ref="C110:X110">C1</f>
        <v>2013</v>
      </c>
      <c r="D110" s="9">
        <f t="shared" si="14"/>
        <v>2014</v>
      </c>
      <c r="E110" s="9">
        <f t="shared" si="14"/>
        <v>2015</v>
      </c>
      <c r="F110" s="9">
        <f t="shared" si="14"/>
        <v>2016</v>
      </c>
      <c r="G110" s="9">
        <f t="shared" si="14"/>
        <v>2017</v>
      </c>
      <c r="H110" s="9">
        <f t="shared" si="14"/>
        <v>2018</v>
      </c>
      <c r="I110" s="9">
        <f t="shared" si="14"/>
        <v>2019</v>
      </c>
      <c r="J110" s="9">
        <f t="shared" si="14"/>
        <v>2020</v>
      </c>
      <c r="K110" s="9">
        <f t="shared" si="14"/>
        <v>2021</v>
      </c>
      <c r="L110" s="9">
        <f t="shared" si="14"/>
        <v>2022</v>
      </c>
      <c r="M110" s="9">
        <f t="shared" si="14"/>
        <v>2023</v>
      </c>
      <c r="N110" s="9">
        <f t="shared" si="14"/>
        <v>2024</v>
      </c>
      <c r="O110" s="9">
        <f t="shared" si="14"/>
        <v>2025</v>
      </c>
      <c r="P110" s="9">
        <f t="shared" si="14"/>
        <v>2026</v>
      </c>
      <c r="Q110" s="9">
        <f t="shared" si="14"/>
        <v>2027</v>
      </c>
      <c r="R110" s="9">
        <f t="shared" si="14"/>
        <v>2028</v>
      </c>
      <c r="S110" s="9">
        <f t="shared" si="14"/>
        <v>2029</v>
      </c>
      <c r="T110" s="9">
        <f t="shared" si="14"/>
        <v>2030</v>
      </c>
      <c r="U110" s="9">
        <f t="shared" si="14"/>
        <v>2031</v>
      </c>
      <c r="V110" s="9">
        <f t="shared" si="14"/>
        <v>2032</v>
      </c>
      <c r="W110" s="9">
        <f t="shared" si="14"/>
        <v>2033</v>
      </c>
      <c r="X110" s="9">
        <f t="shared" si="14"/>
        <v>2034</v>
      </c>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row>
    <row r="111" spans="1:56" s="63" customFormat="1" ht="12" thickBot="1">
      <c r="A111" s="4" t="s">
        <v>2</v>
      </c>
      <c r="B111" s="4"/>
      <c r="C111" s="4">
        <v>0</v>
      </c>
      <c r="D111" s="4">
        <v>1</v>
      </c>
      <c r="E111" s="4">
        <v>2</v>
      </c>
      <c r="F111" s="4">
        <v>3</v>
      </c>
      <c r="G111" s="4">
        <v>4</v>
      </c>
      <c r="H111" s="4">
        <v>5</v>
      </c>
      <c r="I111" s="4">
        <v>6</v>
      </c>
      <c r="J111" s="4">
        <v>7</v>
      </c>
      <c r="K111" s="4">
        <v>8</v>
      </c>
      <c r="L111" s="4">
        <v>9</v>
      </c>
      <c r="M111" s="4">
        <v>10</v>
      </c>
      <c r="N111" s="4">
        <v>11</v>
      </c>
      <c r="O111" s="4">
        <v>12</v>
      </c>
      <c r="P111" s="4">
        <v>13</v>
      </c>
      <c r="Q111" s="4">
        <v>14</v>
      </c>
      <c r="R111" s="4">
        <v>15</v>
      </c>
      <c r="S111" s="4">
        <v>16</v>
      </c>
      <c r="T111" s="4">
        <v>17</v>
      </c>
      <c r="U111" s="4">
        <v>18</v>
      </c>
      <c r="V111" s="4">
        <v>19</v>
      </c>
      <c r="W111" s="4">
        <v>20</v>
      </c>
      <c r="X111" s="4">
        <v>21</v>
      </c>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row>
    <row r="112" spans="1:56" s="63" customFormat="1" ht="12" thickTop="1">
      <c r="A112" s="1" t="s">
        <v>62</v>
      </c>
      <c r="B112" s="1"/>
      <c r="C112" s="1"/>
      <c r="D112" s="10"/>
      <c r="E112" s="10">
        <f>E24</f>
        <v>1.8</v>
      </c>
      <c r="F112" s="10">
        <f aca="true" t="shared" si="15" ref="F112:X112">F24</f>
        <v>2</v>
      </c>
      <c r="G112" s="10">
        <f t="shared" si="15"/>
        <v>2.2</v>
      </c>
      <c r="H112" s="10">
        <f t="shared" si="15"/>
        <v>2.4</v>
      </c>
      <c r="I112" s="10">
        <f t="shared" si="15"/>
        <v>2.65</v>
      </c>
      <c r="J112" s="10">
        <f t="shared" si="15"/>
        <v>2.9</v>
      </c>
      <c r="K112" s="10">
        <f t="shared" si="15"/>
        <v>3.2</v>
      </c>
      <c r="L112" s="10">
        <f t="shared" si="15"/>
        <v>3.5</v>
      </c>
      <c r="M112" s="10">
        <f t="shared" si="15"/>
        <v>3.5</v>
      </c>
      <c r="N112" s="10">
        <f t="shared" si="15"/>
        <v>3.5</v>
      </c>
      <c r="O112" s="10">
        <f t="shared" si="15"/>
        <v>3.5</v>
      </c>
      <c r="P112" s="10">
        <f t="shared" si="15"/>
        <v>3.5</v>
      </c>
      <c r="Q112" s="10">
        <f t="shared" si="15"/>
        <v>3.5</v>
      </c>
      <c r="R112" s="10">
        <f t="shared" si="15"/>
        <v>3.5</v>
      </c>
      <c r="S112" s="10">
        <f t="shared" si="15"/>
        <v>3.5</v>
      </c>
      <c r="T112" s="10">
        <f t="shared" si="15"/>
        <v>3.5</v>
      </c>
      <c r="U112" s="10">
        <f t="shared" si="15"/>
        <v>3.5</v>
      </c>
      <c r="V112" s="10">
        <f t="shared" si="15"/>
        <v>3.5</v>
      </c>
      <c r="W112" s="10">
        <f t="shared" si="15"/>
        <v>3.5</v>
      </c>
      <c r="X112" s="10">
        <f t="shared" si="15"/>
        <v>3.5</v>
      </c>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row>
    <row r="113" spans="1:56" s="63" customFormat="1" ht="11.25">
      <c r="A113" s="1" t="s">
        <v>102</v>
      </c>
      <c r="B113" s="1"/>
      <c r="C113" s="1">
        <f>B26*(1+$B$27)</f>
        <v>346500</v>
      </c>
      <c r="D113" s="1">
        <f>C113*(1+$B$27)</f>
        <v>363825</v>
      </c>
      <c r="E113" s="1">
        <f aca="true" t="shared" si="16" ref="E113:X113">D113*(1+$B$27)</f>
        <v>382016.25</v>
      </c>
      <c r="F113" s="1">
        <f t="shared" si="16"/>
        <v>401117.0625</v>
      </c>
      <c r="G113" s="1">
        <f t="shared" si="16"/>
        <v>421172.915625</v>
      </c>
      <c r="H113" s="1">
        <f t="shared" si="16"/>
        <v>442231.56140625005</v>
      </c>
      <c r="I113" s="1">
        <f t="shared" si="16"/>
        <v>464343.13947656256</v>
      </c>
      <c r="J113" s="1">
        <f t="shared" si="16"/>
        <v>487560.2964503907</v>
      </c>
      <c r="K113" s="1">
        <f t="shared" si="16"/>
        <v>511938.3112729103</v>
      </c>
      <c r="L113" s="1">
        <f t="shared" si="16"/>
        <v>537535.2268365558</v>
      </c>
      <c r="M113" s="1">
        <f t="shared" si="16"/>
        <v>564411.9881783836</v>
      </c>
      <c r="N113" s="1">
        <f t="shared" si="16"/>
        <v>592632.5875873028</v>
      </c>
      <c r="O113" s="1">
        <f t="shared" si="16"/>
        <v>622264.2169666679</v>
      </c>
      <c r="P113" s="1">
        <f t="shared" si="16"/>
        <v>653377.4278150013</v>
      </c>
      <c r="Q113" s="1">
        <f t="shared" si="16"/>
        <v>686046.2992057514</v>
      </c>
      <c r="R113" s="1">
        <f t="shared" si="16"/>
        <v>720348.614166039</v>
      </c>
      <c r="S113" s="1">
        <f t="shared" si="16"/>
        <v>756366.044874341</v>
      </c>
      <c r="T113" s="1">
        <f t="shared" si="16"/>
        <v>794184.3471180581</v>
      </c>
      <c r="U113" s="1">
        <f t="shared" si="16"/>
        <v>833893.564473961</v>
      </c>
      <c r="V113" s="1">
        <f t="shared" si="16"/>
        <v>875588.2426976591</v>
      </c>
      <c r="W113" s="1">
        <f t="shared" si="16"/>
        <v>919367.6548325421</v>
      </c>
      <c r="X113" s="1">
        <f t="shared" si="16"/>
        <v>965336.0375741692</v>
      </c>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row>
    <row r="114" spans="1:56" s="63" customFormat="1" ht="11.25">
      <c r="A114" s="1" t="s">
        <v>64</v>
      </c>
      <c r="B114" s="1"/>
      <c r="C114" s="19"/>
      <c r="D114" s="1"/>
      <c r="E114" s="1">
        <f aca="true" t="shared" si="17" ref="E114:X114">E113*E112</f>
        <v>687629.25</v>
      </c>
      <c r="F114" s="1">
        <f t="shared" si="17"/>
        <v>802234.125</v>
      </c>
      <c r="G114" s="1">
        <f t="shared" si="17"/>
        <v>926580.4143750002</v>
      </c>
      <c r="H114" s="1">
        <f t="shared" si="17"/>
        <v>1061355.747375</v>
      </c>
      <c r="I114" s="1">
        <f t="shared" si="17"/>
        <v>1230509.3196128907</v>
      </c>
      <c r="J114" s="1">
        <f t="shared" si="17"/>
        <v>1413924.8597061331</v>
      </c>
      <c r="K114" s="1">
        <f t="shared" si="17"/>
        <v>1638202.596073313</v>
      </c>
      <c r="L114" s="1">
        <f t="shared" si="17"/>
        <v>1881373.2939279452</v>
      </c>
      <c r="M114" s="1">
        <f t="shared" si="17"/>
        <v>1975441.9586243425</v>
      </c>
      <c r="N114" s="1">
        <f t="shared" si="17"/>
        <v>2074214.0565555599</v>
      </c>
      <c r="O114" s="1">
        <f t="shared" si="17"/>
        <v>2177924.7593833376</v>
      </c>
      <c r="P114" s="1">
        <f t="shared" si="17"/>
        <v>2286820.9973525046</v>
      </c>
      <c r="Q114" s="1">
        <f t="shared" si="17"/>
        <v>2401162.04722013</v>
      </c>
      <c r="R114" s="1">
        <f t="shared" si="17"/>
        <v>2521220.1495811366</v>
      </c>
      <c r="S114" s="1">
        <f t="shared" si="17"/>
        <v>2647281.1570601934</v>
      </c>
      <c r="T114" s="1">
        <f t="shared" si="17"/>
        <v>2779645.2149132034</v>
      </c>
      <c r="U114" s="1">
        <f t="shared" si="17"/>
        <v>2918627.475658864</v>
      </c>
      <c r="V114" s="1">
        <f t="shared" si="17"/>
        <v>3064558.849441807</v>
      </c>
      <c r="W114" s="1">
        <f t="shared" si="17"/>
        <v>3217786.7919138973</v>
      </c>
      <c r="X114" s="1">
        <f t="shared" si="17"/>
        <v>3378676.1315095923</v>
      </c>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row>
    <row r="116" spans="1:56" s="63" customFormat="1" ht="11.25">
      <c r="A116" s="6" t="s">
        <v>10</v>
      </c>
      <c r="B116" s="6"/>
      <c r="C116" s="7"/>
      <c r="D116" s="7"/>
      <c r="E116" s="7"/>
      <c r="F116" s="7"/>
      <c r="G116" s="7"/>
      <c r="H116" s="7"/>
      <c r="I116" s="7"/>
      <c r="J116" s="7"/>
      <c r="K116" s="7"/>
      <c r="L116" s="7"/>
      <c r="M116" s="7"/>
      <c r="N116" s="7"/>
      <c r="O116" s="7"/>
      <c r="P116" s="7"/>
      <c r="Q116" s="7"/>
      <c r="R116" s="7"/>
      <c r="S116" s="7"/>
      <c r="T116" s="7"/>
      <c r="U116" s="7"/>
      <c r="V116" s="7"/>
      <c r="W116" s="7"/>
      <c r="X116" s="7"/>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row>
    <row r="117" spans="1:56" s="63" customFormat="1" ht="11.25">
      <c r="A117" s="1"/>
      <c r="B117" s="9">
        <f aca="true" t="shared" si="18" ref="B117:X117">B110</f>
        <v>0</v>
      </c>
      <c r="C117" s="9">
        <f t="shared" si="18"/>
        <v>2013</v>
      </c>
      <c r="D117" s="9">
        <f t="shared" si="18"/>
        <v>2014</v>
      </c>
      <c r="E117" s="9">
        <f t="shared" si="18"/>
        <v>2015</v>
      </c>
      <c r="F117" s="9">
        <f t="shared" si="18"/>
        <v>2016</v>
      </c>
      <c r="G117" s="9">
        <f t="shared" si="18"/>
        <v>2017</v>
      </c>
      <c r="H117" s="9">
        <f t="shared" si="18"/>
        <v>2018</v>
      </c>
      <c r="I117" s="9">
        <f t="shared" si="18"/>
        <v>2019</v>
      </c>
      <c r="J117" s="9">
        <f t="shared" si="18"/>
        <v>2020</v>
      </c>
      <c r="K117" s="9">
        <f t="shared" si="18"/>
        <v>2021</v>
      </c>
      <c r="L117" s="9">
        <f t="shared" si="18"/>
        <v>2022</v>
      </c>
      <c r="M117" s="9">
        <f t="shared" si="18"/>
        <v>2023</v>
      </c>
      <c r="N117" s="9">
        <f t="shared" si="18"/>
        <v>2024</v>
      </c>
      <c r="O117" s="9">
        <f t="shared" si="18"/>
        <v>2025</v>
      </c>
      <c r="P117" s="9">
        <f t="shared" si="18"/>
        <v>2026</v>
      </c>
      <c r="Q117" s="9">
        <f t="shared" si="18"/>
        <v>2027</v>
      </c>
      <c r="R117" s="9">
        <f t="shared" si="18"/>
        <v>2028</v>
      </c>
      <c r="S117" s="9">
        <f t="shared" si="18"/>
        <v>2029</v>
      </c>
      <c r="T117" s="9">
        <f t="shared" si="18"/>
        <v>2030</v>
      </c>
      <c r="U117" s="9">
        <f t="shared" si="18"/>
        <v>2031</v>
      </c>
      <c r="V117" s="9">
        <f t="shared" si="18"/>
        <v>2032</v>
      </c>
      <c r="W117" s="9">
        <f t="shared" si="18"/>
        <v>2033</v>
      </c>
      <c r="X117" s="9">
        <f t="shared" si="18"/>
        <v>2034</v>
      </c>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row>
    <row r="118" spans="1:56" s="63" customFormat="1" ht="12" thickBot="1">
      <c r="A118" s="4" t="s">
        <v>2</v>
      </c>
      <c r="B118" s="4"/>
      <c r="C118" s="4">
        <v>0</v>
      </c>
      <c r="D118" s="4">
        <v>1</v>
      </c>
      <c r="E118" s="4">
        <v>2</v>
      </c>
      <c r="F118" s="4">
        <v>3</v>
      </c>
      <c r="G118" s="4">
        <v>4</v>
      </c>
      <c r="H118" s="4">
        <v>5</v>
      </c>
      <c r="I118" s="4">
        <v>6</v>
      </c>
      <c r="J118" s="4">
        <v>7</v>
      </c>
      <c r="K118" s="4">
        <v>8</v>
      </c>
      <c r="L118" s="4">
        <v>9</v>
      </c>
      <c r="M118" s="4">
        <v>10</v>
      </c>
      <c r="N118" s="4">
        <v>11</v>
      </c>
      <c r="O118" s="4">
        <v>12</v>
      </c>
      <c r="P118" s="4">
        <v>13</v>
      </c>
      <c r="Q118" s="4">
        <v>14</v>
      </c>
      <c r="R118" s="4">
        <v>15</v>
      </c>
      <c r="S118" s="4">
        <v>16</v>
      </c>
      <c r="T118" s="4">
        <v>17</v>
      </c>
      <c r="U118" s="4">
        <v>18</v>
      </c>
      <c r="V118" s="4">
        <v>19</v>
      </c>
      <c r="W118" s="4">
        <v>20</v>
      </c>
      <c r="X118" s="4">
        <v>21</v>
      </c>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row>
    <row r="119" spans="1:56" s="63" customFormat="1" ht="12" thickTop="1">
      <c r="A119" s="24" t="s">
        <v>103</v>
      </c>
      <c r="B119" s="2"/>
      <c r="C119" s="1"/>
      <c r="D119" s="1"/>
      <c r="E119" s="1">
        <f>$B$29*E58*E112</f>
        <v>94818.3282</v>
      </c>
      <c r="F119" s="1">
        <f>$B$29*F58*F112</f>
        <v>112728.45686000002</v>
      </c>
      <c r="G119" s="1">
        <f>$B$29*G58*G112</f>
        <v>132681.39372422005</v>
      </c>
      <c r="H119" s="1">
        <f>$B$29*H58*H112</f>
        <v>154875.37231081686</v>
      </c>
      <c r="I119" s="1">
        <f>$B$29*I58*I112</f>
        <v>182978.79924471714</v>
      </c>
      <c r="J119" s="1">
        <f>$B$29*J58*J112</f>
        <v>214257.81662504052</v>
      </c>
      <c r="K119" s="1">
        <f>$B$29*K58*K112</f>
        <v>252971.98762901343</v>
      </c>
      <c r="L119" s="1">
        <f>$B$29*L58*L112</f>
        <v>296056.27927207976</v>
      </c>
      <c r="M119" s="1">
        <f>$B$29*M58*M112</f>
        <v>316780.2188211254</v>
      </c>
      <c r="N119" s="1">
        <f>$B$29*N58*N112</f>
        <v>338954.8341386041</v>
      </c>
      <c r="O119" s="1">
        <f>$B$29*O58*O112</f>
        <v>362681.67252830643</v>
      </c>
      <c r="P119" s="1">
        <f>$B$29*P58*P112</f>
        <v>388069.3896052879</v>
      </c>
      <c r="Q119" s="1">
        <f>$B$29*Q58*Q112</f>
        <v>415234.2468776581</v>
      </c>
      <c r="R119" s="1">
        <f>$B$29*R58*R112</f>
        <v>444300.6441590942</v>
      </c>
      <c r="S119" s="1">
        <f>$B$29*S58*S112</f>
        <v>475401.68925023085</v>
      </c>
      <c r="T119" s="1">
        <f>$B$29*T58*T112</f>
        <v>508679.80749774707</v>
      </c>
      <c r="U119" s="1">
        <f>$B$29*U58*U112</f>
        <v>544287.3940225894</v>
      </c>
      <c r="V119" s="1">
        <f>$B$29*V58*V112</f>
        <v>582387.5116041708</v>
      </c>
      <c r="W119" s="1">
        <f>$B$29*W58*W112</f>
        <v>623154.6374164628</v>
      </c>
      <c r="X119" s="1">
        <f>$B$29*X58*X112</f>
        <v>666775.4620356152</v>
      </c>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row>
    <row r="120" spans="1:56" s="63" customFormat="1" ht="11.25">
      <c r="A120" s="26" t="s">
        <v>104</v>
      </c>
      <c r="B120" s="1"/>
      <c r="C120" s="1"/>
      <c r="D120" s="1"/>
      <c r="E120" s="1">
        <f aca="true" t="shared" si="19" ref="E120:X120">$B$30*E58</f>
        <v>56964.499500000005</v>
      </c>
      <c r="F120" s="1">
        <f t="shared" si="19"/>
        <v>60952.01446500001</v>
      </c>
      <c r="G120" s="1">
        <f t="shared" si="19"/>
        <v>65218.65547755002</v>
      </c>
      <c r="H120" s="1">
        <f t="shared" si="19"/>
        <v>69783.96136097853</v>
      </c>
      <c r="I120" s="1">
        <f t="shared" si="19"/>
        <v>74668.83865624703</v>
      </c>
      <c r="J120" s="1">
        <f t="shared" si="19"/>
        <v>79895.65736218433</v>
      </c>
      <c r="K120" s="1">
        <f t="shared" si="19"/>
        <v>85488.35337753723</v>
      </c>
      <c r="L120" s="1">
        <f t="shared" si="19"/>
        <v>91472.53811396484</v>
      </c>
      <c r="M120" s="1">
        <f t="shared" si="19"/>
        <v>97875.6157819424</v>
      </c>
      <c r="N120" s="1">
        <f t="shared" si="19"/>
        <v>104726.90888667836</v>
      </c>
      <c r="O120" s="1">
        <f t="shared" si="19"/>
        <v>112057.79250874584</v>
      </c>
      <c r="P120" s="1">
        <f t="shared" si="19"/>
        <v>119901.83798435806</v>
      </c>
      <c r="Q120" s="1">
        <f t="shared" si="19"/>
        <v>128294.96664326313</v>
      </c>
      <c r="R120" s="1">
        <f t="shared" si="19"/>
        <v>137275.61430829158</v>
      </c>
      <c r="S120" s="1">
        <f t="shared" si="19"/>
        <v>146884.907309872</v>
      </c>
      <c r="T120" s="1">
        <f t="shared" si="19"/>
        <v>157166.85082156304</v>
      </c>
      <c r="U120" s="1">
        <f t="shared" si="19"/>
        <v>168168.53037907247</v>
      </c>
      <c r="V120" s="1">
        <f t="shared" si="19"/>
        <v>179940.32750560757</v>
      </c>
      <c r="W120" s="1">
        <f t="shared" si="19"/>
        <v>192536.15043100013</v>
      </c>
      <c r="X120" s="1">
        <f t="shared" si="19"/>
        <v>206013.68096117015</v>
      </c>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row>
    <row r="121" spans="1:56" s="63" customFormat="1" ht="11.25">
      <c r="A121" s="26" t="s">
        <v>32</v>
      </c>
      <c r="B121" s="1"/>
      <c r="C121" s="1"/>
      <c r="D121" s="1"/>
      <c r="E121" s="1">
        <f aca="true" t="shared" si="20" ref="E121:X121">E114*$B$31</f>
        <v>34381.4625</v>
      </c>
      <c r="F121" s="1">
        <f t="shared" si="20"/>
        <v>40111.70625</v>
      </c>
      <c r="G121" s="1">
        <f t="shared" si="20"/>
        <v>46329.02071875001</v>
      </c>
      <c r="H121" s="1">
        <f t="shared" si="20"/>
        <v>53067.78736875</v>
      </c>
      <c r="I121" s="1">
        <f t="shared" si="20"/>
        <v>61525.46598064454</v>
      </c>
      <c r="J121" s="1">
        <f t="shared" si="20"/>
        <v>70696.24298530666</v>
      </c>
      <c r="K121" s="1">
        <f t="shared" si="20"/>
        <v>81910.12980366565</v>
      </c>
      <c r="L121" s="1">
        <f t="shared" si="20"/>
        <v>94068.66469639726</v>
      </c>
      <c r="M121" s="1">
        <f t="shared" si="20"/>
        <v>98772.09793121713</v>
      </c>
      <c r="N121" s="1">
        <f t="shared" si="20"/>
        <v>103710.702827778</v>
      </c>
      <c r="O121" s="1">
        <f t="shared" si="20"/>
        <v>108896.23796916689</v>
      </c>
      <c r="P121" s="1">
        <f t="shared" si="20"/>
        <v>114341.04986762523</v>
      </c>
      <c r="Q121" s="1">
        <f t="shared" si="20"/>
        <v>120058.1023610065</v>
      </c>
      <c r="R121" s="1">
        <f t="shared" si="20"/>
        <v>126061.00747905683</v>
      </c>
      <c r="S121" s="1">
        <f t="shared" si="20"/>
        <v>132364.05785300967</v>
      </c>
      <c r="T121" s="1">
        <f t="shared" si="20"/>
        <v>138982.26074566017</v>
      </c>
      <c r="U121" s="1">
        <f t="shared" si="20"/>
        <v>145931.3737829432</v>
      </c>
      <c r="V121" s="1">
        <f t="shared" si="20"/>
        <v>153227.94247209033</v>
      </c>
      <c r="W121" s="1">
        <f t="shared" si="20"/>
        <v>160889.33959569488</v>
      </c>
      <c r="X121" s="1">
        <f t="shared" si="20"/>
        <v>168933.80657547963</v>
      </c>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row>
    <row r="122" spans="1:56" s="63" customFormat="1" ht="11.25">
      <c r="A122" s="1" t="s">
        <v>12</v>
      </c>
      <c r="B122" s="1"/>
      <c r="C122" s="1"/>
      <c r="D122" s="1"/>
      <c r="E122" s="1">
        <f>E121+E120+E119</f>
        <v>186164.2902</v>
      </c>
      <c r="F122" s="1">
        <f aca="true" t="shared" si="21" ref="F122:X122">F121+F120+F119</f>
        <v>213792.17757500004</v>
      </c>
      <c r="G122" s="1">
        <f t="shared" si="21"/>
        <v>244229.06992052007</v>
      </c>
      <c r="H122" s="1">
        <f t="shared" si="21"/>
        <v>277727.1210405454</v>
      </c>
      <c r="I122" s="1">
        <f t="shared" si="21"/>
        <v>319173.1038816087</v>
      </c>
      <c r="J122" s="1">
        <f t="shared" si="21"/>
        <v>364849.7169725315</v>
      </c>
      <c r="K122" s="1">
        <f t="shared" si="21"/>
        <v>420370.4708102163</v>
      </c>
      <c r="L122" s="1">
        <f t="shared" si="21"/>
        <v>481597.48208244186</v>
      </c>
      <c r="M122" s="1">
        <f t="shared" si="21"/>
        <v>513427.9325342849</v>
      </c>
      <c r="N122" s="1">
        <f t="shared" si="21"/>
        <v>547392.4458530605</v>
      </c>
      <c r="O122" s="1">
        <f t="shared" si="21"/>
        <v>583635.7030062191</v>
      </c>
      <c r="P122" s="1">
        <f t="shared" si="21"/>
        <v>622312.2774572712</v>
      </c>
      <c r="Q122" s="1">
        <f t="shared" si="21"/>
        <v>663587.3158819277</v>
      </c>
      <c r="R122" s="1">
        <f t="shared" si="21"/>
        <v>707637.2659464426</v>
      </c>
      <c r="S122" s="1">
        <f t="shared" si="21"/>
        <v>754650.6544131124</v>
      </c>
      <c r="T122" s="1">
        <f t="shared" si="21"/>
        <v>804828.9190649702</v>
      </c>
      <c r="U122" s="1">
        <f t="shared" si="21"/>
        <v>858387.2981846051</v>
      </c>
      <c r="V122" s="1">
        <f t="shared" si="21"/>
        <v>915555.7815818687</v>
      </c>
      <c r="W122" s="1">
        <f t="shared" si="21"/>
        <v>976580.1274431578</v>
      </c>
      <c r="X122" s="1">
        <f t="shared" si="21"/>
        <v>1041722.949572265</v>
      </c>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row>
    <row r="124" spans="1:56" s="63" customFormat="1" ht="11.25">
      <c r="A124" s="6" t="s">
        <v>149</v>
      </c>
      <c r="B124" s="6"/>
      <c r="C124" s="7"/>
      <c r="D124" s="7"/>
      <c r="E124" s="7"/>
      <c r="F124" s="7"/>
      <c r="G124" s="7"/>
      <c r="H124" s="7"/>
      <c r="I124" s="7"/>
      <c r="J124" s="7"/>
      <c r="K124" s="7"/>
      <c r="L124" s="7"/>
      <c r="M124" s="7"/>
      <c r="N124" s="7"/>
      <c r="O124" s="7"/>
      <c r="P124" s="7"/>
      <c r="Q124" s="7"/>
      <c r="R124" s="7"/>
      <c r="S124" s="7"/>
      <c r="T124" s="7"/>
      <c r="U124" s="7"/>
      <c r="V124" s="7"/>
      <c r="W124" s="7"/>
      <c r="X124" s="7"/>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row>
    <row r="125" spans="1:56" s="63" customFormat="1" ht="11.25">
      <c r="A125" s="1"/>
      <c r="B125" s="9">
        <f aca="true" t="shared" si="22" ref="B125:X125">B1</f>
        <v>2012</v>
      </c>
      <c r="C125" s="9">
        <f t="shared" si="22"/>
        <v>2013</v>
      </c>
      <c r="D125" s="9">
        <f t="shared" si="22"/>
        <v>2014</v>
      </c>
      <c r="E125" s="9">
        <f t="shared" si="22"/>
        <v>2015</v>
      </c>
      <c r="F125" s="9">
        <f t="shared" si="22"/>
        <v>2016</v>
      </c>
      <c r="G125" s="9">
        <f t="shared" si="22"/>
        <v>2017</v>
      </c>
      <c r="H125" s="9">
        <f t="shared" si="22"/>
        <v>2018</v>
      </c>
      <c r="I125" s="9">
        <f t="shared" si="22"/>
        <v>2019</v>
      </c>
      <c r="J125" s="9">
        <f t="shared" si="22"/>
        <v>2020</v>
      </c>
      <c r="K125" s="9">
        <f t="shared" si="22"/>
        <v>2021</v>
      </c>
      <c r="L125" s="9">
        <f t="shared" si="22"/>
        <v>2022</v>
      </c>
      <c r="M125" s="9">
        <f t="shared" si="22"/>
        <v>2023</v>
      </c>
      <c r="N125" s="9">
        <f t="shared" si="22"/>
        <v>2024</v>
      </c>
      <c r="O125" s="9">
        <f t="shared" si="22"/>
        <v>2025</v>
      </c>
      <c r="P125" s="9">
        <f t="shared" si="22"/>
        <v>2026</v>
      </c>
      <c r="Q125" s="9">
        <f t="shared" si="22"/>
        <v>2027</v>
      </c>
      <c r="R125" s="9">
        <f t="shared" si="22"/>
        <v>2028</v>
      </c>
      <c r="S125" s="9">
        <f t="shared" si="22"/>
        <v>2029</v>
      </c>
      <c r="T125" s="9">
        <f t="shared" si="22"/>
        <v>2030</v>
      </c>
      <c r="U125" s="9">
        <f t="shared" si="22"/>
        <v>2031</v>
      </c>
      <c r="V125" s="9">
        <f t="shared" si="22"/>
        <v>2032</v>
      </c>
      <c r="W125" s="9">
        <f t="shared" si="22"/>
        <v>2033</v>
      </c>
      <c r="X125" s="9">
        <f t="shared" si="22"/>
        <v>2034</v>
      </c>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row>
    <row r="126" spans="1:56" s="63" customFormat="1" ht="12" thickBot="1">
      <c r="A126" s="4" t="s">
        <v>2</v>
      </c>
      <c r="B126" s="4"/>
      <c r="C126" s="4">
        <v>0</v>
      </c>
      <c r="D126" s="4">
        <v>1</v>
      </c>
      <c r="E126" s="4">
        <v>2</v>
      </c>
      <c r="F126" s="4">
        <v>3</v>
      </c>
      <c r="G126" s="4">
        <v>4</v>
      </c>
      <c r="H126" s="4">
        <v>5</v>
      </c>
      <c r="I126" s="4">
        <v>6</v>
      </c>
      <c r="J126" s="4">
        <v>7</v>
      </c>
      <c r="K126" s="4">
        <v>8</v>
      </c>
      <c r="L126" s="4">
        <v>9</v>
      </c>
      <c r="M126" s="4">
        <v>10</v>
      </c>
      <c r="N126" s="4">
        <v>11</v>
      </c>
      <c r="O126" s="4">
        <v>12</v>
      </c>
      <c r="P126" s="4">
        <v>13</v>
      </c>
      <c r="Q126" s="4">
        <v>14</v>
      </c>
      <c r="R126" s="4">
        <v>15</v>
      </c>
      <c r="S126" s="4">
        <v>16</v>
      </c>
      <c r="T126" s="4">
        <v>17</v>
      </c>
      <c r="U126" s="4">
        <v>18</v>
      </c>
      <c r="V126" s="4">
        <v>19</v>
      </c>
      <c r="W126" s="4">
        <v>20</v>
      </c>
      <c r="X126" s="4">
        <v>21</v>
      </c>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row>
    <row r="127" spans="1:56" s="63" customFormat="1" ht="12" thickTop="1">
      <c r="A127" s="1" t="s">
        <v>33</v>
      </c>
      <c r="B127" s="1"/>
      <c r="C127" s="1"/>
      <c r="D127" s="1"/>
      <c r="E127" s="1">
        <f>E114</f>
        <v>687629.25</v>
      </c>
      <c r="F127" s="1">
        <f aca="true" t="shared" si="23" ref="F127:X127">F114</f>
        <v>802234.125</v>
      </c>
      <c r="G127" s="1">
        <f t="shared" si="23"/>
        <v>926580.4143750002</v>
      </c>
      <c r="H127" s="1">
        <f t="shared" si="23"/>
        <v>1061355.747375</v>
      </c>
      <c r="I127" s="1">
        <f t="shared" si="23"/>
        <v>1230509.3196128907</v>
      </c>
      <c r="J127" s="1">
        <f t="shared" si="23"/>
        <v>1413924.8597061331</v>
      </c>
      <c r="K127" s="1">
        <f t="shared" si="23"/>
        <v>1638202.596073313</v>
      </c>
      <c r="L127" s="1">
        <f t="shared" si="23"/>
        <v>1881373.2939279452</v>
      </c>
      <c r="M127" s="1">
        <f t="shared" si="23"/>
        <v>1975441.9586243425</v>
      </c>
      <c r="N127" s="1">
        <f t="shared" si="23"/>
        <v>2074214.0565555599</v>
      </c>
      <c r="O127" s="1">
        <f t="shared" si="23"/>
        <v>2177924.7593833376</v>
      </c>
      <c r="P127" s="1">
        <f t="shared" si="23"/>
        <v>2286820.9973525046</v>
      </c>
      <c r="Q127" s="1">
        <f t="shared" si="23"/>
        <v>2401162.04722013</v>
      </c>
      <c r="R127" s="1">
        <f t="shared" si="23"/>
        <v>2521220.1495811366</v>
      </c>
      <c r="S127" s="1">
        <f t="shared" si="23"/>
        <v>2647281.1570601934</v>
      </c>
      <c r="T127" s="1">
        <f t="shared" si="23"/>
        <v>2779645.2149132034</v>
      </c>
      <c r="U127" s="1">
        <f t="shared" si="23"/>
        <v>2918627.475658864</v>
      </c>
      <c r="V127" s="1">
        <f t="shared" si="23"/>
        <v>3064558.849441807</v>
      </c>
      <c r="W127" s="1">
        <f t="shared" si="23"/>
        <v>3217786.7919138973</v>
      </c>
      <c r="X127" s="1">
        <f t="shared" si="23"/>
        <v>3378676.1315095923</v>
      </c>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row>
    <row r="128" spans="1:56" s="63" customFormat="1" ht="11.25">
      <c r="A128" s="15" t="s">
        <v>35</v>
      </c>
      <c r="B128" s="1"/>
      <c r="C128" s="1"/>
      <c r="D128" s="1"/>
      <c r="E128" s="1">
        <f>-E122</f>
        <v>-186164.2902</v>
      </c>
      <c r="F128" s="1">
        <f aca="true" t="shared" si="24" ref="F128:X128">-F122</f>
        <v>-213792.17757500004</v>
      </c>
      <c r="G128" s="1">
        <f t="shared" si="24"/>
        <v>-244229.06992052007</v>
      </c>
      <c r="H128" s="1">
        <f t="shared" si="24"/>
        <v>-277727.1210405454</v>
      </c>
      <c r="I128" s="1">
        <f t="shared" si="24"/>
        <v>-319173.1038816087</v>
      </c>
      <c r="J128" s="1">
        <f t="shared" si="24"/>
        <v>-364849.7169725315</v>
      </c>
      <c r="K128" s="1">
        <f t="shared" si="24"/>
        <v>-420370.4708102163</v>
      </c>
      <c r="L128" s="1">
        <f t="shared" si="24"/>
        <v>-481597.48208244186</v>
      </c>
      <c r="M128" s="1">
        <f t="shared" si="24"/>
        <v>-513427.9325342849</v>
      </c>
      <c r="N128" s="1">
        <f t="shared" si="24"/>
        <v>-547392.4458530605</v>
      </c>
      <c r="O128" s="1">
        <f t="shared" si="24"/>
        <v>-583635.7030062191</v>
      </c>
      <c r="P128" s="1">
        <f t="shared" si="24"/>
        <v>-622312.2774572712</v>
      </c>
      <c r="Q128" s="1">
        <f t="shared" si="24"/>
        <v>-663587.3158819277</v>
      </c>
      <c r="R128" s="1">
        <f t="shared" si="24"/>
        <v>-707637.2659464426</v>
      </c>
      <c r="S128" s="1">
        <f t="shared" si="24"/>
        <v>-754650.6544131124</v>
      </c>
      <c r="T128" s="1">
        <f t="shared" si="24"/>
        <v>-804828.9190649702</v>
      </c>
      <c r="U128" s="1">
        <f t="shared" si="24"/>
        <v>-858387.2981846051</v>
      </c>
      <c r="V128" s="1">
        <f t="shared" si="24"/>
        <v>-915555.7815818687</v>
      </c>
      <c r="W128" s="1">
        <f t="shared" si="24"/>
        <v>-976580.1274431578</v>
      </c>
      <c r="X128" s="1">
        <f t="shared" si="24"/>
        <v>-1041722.949572265</v>
      </c>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row>
    <row r="129" spans="1:56" s="63" customFormat="1" ht="11.25">
      <c r="A129" s="28" t="s">
        <v>34</v>
      </c>
      <c r="B129" s="1"/>
      <c r="C129" s="1"/>
      <c r="D129" s="1"/>
      <c r="E129" s="1">
        <f aca="true" t="shared" si="25" ref="E129:X129">E128+E127</f>
        <v>501464.9598</v>
      </c>
      <c r="F129" s="1">
        <f t="shared" si="25"/>
        <v>588441.9474249999</v>
      </c>
      <c r="G129" s="1">
        <f t="shared" si="25"/>
        <v>682351.3444544801</v>
      </c>
      <c r="H129" s="1">
        <f t="shared" si="25"/>
        <v>783628.6263344546</v>
      </c>
      <c r="I129" s="1">
        <f t="shared" si="25"/>
        <v>911336.215731282</v>
      </c>
      <c r="J129" s="1">
        <f t="shared" si="25"/>
        <v>1049075.1427336016</v>
      </c>
      <c r="K129" s="1">
        <f t="shared" si="25"/>
        <v>1217832.1252630965</v>
      </c>
      <c r="L129" s="1">
        <f t="shared" si="25"/>
        <v>1399775.8118455033</v>
      </c>
      <c r="M129" s="1">
        <f t="shared" si="25"/>
        <v>1462014.0260900576</v>
      </c>
      <c r="N129" s="1">
        <f t="shared" si="25"/>
        <v>1526821.6107024993</v>
      </c>
      <c r="O129" s="1">
        <f t="shared" si="25"/>
        <v>1594289.0563771185</v>
      </c>
      <c r="P129" s="1">
        <f t="shared" si="25"/>
        <v>1664508.7198952334</v>
      </c>
      <c r="Q129" s="1">
        <f t="shared" si="25"/>
        <v>1737574.7313382023</v>
      </c>
      <c r="R129" s="1">
        <f t="shared" si="25"/>
        <v>1813582.883634694</v>
      </c>
      <c r="S129" s="1">
        <f t="shared" si="25"/>
        <v>1892630.502647081</v>
      </c>
      <c r="T129" s="1">
        <f t="shared" si="25"/>
        <v>1974816.2958482332</v>
      </c>
      <c r="U129" s="1">
        <f t="shared" si="25"/>
        <v>2060240.1774742587</v>
      </c>
      <c r="V129" s="1">
        <f t="shared" si="25"/>
        <v>2149003.0678599384</v>
      </c>
      <c r="W129" s="1">
        <f t="shared" si="25"/>
        <v>2241206.6644707397</v>
      </c>
      <c r="X129" s="1">
        <f t="shared" si="25"/>
        <v>2336953.181937327</v>
      </c>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row>
    <row r="130" spans="1:56" s="63" customFormat="1" ht="11.25">
      <c r="A130" s="15" t="s">
        <v>36</v>
      </c>
      <c r="B130" s="1"/>
      <c r="C130" s="1"/>
      <c r="D130" s="1"/>
      <c r="E130" s="1">
        <f>-E81</f>
        <v>-202549.85938</v>
      </c>
      <c r="F130" s="1">
        <f aca="true" t="shared" si="26" ref="F130:X130">-F81</f>
        <v>-202549.85938</v>
      </c>
      <c r="G130" s="1">
        <f t="shared" si="26"/>
        <v>-202549.85938</v>
      </c>
      <c r="H130" s="1">
        <f t="shared" si="26"/>
        <v>-202549.85938</v>
      </c>
      <c r="I130" s="1">
        <f t="shared" si="26"/>
        <v>-202549.85938</v>
      </c>
      <c r="J130" s="1">
        <f t="shared" si="26"/>
        <v>-202549.85938</v>
      </c>
      <c r="K130" s="1">
        <f t="shared" si="26"/>
        <v>-202549.85938</v>
      </c>
      <c r="L130" s="1">
        <f t="shared" si="26"/>
        <v>-202549.85938</v>
      </c>
      <c r="M130" s="1">
        <f t="shared" si="26"/>
        <v>-202549.85938</v>
      </c>
      <c r="N130" s="1">
        <f t="shared" si="26"/>
        <v>-202549.85938</v>
      </c>
      <c r="O130" s="1">
        <f t="shared" si="26"/>
        <v>-202549.85938</v>
      </c>
      <c r="P130" s="1">
        <f t="shared" si="26"/>
        <v>-202549.85938</v>
      </c>
      <c r="Q130" s="1">
        <f t="shared" si="26"/>
        <v>-202549.85938</v>
      </c>
      <c r="R130" s="1">
        <f t="shared" si="26"/>
        <v>-202549.85938</v>
      </c>
      <c r="S130" s="1">
        <f t="shared" si="26"/>
        <v>-202549.85938</v>
      </c>
      <c r="T130" s="1">
        <f t="shared" si="26"/>
        <v>-202549.85938</v>
      </c>
      <c r="U130" s="1">
        <f t="shared" si="26"/>
        <v>-202549.85938</v>
      </c>
      <c r="V130" s="1">
        <f t="shared" si="26"/>
        <v>-202549.85938</v>
      </c>
      <c r="W130" s="1">
        <f t="shared" si="26"/>
        <v>-202549.85938</v>
      </c>
      <c r="X130" s="1">
        <f t="shared" si="26"/>
        <v>-202549.85938</v>
      </c>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row>
    <row r="131" spans="1:56" s="63" customFormat="1" ht="11.25">
      <c r="A131" s="1" t="s">
        <v>13</v>
      </c>
      <c r="B131" s="1"/>
      <c r="C131" s="1"/>
      <c r="D131" s="1"/>
      <c r="E131" s="1">
        <f>E130+E129</f>
        <v>298915.10042000003</v>
      </c>
      <c r="F131" s="1">
        <f aca="true" t="shared" si="27" ref="F131:X131">F130+F129</f>
        <v>385892.08804499987</v>
      </c>
      <c r="G131" s="1">
        <f t="shared" si="27"/>
        <v>479801.48507448006</v>
      </c>
      <c r="H131" s="1">
        <f t="shared" si="27"/>
        <v>581078.7669544546</v>
      </c>
      <c r="I131" s="1">
        <f t="shared" si="27"/>
        <v>708786.356351282</v>
      </c>
      <c r="J131" s="1">
        <f t="shared" si="27"/>
        <v>846525.2833536016</v>
      </c>
      <c r="K131" s="1">
        <f t="shared" si="27"/>
        <v>1015282.2658830965</v>
      </c>
      <c r="L131" s="1">
        <f t="shared" si="27"/>
        <v>1197225.9524655032</v>
      </c>
      <c r="M131" s="1">
        <f t="shared" si="27"/>
        <v>1259464.1667100575</v>
      </c>
      <c r="N131" s="1">
        <f t="shared" si="27"/>
        <v>1324271.7513224992</v>
      </c>
      <c r="O131" s="1">
        <f t="shared" si="27"/>
        <v>1391739.1969971184</v>
      </c>
      <c r="P131" s="1">
        <f t="shared" si="27"/>
        <v>1461958.8605152334</v>
      </c>
      <c r="Q131" s="1">
        <f t="shared" si="27"/>
        <v>1535024.8719582022</v>
      </c>
      <c r="R131" s="1">
        <f t="shared" si="27"/>
        <v>1611033.0242546939</v>
      </c>
      <c r="S131" s="1">
        <f t="shared" si="27"/>
        <v>1690080.643267081</v>
      </c>
      <c r="T131" s="1">
        <f t="shared" si="27"/>
        <v>1772266.4364682331</v>
      </c>
      <c r="U131" s="1">
        <f t="shared" si="27"/>
        <v>1857690.3180942587</v>
      </c>
      <c r="V131" s="1">
        <f t="shared" si="27"/>
        <v>1946453.2084799383</v>
      </c>
      <c r="W131" s="1">
        <f t="shared" si="27"/>
        <v>2038656.8050907396</v>
      </c>
      <c r="X131" s="1">
        <f t="shared" si="27"/>
        <v>2134403.3225573273</v>
      </c>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row>
    <row r="132" spans="1:56" s="63" customFormat="1" ht="11.25">
      <c r="A132" s="15" t="s">
        <v>26</v>
      </c>
      <c r="B132" s="1"/>
      <c r="C132" s="1"/>
      <c r="D132" s="1"/>
      <c r="E132" s="1">
        <f>-E102</f>
        <v>-264500</v>
      </c>
      <c r="F132" s="1">
        <f aca="true" t="shared" si="28" ref="F132:X132">-F102</f>
        <v>-247903.84305357566</v>
      </c>
      <c r="G132" s="1">
        <f t="shared" si="28"/>
        <v>-229648.07041250894</v>
      </c>
      <c r="H132" s="1">
        <f t="shared" si="28"/>
        <v>-209566.72050733553</v>
      </c>
      <c r="I132" s="1">
        <f t="shared" si="28"/>
        <v>-187477.23561164478</v>
      </c>
      <c r="J132" s="1">
        <f t="shared" si="28"/>
        <v>-163178.80222638496</v>
      </c>
      <c r="K132" s="1">
        <f t="shared" si="28"/>
        <v>-136450.52550259914</v>
      </c>
      <c r="L132" s="1">
        <f t="shared" si="28"/>
        <v>-107049.42110643473</v>
      </c>
      <c r="M132" s="1">
        <f t="shared" si="28"/>
        <v>-74708.2062706539</v>
      </c>
      <c r="N132" s="1">
        <f t="shared" si="28"/>
        <v>-39132.86995129498</v>
      </c>
      <c r="O132" s="1">
        <f t="shared" si="28"/>
        <v>-1.673470251262188E-10</v>
      </c>
      <c r="P132" s="1">
        <f t="shared" si="28"/>
        <v>-1.673470251262188E-10</v>
      </c>
      <c r="Q132" s="1">
        <f t="shared" si="28"/>
        <v>-1.673470251262188E-10</v>
      </c>
      <c r="R132" s="1">
        <f t="shared" si="28"/>
        <v>-1.673470251262188E-10</v>
      </c>
      <c r="S132" s="1">
        <f t="shared" si="28"/>
        <v>-1.673470251262188E-10</v>
      </c>
      <c r="T132" s="1">
        <f t="shared" si="28"/>
        <v>-1.673470251262188E-10</v>
      </c>
      <c r="U132" s="1">
        <f t="shared" si="28"/>
        <v>-1.673470251262188E-10</v>
      </c>
      <c r="V132" s="1">
        <f t="shared" si="28"/>
        <v>-1.673470251262188E-10</v>
      </c>
      <c r="W132" s="1">
        <f t="shared" si="28"/>
        <v>-1.673470251262188E-10</v>
      </c>
      <c r="X132" s="1">
        <f t="shared" si="28"/>
        <v>-1.673470251262188E-10</v>
      </c>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row>
    <row r="133" spans="1:56" s="63" customFormat="1" ht="11.25">
      <c r="A133" s="1" t="s">
        <v>14</v>
      </c>
      <c r="B133" s="1"/>
      <c r="C133" s="1"/>
      <c r="D133" s="1"/>
      <c r="E133" s="1">
        <f>E132+E131</f>
        <v>34415.10042000003</v>
      </c>
      <c r="F133" s="1">
        <f aca="true" t="shared" si="29" ref="F133:X133">F132+F131</f>
        <v>137988.2449914242</v>
      </c>
      <c r="G133" s="1">
        <f t="shared" si="29"/>
        <v>250153.41466197112</v>
      </c>
      <c r="H133" s="1">
        <f t="shared" si="29"/>
        <v>371512.0464471191</v>
      </c>
      <c r="I133" s="1">
        <f t="shared" si="29"/>
        <v>521309.1207396372</v>
      </c>
      <c r="J133" s="1">
        <f t="shared" si="29"/>
        <v>683346.4811272166</v>
      </c>
      <c r="K133" s="1">
        <f t="shared" si="29"/>
        <v>878831.7403804974</v>
      </c>
      <c r="L133" s="1">
        <f t="shared" si="29"/>
        <v>1090176.5313590686</v>
      </c>
      <c r="M133" s="1">
        <f t="shared" si="29"/>
        <v>1184755.9604394035</v>
      </c>
      <c r="N133" s="1">
        <f t="shared" si="29"/>
        <v>1285138.8813712043</v>
      </c>
      <c r="O133" s="1">
        <f t="shared" si="29"/>
        <v>1391739.1969971182</v>
      </c>
      <c r="P133" s="1">
        <f t="shared" si="29"/>
        <v>1461958.8605152331</v>
      </c>
      <c r="Q133" s="1">
        <f t="shared" si="29"/>
        <v>1535024.871958202</v>
      </c>
      <c r="R133" s="1">
        <f t="shared" si="29"/>
        <v>1611033.0242546936</v>
      </c>
      <c r="S133" s="1">
        <f t="shared" si="29"/>
        <v>1690080.6432670807</v>
      </c>
      <c r="T133" s="1">
        <f t="shared" si="29"/>
        <v>1772266.436468233</v>
      </c>
      <c r="U133" s="1">
        <f t="shared" si="29"/>
        <v>1857690.3180942584</v>
      </c>
      <c r="V133" s="1">
        <f t="shared" si="29"/>
        <v>1946453.208479938</v>
      </c>
      <c r="W133" s="1">
        <f t="shared" si="29"/>
        <v>2038656.8050907394</v>
      </c>
      <c r="X133" s="1">
        <f t="shared" si="29"/>
        <v>2134403.3225573273</v>
      </c>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row>
    <row r="134" spans="1:56" s="63" customFormat="1" ht="11.25">
      <c r="A134" s="1" t="s">
        <v>15</v>
      </c>
      <c r="B134" s="1"/>
      <c r="C134" s="1"/>
      <c r="D134" s="1"/>
      <c r="E134" s="1">
        <f>MAX(0,E133)</f>
        <v>34415.10042000003</v>
      </c>
      <c r="F134" s="1">
        <f aca="true" t="shared" si="30" ref="F134:X134">MAX(0,F133)</f>
        <v>137988.2449914242</v>
      </c>
      <c r="G134" s="1">
        <f t="shared" si="30"/>
        <v>250153.41466197112</v>
      </c>
      <c r="H134" s="1">
        <f t="shared" si="30"/>
        <v>371512.0464471191</v>
      </c>
      <c r="I134" s="1">
        <f t="shared" si="30"/>
        <v>521309.1207396372</v>
      </c>
      <c r="J134" s="1">
        <f t="shared" si="30"/>
        <v>683346.4811272166</v>
      </c>
      <c r="K134" s="1">
        <f t="shared" si="30"/>
        <v>878831.7403804974</v>
      </c>
      <c r="L134" s="1">
        <f t="shared" si="30"/>
        <v>1090176.5313590686</v>
      </c>
      <c r="M134" s="1">
        <f t="shared" si="30"/>
        <v>1184755.9604394035</v>
      </c>
      <c r="N134" s="1">
        <f t="shared" si="30"/>
        <v>1285138.8813712043</v>
      </c>
      <c r="O134" s="1">
        <f t="shared" si="30"/>
        <v>1391739.1969971182</v>
      </c>
      <c r="P134" s="1">
        <f t="shared" si="30"/>
        <v>1461958.8605152331</v>
      </c>
      <c r="Q134" s="1">
        <f t="shared" si="30"/>
        <v>1535024.871958202</v>
      </c>
      <c r="R134" s="1">
        <f t="shared" si="30"/>
        <v>1611033.0242546936</v>
      </c>
      <c r="S134" s="1">
        <f t="shared" si="30"/>
        <v>1690080.6432670807</v>
      </c>
      <c r="T134" s="1">
        <f t="shared" si="30"/>
        <v>1772266.436468233</v>
      </c>
      <c r="U134" s="1">
        <f t="shared" si="30"/>
        <v>1857690.3180942584</v>
      </c>
      <c r="V134" s="1">
        <f t="shared" si="30"/>
        <v>1946453.208479938</v>
      </c>
      <c r="W134" s="1">
        <f t="shared" si="30"/>
        <v>2038656.8050907394</v>
      </c>
      <c r="X134" s="1">
        <f t="shared" si="30"/>
        <v>2134403.3225573273</v>
      </c>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row>
    <row r="135" spans="1:56" s="63" customFormat="1" ht="11.25">
      <c r="A135" s="15" t="s">
        <v>66</v>
      </c>
      <c r="B135" s="1"/>
      <c r="C135" s="1"/>
      <c r="D135" s="1"/>
      <c r="E135" s="1">
        <f>-E134*$B$34</f>
        <v>-8603.775105000008</v>
      </c>
      <c r="F135" s="1">
        <f aca="true" t="shared" si="31" ref="F135:X135">-F134*$B$34</f>
        <v>-34497.06124785605</v>
      </c>
      <c r="G135" s="1">
        <f t="shared" si="31"/>
        <v>-62538.35366549278</v>
      </c>
      <c r="H135" s="1">
        <f t="shared" si="31"/>
        <v>-92878.01161177977</v>
      </c>
      <c r="I135" s="1">
        <f t="shared" si="31"/>
        <v>-130327.2801849093</v>
      </c>
      <c r="J135" s="1">
        <f t="shared" si="31"/>
        <v>-170836.62028180415</v>
      </c>
      <c r="K135" s="1">
        <f t="shared" si="31"/>
        <v>-219707.93509512435</v>
      </c>
      <c r="L135" s="1">
        <f t="shared" si="31"/>
        <v>-272544.13283976715</v>
      </c>
      <c r="M135" s="1">
        <f t="shared" si="31"/>
        <v>-296188.9901098509</v>
      </c>
      <c r="N135" s="1">
        <f t="shared" si="31"/>
        <v>-321284.72034280107</v>
      </c>
      <c r="O135" s="1">
        <f t="shared" si="31"/>
        <v>-347934.79924927955</v>
      </c>
      <c r="P135" s="1">
        <f t="shared" si="31"/>
        <v>-365489.7151288083</v>
      </c>
      <c r="Q135" s="1">
        <f t="shared" si="31"/>
        <v>-383756.2179895505</v>
      </c>
      <c r="R135" s="1">
        <f t="shared" si="31"/>
        <v>-402758.2560636734</v>
      </c>
      <c r="S135" s="1">
        <f t="shared" si="31"/>
        <v>-422520.16081677016</v>
      </c>
      <c r="T135" s="1">
        <f t="shared" si="31"/>
        <v>-443066.6091170582</v>
      </c>
      <c r="U135" s="1">
        <f t="shared" si="31"/>
        <v>-464422.5795235646</v>
      </c>
      <c r="V135" s="1">
        <f t="shared" si="31"/>
        <v>-486613.3021199845</v>
      </c>
      <c r="W135" s="1">
        <f t="shared" si="31"/>
        <v>-509664.20127268485</v>
      </c>
      <c r="X135" s="1">
        <f t="shared" si="31"/>
        <v>-533600.8306393318</v>
      </c>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row>
    <row r="136" spans="1:56" s="63" customFormat="1" ht="11.25">
      <c r="A136" s="1" t="s">
        <v>17</v>
      </c>
      <c r="B136" s="1"/>
      <c r="C136" s="1"/>
      <c r="D136" s="1"/>
      <c r="E136" s="1">
        <f aca="true" t="shared" si="32" ref="E136:X136">E133+E135</f>
        <v>25811.325315000024</v>
      </c>
      <c r="F136" s="1">
        <f t="shared" si="32"/>
        <v>103491.18374356815</v>
      </c>
      <c r="G136" s="1">
        <f t="shared" si="32"/>
        <v>187615.06099647834</v>
      </c>
      <c r="H136" s="1">
        <f t="shared" si="32"/>
        <v>278634.0348353393</v>
      </c>
      <c r="I136" s="1">
        <f t="shared" si="32"/>
        <v>390981.8405547279</v>
      </c>
      <c r="J136" s="1">
        <f t="shared" si="32"/>
        <v>512509.8608454125</v>
      </c>
      <c r="K136" s="1">
        <f t="shared" si="32"/>
        <v>659123.805285373</v>
      </c>
      <c r="L136" s="1">
        <f t="shared" si="32"/>
        <v>817632.3985193014</v>
      </c>
      <c r="M136" s="1">
        <f t="shared" si="32"/>
        <v>888566.9703295527</v>
      </c>
      <c r="N136" s="1">
        <f t="shared" si="32"/>
        <v>963854.1610284032</v>
      </c>
      <c r="O136" s="1">
        <f t="shared" si="32"/>
        <v>1043804.3977478386</v>
      </c>
      <c r="P136" s="1">
        <f t="shared" si="32"/>
        <v>1096469.1453864248</v>
      </c>
      <c r="Q136" s="1">
        <f t="shared" si="32"/>
        <v>1151268.6539686515</v>
      </c>
      <c r="R136" s="1">
        <f t="shared" si="32"/>
        <v>1208274.7681910202</v>
      </c>
      <c r="S136" s="1">
        <f t="shared" si="32"/>
        <v>1267560.4824503106</v>
      </c>
      <c r="T136" s="1">
        <f t="shared" si="32"/>
        <v>1329199.8273511748</v>
      </c>
      <c r="U136" s="1">
        <f t="shared" si="32"/>
        <v>1393267.7385706939</v>
      </c>
      <c r="V136" s="1">
        <f t="shared" si="32"/>
        <v>1459839.9063599536</v>
      </c>
      <c r="W136" s="1">
        <f t="shared" si="32"/>
        <v>1528992.6038180545</v>
      </c>
      <c r="X136" s="1">
        <f t="shared" si="32"/>
        <v>1600802.4919179955</v>
      </c>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row>
    <row r="138" spans="1:56" s="63" customFormat="1" ht="11.25">
      <c r="A138" s="6" t="s">
        <v>43</v>
      </c>
      <c r="B138" s="6"/>
      <c r="C138" s="7"/>
      <c r="D138" s="7"/>
      <c r="E138" s="7"/>
      <c r="F138" s="7"/>
      <c r="G138" s="7"/>
      <c r="H138" s="7"/>
      <c r="I138" s="7"/>
      <c r="J138" s="7"/>
      <c r="K138" s="7"/>
      <c r="L138" s="7"/>
      <c r="M138" s="7"/>
      <c r="N138" s="7"/>
      <c r="O138" s="7"/>
      <c r="P138" s="7"/>
      <c r="Q138" s="7"/>
      <c r="R138" s="7"/>
      <c r="S138" s="7"/>
      <c r="T138" s="7"/>
      <c r="U138" s="7"/>
      <c r="V138" s="7"/>
      <c r="W138" s="7"/>
      <c r="X138" s="7"/>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row>
    <row r="139" spans="1:56" s="63" customFormat="1" ht="11.25">
      <c r="A139" s="1"/>
      <c r="B139" s="1"/>
      <c r="C139" s="23">
        <f aca="true" t="shared" si="33" ref="C139:X139">C1</f>
        <v>2013</v>
      </c>
      <c r="D139" s="23">
        <f t="shared" si="33"/>
        <v>2014</v>
      </c>
      <c r="E139" s="23">
        <f t="shared" si="33"/>
        <v>2015</v>
      </c>
      <c r="F139" s="23">
        <f t="shared" si="33"/>
        <v>2016</v>
      </c>
      <c r="G139" s="23">
        <f t="shared" si="33"/>
        <v>2017</v>
      </c>
      <c r="H139" s="23">
        <f t="shared" si="33"/>
        <v>2018</v>
      </c>
      <c r="I139" s="23">
        <f t="shared" si="33"/>
        <v>2019</v>
      </c>
      <c r="J139" s="23">
        <f t="shared" si="33"/>
        <v>2020</v>
      </c>
      <c r="K139" s="23">
        <f t="shared" si="33"/>
        <v>2021</v>
      </c>
      <c r="L139" s="23">
        <f t="shared" si="33"/>
        <v>2022</v>
      </c>
      <c r="M139" s="23">
        <f t="shared" si="33"/>
        <v>2023</v>
      </c>
      <c r="N139" s="23">
        <f t="shared" si="33"/>
        <v>2024</v>
      </c>
      <c r="O139" s="23">
        <f t="shared" si="33"/>
        <v>2025</v>
      </c>
      <c r="P139" s="23">
        <f t="shared" si="33"/>
        <v>2026</v>
      </c>
      <c r="Q139" s="23">
        <f t="shared" si="33"/>
        <v>2027</v>
      </c>
      <c r="R139" s="23">
        <f t="shared" si="33"/>
        <v>2028</v>
      </c>
      <c r="S139" s="23">
        <f t="shared" si="33"/>
        <v>2029</v>
      </c>
      <c r="T139" s="23">
        <f t="shared" si="33"/>
        <v>2030</v>
      </c>
      <c r="U139" s="23">
        <f t="shared" si="33"/>
        <v>2031</v>
      </c>
      <c r="V139" s="23">
        <f t="shared" si="33"/>
        <v>2032</v>
      </c>
      <c r="W139" s="23">
        <f t="shared" si="33"/>
        <v>2033</v>
      </c>
      <c r="X139" s="23">
        <f t="shared" si="33"/>
        <v>2034</v>
      </c>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row>
    <row r="140" spans="1:56" s="63" customFormat="1" ht="12" thickBot="1">
      <c r="A140" s="4" t="s">
        <v>2</v>
      </c>
      <c r="B140" s="69" t="s">
        <v>21</v>
      </c>
      <c r="C140" s="22">
        <v>0</v>
      </c>
      <c r="D140" s="22">
        <v>1</v>
      </c>
      <c r="E140" s="22">
        <v>2</v>
      </c>
      <c r="F140" s="22">
        <v>3</v>
      </c>
      <c r="G140" s="22">
        <v>4</v>
      </c>
      <c r="H140" s="22">
        <v>5</v>
      </c>
      <c r="I140" s="22">
        <v>6</v>
      </c>
      <c r="J140" s="22">
        <v>7</v>
      </c>
      <c r="K140" s="22">
        <v>8</v>
      </c>
      <c r="L140" s="22">
        <v>9</v>
      </c>
      <c r="M140" s="22">
        <v>10</v>
      </c>
      <c r="N140" s="22">
        <v>11</v>
      </c>
      <c r="O140" s="22">
        <v>12</v>
      </c>
      <c r="P140" s="22">
        <v>13</v>
      </c>
      <c r="Q140" s="22">
        <v>14</v>
      </c>
      <c r="R140" s="22">
        <v>15</v>
      </c>
      <c r="S140" s="22">
        <v>16</v>
      </c>
      <c r="T140" s="22">
        <v>17</v>
      </c>
      <c r="U140" s="22">
        <v>18</v>
      </c>
      <c r="V140" s="22">
        <v>19</v>
      </c>
      <c r="W140" s="22">
        <v>20</v>
      </c>
      <c r="X140" s="22">
        <v>21</v>
      </c>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row>
    <row r="141" spans="1:56" s="63" customFormat="1" ht="12" thickTop="1">
      <c r="A141" s="8"/>
      <c r="B141" s="1"/>
      <c r="C141" s="1"/>
      <c r="D141" s="1"/>
      <c r="E141" s="1"/>
      <c r="F141" s="1"/>
      <c r="G141" s="1"/>
      <c r="H141" s="1"/>
      <c r="I141" s="1"/>
      <c r="J141" s="1"/>
      <c r="K141" s="1"/>
      <c r="L141" s="1"/>
      <c r="M141" s="1"/>
      <c r="N141" s="1"/>
      <c r="O141" s="1"/>
      <c r="P141" s="1"/>
      <c r="Q141" s="1"/>
      <c r="R141" s="1"/>
      <c r="S141" s="1"/>
      <c r="T141" s="1"/>
      <c r="U141" s="1"/>
      <c r="V141" s="1"/>
      <c r="W141" s="1"/>
      <c r="X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row>
    <row r="142" spans="1:56" s="63" customFormat="1" ht="11.25">
      <c r="A142" s="1" t="s">
        <v>33</v>
      </c>
      <c r="B142" s="8">
        <f aca="true" t="shared" si="34" ref="B142:B152">NPV($B$38,D142:X142)+C142</f>
        <v>7605255.22188615</v>
      </c>
      <c r="C142" s="1">
        <f>C127</f>
        <v>0</v>
      </c>
      <c r="D142" s="1">
        <f>D127</f>
        <v>0</v>
      </c>
      <c r="E142" s="1">
        <f>E127</f>
        <v>687629.25</v>
      </c>
      <c r="F142" s="1">
        <f aca="true" t="shared" si="35" ref="F142:X142">F127</f>
        <v>802234.125</v>
      </c>
      <c r="G142" s="1">
        <f t="shared" si="35"/>
        <v>926580.4143750002</v>
      </c>
      <c r="H142" s="1">
        <f t="shared" si="35"/>
        <v>1061355.747375</v>
      </c>
      <c r="I142" s="1">
        <f t="shared" si="35"/>
        <v>1230509.3196128907</v>
      </c>
      <c r="J142" s="1">
        <f t="shared" si="35"/>
        <v>1413924.8597061331</v>
      </c>
      <c r="K142" s="1">
        <f t="shared" si="35"/>
        <v>1638202.596073313</v>
      </c>
      <c r="L142" s="1">
        <f t="shared" si="35"/>
        <v>1881373.2939279452</v>
      </c>
      <c r="M142" s="1">
        <f t="shared" si="35"/>
        <v>1975441.9586243425</v>
      </c>
      <c r="N142" s="1">
        <f t="shared" si="35"/>
        <v>2074214.0565555599</v>
      </c>
      <c r="O142" s="1">
        <f t="shared" si="35"/>
        <v>2177924.7593833376</v>
      </c>
      <c r="P142" s="1">
        <f t="shared" si="35"/>
        <v>2286820.9973525046</v>
      </c>
      <c r="Q142" s="1">
        <f t="shared" si="35"/>
        <v>2401162.04722013</v>
      </c>
      <c r="R142" s="1">
        <f t="shared" si="35"/>
        <v>2521220.1495811366</v>
      </c>
      <c r="S142" s="1">
        <f t="shared" si="35"/>
        <v>2647281.1570601934</v>
      </c>
      <c r="T142" s="1">
        <f t="shared" si="35"/>
        <v>2779645.2149132034</v>
      </c>
      <c r="U142" s="1">
        <f t="shared" si="35"/>
        <v>2918627.475658864</v>
      </c>
      <c r="V142" s="1">
        <f t="shared" si="35"/>
        <v>3064558.849441807</v>
      </c>
      <c r="W142" s="1">
        <f t="shared" si="35"/>
        <v>3217786.7919138973</v>
      </c>
      <c r="X142" s="1">
        <f t="shared" si="35"/>
        <v>3378676.1315095923</v>
      </c>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row>
    <row r="143" spans="1:56" s="63" customFormat="1" ht="11.25">
      <c r="A143" s="1" t="s">
        <v>105</v>
      </c>
      <c r="B143" s="8">
        <f t="shared" si="34"/>
        <v>0</v>
      </c>
      <c r="C143" s="1">
        <v>0</v>
      </c>
      <c r="D143" s="1">
        <v>0</v>
      </c>
      <c r="E143" s="1">
        <v>0</v>
      </c>
      <c r="F143" s="1">
        <v>0</v>
      </c>
      <c r="G143" s="1">
        <v>0</v>
      </c>
      <c r="H143" s="1">
        <v>0</v>
      </c>
      <c r="I143" s="1">
        <v>0</v>
      </c>
      <c r="J143" s="1">
        <v>0</v>
      </c>
      <c r="K143" s="1">
        <v>0</v>
      </c>
      <c r="L143" s="1">
        <v>0</v>
      </c>
      <c r="M143" s="1">
        <v>0</v>
      </c>
      <c r="N143" s="1">
        <v>0</v>
      </c>
      <c r="O143" s="1">
        <v>0</v>
      </c>
      <c r="P143" s="1">
        <v>0</v>
      </c>
      <c r="Q143" s="1">
        <v>0</v>
      </c>
      <c r="R143" s="1">
        <v>0</v>
      </c>
      <c r="S143" s="1">
        <v>0</v>
      </c>
      <c r="T143" s="1">
        <v>0</v>
      </c>
      <c r="U143" s="1">
        <v>0</v>
      </c>
      <c r="V143" s="1">
        <v>0</v>
      </c>
      <c r="W143" s="1">
        <v>0</v>
      </c>
      <c r="X143" s="1">
        <v>0</v>
      </c>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row>
    <row r="144" spans="1:56" s="63" customFormat="1" ht="11.25">
      <c r="A144" s="1" t="s">
        <v>11</v>
      </c>
      <c r="B144" s="8">
        <f t="shared" si="34"/>
        <v>-2048064.476711163</v>
      </c>
      <c r="C144" s="1">
        <f>-C122</f>
        <v>0</v>
      </c>
      <c r="D144" s="1">
        <f>-D122</f>
        <v>0</v>
      </c>
      <c r="E144" s="1">
        <f>-E122</f>
        <v>-186164.2902</v>
      </c>
      <c r="F144" s="1">
        <f aca="true" t="shared" si="36" ref="F144:X144">-F122</f>
        <v>-213792.17757500004</v>
      </c>
      <c r="G144" s="1">
        <f t="shared" si="36"/>
        <v>-244229.06992052007</v>
      </c>
      <c r="H144" s="1">
        <f t="shared" si="36"/>
        <v>-277727.1210405454</v>
      </c>
      <c r="I144" s="1">
        <f t="shared" si="36"/>
        <v>-319173.1038816087</v>
      </c>
      <c r="J144" s="1">
        <f t="shared" si="36"/>
        <v>-364849.7169725315</v>
      </c>
      <c r="K144" s="1">
        <f t="shared" si="36"/>
        <v>-420370.4708102163</v>
      </c>
      <c r="L144" s="1">
        <f t="shared" si="36"/>
        <v>-481597.48208244186</v>
      </c>
      <c r="M144" s="1">
        <f t="shared" si="36"/>
        <v>-513427.9325342849</v>
      </c>
      <c r="N144" s="1">
        <f t="shared" si="36"/>
        <v>-547392.4458530605</v>
      </c>
      <c r="O144" s="1">
        <f t="shared" si="36"/>
        <v>-583635.7030062191</v>
      </c>
      <c r="P144" s="1">
        <f t="shared" si="36"/>
        <v>-622312.2774572712</v>
      </c>
      <c r="Q144" s="1">
        <f t="shared" si="36"/>
        <v>-663587.3158819277</v>
      </c>
      <c r="R144" s="1">
        <f t="shared" si="36"/>
        <v>-707637.2659464426</v>
      </c>
      <c r="S144" s="1">
        <f t="shared" si="36"/>
        <v>-754650.6544131124</v>
      </c>
      <c r="T144" s="1">
        <f t="shared" si="36"/>
        <v>-804828.9190649702</v>
      </c>
      <c r="U144" s="1">
        <f t="shared" si="36"/>
        <v>-858387.2981846051</v>
      </c>
      <c r="V144" s="1">
        <f t="shared" si="36"/>
        <v>-915555.7815818687</v>
      </c>
      <c r="W144" s="1">
        <f t="shared" si="36"/>
        <v>-976580.1274431578</v>
      </c>
      <c r="X144" s="1">
        <f t="shared" si="36"/>
        <v>-1041722.949572265</v>
      </c>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row>
    <row r="145" spans="1:56" s="63" customFormat="1" ht="11.25">
      <c r="A145" s="1" t="s">
        <v>16</v>
      </c>
      <c r="B145" s="8">
        <f t="shared" si="34"/>
        <v>-917098.9636024837</v>
      </c>
      <c r="C145" s="1">
        <f>C135</f>
        <v>0</v>
      </c>
      <c r="D145" s="1">
        <f>D135</f>
        <v>0</v>
      </c>
      <c r="E145" s="1">
        <f>E135</f>
        <v>-8603.775105000008</v>
      </c>
      <c r="F145" s="1">
        <f aca="true" t="shared" si="37" ref="F145:X145">F135</f>
        <v>-34497.06124785605</v>
      </c>
      <c r="G145" s="1">
        <f t="shared" si="37"/>
        <v>-62538.35366549278</v>
      </c>
      <c r="H145" s="1">
        <f t="shared" si="37"/>
        <v>-92878.01161177977</v>
      </c>
      <c r="I145" s="1">
        <f t="shared" si="37"/>
        <v>-130327.2801849093</v>
      </c>
      <c r="J145" s="1">
        <f t="shared" si="37"/>
        <v>-170836.62028180415</v>
      </c>
      <c r="K145" s="1">
        <f t="shared" si="37"/>
        <v>-219707.93509512435</v>
      </c>
      <c r="L145" s="1">
        <f t="shared" si="37"/>
        <v>-272544.13283976715</v>
      </c>
      <c r="M145" s="1">
        <f t="shared" si="37"/>
        <v>-296188.9901098509</v>
      </c>
      <c r="N145" s="1">
        <f t="shared" si="37"/>
        <v>-321284.72034280107</v>
      </c>
      <c r="O145" s="1">
        <f t="shared" si="37"/>
        <v>-347934.79924927955</v>
      </c>
      <c r="P145" s="1">
        <f t="shared" si="37"/>
        <v>-365489.7151288083</v>
      </c>
      <c r="Q145" s="1">
        <f t="shared" si="37"/>
        <v>-383756.2179895505</v>
      </c>
      <c r="R145" s="1">
        <f t="shared" si="37"/>
        <v>-402758.2560636734</v>
      </c>
      <c r="S145" s="1">
        <f t="shared" si="37"/>
        <v>-422520.16081677016</v>
      </c>
      <c r="T145" s="1">
        <f t="shared" si="37"/>
        <v>-443066.6091170582</v>
      </c>
      <c r="U145" s="1">
        <f t="shared" si="37"/>
        <v>-464422.5795235646</v>
      </c>
      <c r="V145" s="1">
        <f t="shared" si="37"/>
        <v>-486613.3021199845</v>
      </c>
      <c r="W145" s="1">
        <f t="shared" si="37"/>
        <v>-509664.20127268485</v>
      </c>
      <c r="X145" s="1">
        <f t="shared" si="37"/>
        <v>-533600.8306393318</v>
      </c>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row>
    <row r="146" spans="1:56" s="63" customFormat="1" ht="11.25">
      <c r="A146" s="1" t="s">
        <v>38</v>
      </c>
      <c r="B146" s="8">
        <f t="shared" si="34"/>
        <v>-3692542.378148148</v>
      </c>
      <c r="C146" s="1">
        <f>SUM(C147:C151)</f>
        <v>-1388848.23</v>
      </c>
      <c r="D146" s="1">
        <f>SUM(D147:D151)</f>
        <v>-2662148.9576000003</v>
      </c>
      <c r="E146" s="1">
        <f aca="true" t="shared" si="38" ref="E146:X146">SUM(E147:E151)</f>
        <v>0</v>
      </c>
      <c r="F146" s="1">
        <f t="shared" si="38"/>
        <v>0</v>
      </c>
      <c r="G146" s="1">
        <f t="shared" si="38"/>
        <v>0</v>
      </c>
      <c r="H146" s="1">
        <f t="shared" si="38"/>
        <v>0</v>
      </c>
      <c r="I146" s="1">
        <f t="shared" si="38"/>
        <v>0</v>
      </c>
      <c r="J146" s="1">
        <f t="shared" si="38"/>
        <v>0</v>
      </c>
      <c r="K146" s="1">
        <f t="shared" si="38"/>
        <v>0</v>
      </c>
      <c r="L146" s="1">
        <f t="shared" si="38"/>
        <v>0</v>
      </c>
      <c r="M146" s="1">
        <f t="shared" si="38"/>
        <v>0</v>
      </c>
      <c r="N146" s="1">
        <f t="shared" si="38"/>
        <v>0</v>
      </c>
      <c r="O146" s="1">
        <f t="shared" si="38"/>
        <v>0</v>
      </c>
      <c r="P146" s="1">
        <f t="shared" si="38"/>
        <v>0</v>
      </c>
      <c r="Q146" s="1">
        <f t="shared" si="38"/>
        <v>0</v>
      </c>
      <c r="R146" s="1">
        <f t="shared" si="38"/>
        <v>0</v>
      </c>
      <c r="S146" s="1">
        <f t="shared" si="38"/>
        <v>0</v>
      </c>
      <c r="T146" s="1">
        <f t="shared" si="38"/>
        <v>0</v>
      </c>
      <c r="U146" s="1">
        <f t="shared" si="38"/>
        <v>0</v>
      </c>
      <c r="V146" s="1">
        <f t="shared" si="38"/>
        <v>0</v>
      </c>
      <c r="W146" s="1">
        <f t="shared" si="38"/>
        <v>0</v>
      </c>
      <c r="X146" s="1">
        <f t="shared" si="38"/>
        <v>0</v>
      </c>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row>
    <row r="147" spans="1:56" s="63" customFormat="1" ht="11.25">
      <c r="A147" s="15" t="s">
        <v>52</v>
      </c>
      <c r="B147" s="8">
        <f t="shared" si="34"/>
        <v>-501492.98962962965</v>
      </c>
      <c r="C147" s="1">
        <f>-C70</f>
        <v>-282611.61000000004</v>
      </c>
      <c r="D147" s="1">
        <f>-D70</f>
        <v>-252939.3223</v>
      </c>
      <c r="E147" s="1">
        <f aca="true" t="shared" si="39" ref="E147:X147">-E70</f>
        <v>0</v>
      </c>
      <c r="F147" s="1">
        <f t="shared" si="39"/>
        <v>0</v>
      </c>
      <c r="G147" s="1">
        <f t="shared" si="39"/>
        <v>0</v>
      </c>
      <c r="H147" s="1">
        <f t="shared" si="39"/>
        <v>0</v>
      </c>
      <c r="I147" s="1">
        <f t="shared" si="39"/>
        <v>0</v>
      </c>
      <c r="J147" s="1">
        <f t="shared" si="39"/>
        <v>0</v>
      </c>
      <c r="K147" s="1">
        <f t="shared" si="39"/>
        <v>0</v>
      </c>
      <c r="L147" s="1">
        <f t="shared" si="39"/>
        <v>0</v>
      </c>
      <c r="M147" s="1">
        <f t="shared" si="39"/>
        <v>0</v>
      </c>
      <c r="N147" s="1">
        <f t="shared" si="39"/>
        <v>0</v>
      </c>
      <c r="O147" s="1">
        <f t="shared" si="39"/>
        <v>0</v>
      </c>
      <c r="P147" s="1">
        <f t="shared" si="39"/>
        <v>0</v>
      </c>
      <c r="Q147" s="1">
        <f t="shared" si="39"/>
        <v>0</v>
      </c>
      <c r="R147" s="1">
        <f t="shared" si="39"/>
        <v>0</v>
      </c>
      <c r="S147" s="1">
        <f t="shared" si="39"/>
        <v>0</v>
      </c>
      <c r="T147" s="1">
        <f t="shared" si="39"/>
        <v>0</v>
      </c>
      <c r="U147" s="1">
        <f t="shared" si="39"/>
        <v>0</v>
      </c>
      <c r="V147" s="1">
        <f t="shared" si="39"/>
        <v>0</v>
      </c>
      <c r="W147" s="1">
        <f t="shared" si="39"/>
        <v>0</v>
      </c>
      <c r="X147" s="1">
        <f t="shared" si="39"/>
        <v>0</v>
      </c>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row>
    <row r="148" spans="1:56" s="63" customFormat="1" ht="11.25">
      <c r="A148" s="15" t="s">
        <v>50</v>
      </c>
      <c r="B148" s="8">
        <f t="shared" si="34"/>
        <v>-1278154.154074074</v>
      </c>
      <c r="C148" s="1">
        <f>-C71</f>
        <v>-462875.58</v>
      </c>
      <c r="D148" s="1">
        <f aca="true" t="shared" si="40" ref="D148:X150">-D71</f>
        <v>-942135.9202</v>
      </c>
      <c r="E148" s="1">
        <f t="shared" si="40"/>
        <v>0</v>
      </c>
      <c r="F148" s="1">
        <f t="shared" si="40"/>
        <v>0</v>
      </c>
      <c r="G148" s="1">
        <f t="shared" si="40"/>
        <v>0</v>
      </c>
      <c r="H148" s="1">
        <f t="shared" si="40"/>
        <v>0</v>
      </c>
      <c r="I148" s="1">
        <f t="shared" si="40"/>
        <v>0</v>
      </c>
      <c r="J148" s="1">
        <f t="shared" si="40"/>
        <v>0</v>
      </c>
      <c r="K148" s="1">
        <f t="shared" si="40"/>
        <v>0</v>
      </c>
      <c r="L148" s="1">
        <f t="shared" si="40"/>
        <v>0</v>
      </c>
      <c r="M148" s="1">
        <f t="shared" si="40"/>
        <v>0</v>
      </c>
      <c r="N148" s="1">
        <f t="shared" si="40"/>
        <v>0</v>
      </c>
      <c r="O148" s="1">
        <f t="shared" si="40"/>
        <v>0</v>
      </c>
      <c r="P148" s="1">
        <f t="shared" si="40"/>
        <v>0</v>
      </c>
      <c r="Q148" s="1">
        <f t="shared" si="40"/>
        <v>0</v>
      </c>
      <c r="R148" s="1">
        <f t="shared" si="40"/>
        <v>0</v>
      </c>
      <c r="S148" s="1">
        <f t="shared" si="40"/>
        <v>0</v>
      </c>
      <c r="T148" s="1">
        <f t="shared" si="40"/>
        <v>0</v>
      </c>
      <c r="U148" s="1">
        <f t="shared" si="40"/>
        <v>0</v>
      </c>
      <c r="V148" s="1">
        <f t="shared" si="40"/>
        <v>0</v>
      </c>
      <c r="W148" s="1">
        <f t="shared" si="40"/>
        <v>0</v>
      </c>
      <c r="X148" s="1">
        <f t="shared" si="40"/>
        <v>0</v>
      </c>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row>
    <row r="149" spans="1:56" s="63" customFormat="1" ht="11.25">
      <c r="A149" s="15" t="s">
        <v>47</v>
      </c>
      <c r="B149" s="8">
        <f t="shared" si="34"/>
        <v>-1380417.818888889</v>
      </c>
      <c r="C149" s="1">
        <f>-C72</f>
        <v>-432974.43</v>
      </c>
      <c r="D149" s="1">
        <f t="shared" si="40"/>
        <v>-1094865.5802000002</v>
      </c>
      <c r="E149" s="1">
        <f t="shared" si="40"/>
        <v>0</v>
      </c>
      <c r="F149" s="1">
        <f t="shared" si="40"/>
        <v>0</v>
      </c>
      <c r="G149" s="1">
        <f t="shared" si="40"/>
        <v>0</v>
      </c>
      <c r="H149" s="1">
        <f t="shared" si="40"/>
        <v>0</v>
      </c>
      <c r="I149" s="1">
        <f t="shared" si="40"/>
        <v>0</v>
      </c>
      <c r="J149" s="1">
        <f t="shared" si="40"/>
        <v>0</v>
      </c>
      <c r="K149" s="1">
        <f t="shared" si="40"/>
        <v>0</v>
      </c>
      <c r="L149" s="1">
        <f t="shared" si="40"/>
        <v>0</v>
      </c>
      <c r="M149" s="1">
        <f t="shared" si="40"/>
        <v>0</v>
      </c>
      <c r="N149" s="1">
        <f t="shared" si="40"/>
        <v>0</v>
      </c>
      <c r="O149" s="1">
        <f t="shared" si="40"/>
        <v>0</v>
      </c>
      <c r="P149" s="1">
        <f t="shared" si="40"/>
        <v>0</v>
      </c>
      <c r="Q149" s="1">
        <f t="shared" si="40"/>
        <v>0</v>
      </c>
      <c r="R149" s="1">
        <f t="shared" si="40"/>
        <v>0</v>
      </c>
      <c r="S149" s="1">
        <f t="shared" si="40"/>
        <v>0</v>
      </c>
      <c r="T149" s="1">
        <f t="shared" si="40"/>
        <v>0</v>
      </c>
      <c r="U149" s="1">
        <f t="shared" si="40"/>
        <v>0</v>
      </c>
      <c r="V149" s="1">
        <f t="shared" si="40"/>
        <v>0</v>
      </c>
      <c r="W149" s="1">
        <f t="shared" si="40"/>
        <v>0</v>
      </c>
      <c r="X149" s="1">
        <f t="shared" si="40"/>
        <v>0</v>
      </c>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row>
    <row r="150" spans="1:56" s="63" customFormat="1" ht="11.25">
      <c r="A150" s="15" t="s">
        <v>53</v>
      </c>
      <c r="B150" s="8">
        <f t="shared" si="34"/>
        <v>-465830.56333333335</v>
      </c>
      <c r="C150" s="1">
        <f>-C73</f>
        <v>-181085.73</v>
      </c>
      <c r="D150" s="1">
        <f t="shared" si="40"/>
        <v>-329051.12940000003</v>
      </c>
      <c r="E150" s="1">
        <f t="shared" si="40"/>
        <v>0</v>
      </c>
      <c r="F150" s="1">
        <f t="shared" si="40"/>
        <v>0</v>
      </c>
      <c r="G150" s="1">
        <f t="shared" si="40"/>
        <v>0</v>
      </c>
      <c r="H150" s="1">
        <f t="shared" si="40"/>
        <v>0</v>
      </c>
      <c r="I150" s="1">
        <f t="shared" si="40"/>
        <v>0</v>
      </c>
      <c r="J150" s="1">
        <f t="shared" si="40"/>
        <v>0</v>
      </c>
      <c r="K150" s="1">
        <f t="shared" si="40"/>
        <v>0</v>
      </c>
      <c r="L150" s="1">
        <f t="shared" si="40"/>
        <v>0</v>
      </c>
      <c r="M150" s="1">
        <f t="shared" si="40"/>
        <v>0</v>
      </c>
      <c r="N150" s="1">
        <f t="shared" si="40"/>
        <v>0</v>
      </c>
      <c r="O150" s="1">
        <f t="shared" si="40"/>
        <v>0</v>
      </c>
      <c r="P150" s="1">
        <f t="shared" si="40"/>
        <v>0</v>
      </c>
      <c r="Q150" s="1">
        <f t="shared" si="40"/>
        <v>0</v>
      </c>
      <c r="R150" s="1">
        <f t="shared" si="40"/>
        <v>0</v>
      </c>
      <c r="S150" s="1">
        <f t="shared" si="40"/>
        <v>0</v>
      </c>
      <c r="T150" s="1">
        <f t="shared" si="40"/>
        <v>0</v>
      </c>
      <c r="U150" s="1">
        <f t="shared" si="40"/>
        <v>0</v>
      </c>
      <c r="V150" s="1">
        <f t="shared" si="40"/>
        <v>0</v>
      </c>
      <c r="W150" s="1">
        <f t="shared" si="40"/>
        <v>0</v>
      </c>
      <c r="X150" s="1">
        <f t="shared" si="40"/>
        <v>0</v>
      </c>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row>
    <row r="151" spans="1:56" s="63" customFormat="1" ht="11.25">
      <c r="A151" s="15" t="s">
        <v>158</v>
      </c>
      <c r="B151" s="8">
        <f t="shared" si="34"/>
        <v>-66646.85222222222</v>
      </c>
      <c r="C151" s="1">
        <f>-C74</f>
        <v>-29300.88</v>
      </c>
      <c r="D151" s="1">
        <f>-D74</f>
        <v>-43157.00550000001</v>
      </c>
      <c r="E151" s="1">
        <f aca="true" t="shared" si="41" ref="E151:X151">-E75</f>
        <v>0</v>
      </c>
      <c r="F151" s="1">
        <f t="shared" si="41"/>
        <v>0</v>
      </c>
      <c r="G151" s="1">
        <f t="shared" si="41"/>
        <v>0</v>
      </c>
      <c r="H151" s="1">
        <f t="shared" si="41"/>
        <v>0</v>
      </c>
      <c r="I151" s="1">
        <f t="shared" si="41"/>
        <v>0</v>
      </c>
      <c r="J151" s="1">
        <f t="shared" si="41"/>
        <v>0</v>
      </c>
      <c r="K151" s="1">
        <f t="shared" si="41"/>
        <v>0</v>
      </c>
      <c r="L151" s="1">
        <f t="shared" si="41"/>
        <v>0</v>
      </c>
      <c r="M151" s="1">
        <f t="shared" si="41"/>
        <v>0</v>
      </c>
      <c r="N151" s="1">
        <f t="shared" si="41"/>
        <v>0</v>
      </c>
      <c r="O151" s="1">
        <f t="shared" si="41"/>
        <v>0</v>
      </c>
      <c r="P151" s="1">
        <f t="shared" si="41"/>
        <v>0</v>
      </c>
      <c r="Q151" s="1">
        <f t="shared" si="41"/>
        <v>0</v>
      </c>
      <c r="R151" s="1">
        <f t="shared" si="41"/>
        <v>0</v>
      </c>
      <c r="S151" s="1">
        <f t="shared" si="41"/>
        <v>0</v>
      </c>
      <c r="T151" s="1">
        <f t="shared" si="41"/>
        <v>0</v>
      </c>
      <c r="U151" s="1">
        <f t="shared" si="41"/>
        <v>0</v>
      </c>
      <c r="V151" s="1">
        <f t="shared" si="41"/>
        <v>0</v>
      </c>
      <c r="W151" s="1">
        <f t="shared" si="41"/>
        <v>0</v>
      </c>
      <c r="X151" s="1">
        <f t="shared" si="41"/>
        <v>0</v>
      </c>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row>
    <row r="152" spans="1:56" s="63" customFormat="1" ht="11.25">
      <c r="A152" s="1" t="s">
        <v>37</v>
      </c>
      <c r="B152" s="8">
        <f t="shared" si="34"/>
        <v>-6657705.818461796</v>
      </c>
      <c r="C152" s="1">
        <f>C144+C145+C146</f>
        <v>-1388848.23</v>
      </c>
      <c r="D152" s="1">
        <f>D144+D145+D146</f>
        <v>-2662148.9576000003</v>
      </c>
      <c r="E152" s="1">
        <f>E144+E145+E146</f>
        <v>-194768.065305</v>
      </c>
      <c r="F152" s="1">
        <f aca="true" t="shared" si="42" ref="F152:X152">F144+F145+F146</f>
        <v>-248289.2388228561</v>
      </c>
      <c r="G152" s="1">
        <f t="shared" si="42"/>
        <v>-306767.42358601285</v>
      </c>
      <c r="H152" s="1">
        <f t="shared" si="42"/>
        <v>-370605.1326523252</v>
      </c>
      <c r="I152" s="1">
        <f t="shared" si="42"/>
        <v>-449500.384066518</v>
      </c>
      <c r="J152" s="1">
        <f t="shared" si="42"/>
        <v>-535686.3372543356</v>
      </c>
      <c r="K152" s="1">
        <f t="shared" si="42"/>
        <v>-640078.4059053407</v>
      </c>
      <c r="L152" s="1">
        <f t="shared" si="42"/>
        <v>-754141.614922209</v>
      </c>
      <c r="M152" s="1">
        <f t="shared" si="42"/>
        <v>-809616.9226441358</v>
      </c>
      <c r="N152" s="1">
        <f t="shared" si="42"/>
        <v>-868677.1661958615</v>
      </c>
      <c r="O152" s="1">
        <f t="shared" si="42"/>
        <v>-931570.5022554987</v>
      </c>
      <c r="P152" s="1">
        <f t="shared" si="42"/>
        <v>-987801.9925860795</v>
      </c>
      <c r="Q152" s="1">
        <f t="shared" si="42"/>
        <v>-1047343.5338714782</v>
      </c>
      <c r="R152" s="1">
        <f t="shared" si="42"/>
        <v>-1110395.522010116</v>
      </c>
      <c r="S152" s="1">
        <f t="shared" si="42"/>
        <v>-1177170.8152298825</v>
      </c>
      <c r="T152" s="1">
        <f t="shared" si="42"/>
        <v>-1247895.5281820283</v>
      </c>
      <c r="U152" s="1">
        <f t="shared" si="42"/>
        <v>-1322809.8777081696</v>
      </c>
      <c r="V152" s="1">
        <f t="shared" si="42"/>
        <v>-1402169.0837018532</v>
      </c>
      <c r="W152" s="1">
        <f t="shared" si="42"/>
        <v>-1486244.3287158427</v>
      </c>
      <c r="X152" s="1">
        <f t="shared" si="42"/>
        <v>-1575323.7802115967</v>
      </c>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row>
    <row r="153" spans="1:56" s="63" customFormat="1" ht="11.25">
      <c r="A153" s="2" t="s">
        <v>18</v>
      </c>
      <c r="B153" s="48">
        <f>NPV($B$38,D153:X153)+C153</f>
        <v>947549.4034243515</v>
      </c>
      <c r="C153" s="1">
        <f>C142+C143+C152</f>
        <v>-1388848.23</v>
      </c>
      <c r="D153" s="1">
        <f aca="true" t="shared" si="43" ref="D153:X153">D142+D143+D152</f>
        <v>-2662148.9576000003</v>
      </c>
      <c r="E153" s="1">
        <f t="shared" si="43"/>
        <v>492861.184695</v>
      </c>
      <c r="F153" s="1">
        <f t="shared" si="43"/>
        <v>553944.8861771439</v>
      </c>
      <c r="G153" s="1">
        <f t="shared" si="43"/>
        <v>619812.9907889874</v>
      </c>
      <c r="H153" s="1">
        <f t="shared" si="43"/>
        <v>690750.6147226748</v>
      </c>
      <c r="I153" s="1">
        <f t="shared" si="43"/>
        <v>781008.9355463728</v>
      </c>
      <c r="J153" s="1">
        <f t="shared" si="43"/>
        <v>878238.5224517975</v>
      </c>
      <c r="K153" s="1">
        <f t="shared" si="43"/>
        <v>998124.1901679722</v>
      </c>
      <c r="L153" s="1">
        <f t="shared" si="43"/>
        <v>1127231.6790057363</v>
      </c>
      <c r="M153" s="1">
        <f t="shared" si="43"/>
        <v>1165825.0359802067</v>
      </c>
      <c r="N153" s="1">
        <f t="shared" si="43"/>
        <v>1205536.8903596983</v>
      </c>
      <c r="O153" s="1">
        <f t="shared" si="43"/>
        <v>1246354.257127839</v>
      </c>
      <c r="P153" s="1">
        <f t="shared" si="43"/>
        <v>1299019.0047664251</v>
      </c>
      <c r="Q153" s="1">
        <f t="shared" si="43"/>
        <v>1353818.5133486518</v>
      </c>
      <c r="R153" s="1">
        <f t="shared" si="43"/>
        <v>1410824.6275710207</v>
      </c>
      <c r="S153" s="1">
        <f t="shared" si="43"/>
        <v>1470110.3418303109</v>
      </c>
      <c r="T153" s="1">
        <f t="shared" si="43"/>
        <v>1531749.686731175</v>
      </c>
      <c r="U153" s="1">
        <f t="shared" si="43"/>
        <v>1595817.5979506942</v>
      </c>
      <c r="V153" s="1">
        <f t="shared" si="43"/>
        <v>1662389.7657399536</v>
      </c>
      <c r="W153" s="1">
        <f t="shared" si="43"/>
        <v>1731542.4631980546</v>
      </c>
      <c r="X153" s="1">
        <f t="shared" si="43"/>
        <v>1803352.3512979955</v>
      </c>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row>
    <row r="154" spans="1:56" s="63" customFormat="1" ht="11.25">
      <c r="A154" s="29" t="s">
        <v>24</v>
      </c>
      <c r="B154" s="17">
        <f>IRR(C153:X153,10%)</f>
        <v>0.18848255469802325</v>
      </c>
      <c r="C154" s="1"/>
      <c r="D154" s="1"/>
      <c r="E154" s="1"/>
      <c r="F154" s="1"/>
      <c r="G154" s="1"/>
      <c r="H154" s="1"/>
      <c r="I154" s="1"/>
      <c r="J154" s="1"/>
      <c r="K154" s="1"/>
      <c r="L154" s="1"/>
      <c r="M154" s="1"/>
      <c r="N154" s="1"/>
      <c r="O154" s="1"/>
      <c r="P154" s="1"/>
      <c r="Q154" s="1"/>
      <c r="R154" s="1"/>
      <c r="S154" s="1"/>
      <c r="T154" s="1"/>
      <c r="U154" s="1"/>
      <c r="V154" s="1"/>
      <c r="W154" s="1"/>
      <c r="X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row>
    <row r="155" spans="1:56" s="63" customFormat="1" ht="11.25">
      <c r="A155" s="29" t="s">
        <v>25</v>
      </c>
      <c r="B155" s="56">
        <f>(1+B154)/(1+$B$5)-1</f>
        <v>0.11073135953086277</v>
      </c>
      <c r="C155" s="1"/>
      <c r="D155" s="1"/>
      <c r="E155" s="1"/>
      <c r="F155" s="1"/>
      <c r="G155" s="1"/>
      <c r="H155" s="1"/>
      <c r="I155" s="1"/>
      <c r="J155" s="1"/>
      <c r="K155" s="1"/>
      <c r="L155" s="1"/>
      <c r="M155" s="1"/>
      <c r="N155" s="1"/>
      <c r="O155" s="1"/>
      <c r="P155" s="1"/>
      <c r="Q155" s="1"/>
      <c r="R155" s="1"/>
      <c r="S155" s="1"/>
      <c r="T155" s="1"/>
      <c r="U155" s="1"/>
      <c r="V155" s="1"/>
      <c r="W155" s="1"/>
      <c r="X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row>
    <row r="157" spans="1:56" s="63" customFormat="1" ht="11.25">
      <c r="A157" s="1" t="s">
        <v>39</v>
      </c>
      <c r="B157" s="1"/>
      <c r="C157" s="1">
        <f>-C106</f>
        <v>0</v>
      </c>
      <c r="D157" s="1">
        <f aca="true" t="shared" si="44" ref="D157:X157">-D106</f>
        <v>-2300000</v>
      </c>
      <c r="E157" s="1">
        <f t="shared" si="44"/>
        <v>408814.40822977654</v>
      </c>
      <c r="F157" s="1">
        <f t="shared" si="44"/>
        <v>406649.69210632984</v>
      </c>
      <c r="G157" s="1">
        <f t="shared" si="44"/>
        <v>404268.5043705386</v>
      </c>
      <c r="H157" s="1">
        <f t="shared" si="44"/>
        <v>401649.1978611682</v>
      </c>
      <c r="I157" s="1">
        <f t="shared" si="44"/>
        <v>398767.9607008607</v>
      </c>
      <c r="J157" s="1">
        <f t="shared" si="44"/>
        <v>395598.59982452245</v>
      </c>
      <c r="K157" s="1">
        <f t="shared" si="44"/>
        <v>392112.3028605504</v>
      </c>
      <c r="L157" s="1">
        <f t="shared" si="44"/>
        <v>388277.37620018114</v>
      </c>
      <c r="M157" s="1">
        <f t="shared" si="44"/>
        <v>384058.956873775</v>
      </c>
      <c r="N157" s="1">
        <f t="shared" si="44"/>
        <v>379418.69561472815</v>
      </c>
      <c r="O157" s="1">
        <f t="shared" si="44"/>
        <v>1.673470251262188E-10</v>
      </c>
      <c r="P157" s="1">
        <f t="shared" si="44"/>
        <v>1.673470251262188E-10</v>
      </c>
      <c r="Q157" s="1">
        <f t="shared" si="44"/>
        <v>1.673470251262188E-10</v>
      </c>
      <c r="R157" s="1">
        <f t="shared" si="44"/>
        <v>1.673470251262188E-10</v>
      </c>
      <c r="S157" s="1">
        <f t="shared" si="44"/>
        <v>1.673470251262188E-10</v>
      </c>
      <c r="T157" s="1">
        <f t="shared" si="44"/>
        <v>1.673470251262188E-10</v>
      </c>
      <c r="U157" s="1">
        <f t="shared" si="44"/>
        <v>1.673470251262188E-10</v>
      </c>
      <c r="V157" s="1">
        <f t="shared" si="44"/>
        <v>1.673470251262188E-10</v>
      </c>
      <c r="W157" s="1">
        <f t="shared" si="44"/>
        <v>1.673470251262188E-10</v>
      </c>
      <c r="X157" s="1">
        <f t="shared" si="44"/>
        <v>1.673470251262188E-10</v>
      </c>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row>
    <row r="158" spans="1:56" s="63" customFormat="1" ht="11.25">
      <c r="A158" s="16" t="s">
        <v>24</v>
      </c>
      <c r="B158" s="13">
        <f>IRR(C157:X157,10%)</f>
        <v>0.11499999999999999</v>
      </c>
      <c r="C158" s="1"/>
      <c r="D158" s="1"/>
      <c r="E158" s="1"/>
      <c r="F158" s="1"/>
      <c r="G158" s="1"/>
      <c r="H158" s="1"/>
      <c r="I158" s="1"/>
      <c r="J158" s="1"/>
      <c r="K158" s="1"/>
      <c r="L158" s="1"/>
      <c r="M158" s="1"/>
      <c r="N158" s="1"/>
      <c r="O158" s="1"/>
      <c r="P158" s="1"/>
      <c r="Q158" s="1"/>
      <c r="R158" s="1"/>
      <c r="S158" s="1"/>
      <c r="T158" s="1"/>
      <c r="U158" s="1"/>
      <c r="V158" s="1"/>
      <c r="W158" s="1"/>
      <c r="X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row>
    <row r="159" spans="1:56" s="63" customFormat="1" ht="11.25">
      <c r="A159" s="16" t="s">
        <v>25</v>
      </c>
      <c r="B159" s="13">
        <f>(1+B158)/(1+$B$5)-1</f>
        <v>0.04205607476635498</v>
      </c>
      <c r="C159" s="1"/>
      <c r="D159" s="1"/>
      <c r="E159" s="1"/>
      <c r="F159" s="1"/>
      <c r="G159" s="1"/>
      <c r="H159" s="1"/>
      <c r="I159" s="1"/>
      <c r="J159" s="1"/>
      <c r="K159" s="1"/>
      <c r="L159" s="1"/>
      <c r="M159" s="1"/>
      <c r="N159" s="1"/>
      <c r="O159" s="1"/>
      <c r="P159" s="1"/>
      <c r="Q159" s="1"/>
      <c r="R159" s="1"/>
      <c r="S159" s="1"/>
      <c r="T159" s="1"/>
      <c r="U159" s="1"/>
      <c r="V159" s="1"/>
      <c r="W159" s="1"/>
      <c r="X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row>
    <row r="160" spans="1:56" s="63" customFormat="1" ht="11.25">
      <c r="A160" s="16"/>
      <c r="B160" s="1"/>
      <c r="C160" s="1"/>
      <c r="D160" s="1"/>
      <c r="E160" s="1"/>
      <c r="F160" s="1"/>
      <c r="G160" s="1"/>
      <c r="H160" s="1"/>
      <c r="I160" s="1"/>
      <c r="J160" s="1"/>
      <c r="K160" s="1"/>
      <c r="L160" s="1"/>
      <c r="M160" s="1"/>
      <c r="N160" s="1"/>
      <c r="O160" s="1"/>
      <c r="P160" s="1"/>
      <c r="Q160" s="1"/>
      <c r="R160" s="1"/>
      <c r="S160" s="1"/>
      <c r="T160" s="1"/>
      <c r="U160" s="1"/>
      <c r="V160" s="1"/>
      <c r="W160" s="1"/>
      <c r="X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row>
    <row r="161" spans="1:56" s="63" customFormat="1" ht="11.25">
      <c r="A161" s="2" t="s">
        <v>22</v>
      </c>
      <c r="B161" s="48">
        <f>NPV($B$40,D161:X161)+C161</f>
        <v>116349.43122713012</v>
      </c>
      <c r="C161" s="1">
        <f>C153-C157</f>
        <v>-1388848.23</v>
      </c>
      <c r="D161" s="1">
        <f>D153-D157</f>
        <v>-362148.9576000003</v>
      </c>
      <c r="E161" s="1">
        <f aca="true" t="shared" si="45" ref="E161:X161">E153-E157</f>
        <v>84046.77646522346</v>
      </c>
      <c r="F161" s="1">
        <f t="shared" si="45"/>
        <v>147295.19407081406</v>
      </c>
      <c r="G161" s="1">
        <f t="shared" si="45"/>
        <v>215544.4864184488</v>
      </c>
      <c r="H161" s="1">
        <f t="shared" si="45"/>
        <v>289101.41686150664</v>
      </c>
      <c r="I161" s="1">
        <f t="shared" si="45"/>
        <v>382240.9748455121</v>
      </c>
      <c r="J161" s="1">
        <f t="shared" si="45"/>
        <v>482639.92262727505</v>
      </c>
      <c r="K161" s="1">
        <f t="shared" si="45"/>
        <v>606011.8873074218</v>
      </c>
      <c r="L161" s="1">
        <f t="shared" si="45"/>
        <v>738954.302805555</v>
      </c>
      <c r="M161" s="1">
        <f t="shared" si="45"/>
        <v>781766.0791064317</v>
      </c>
      <c r="N161" s="1">
        <f t="shared" si="45"/>
        <v>826118.1947449702</v>
      </c>
      <c r="O161" s="1">
        <f t="shared" si="45"/>
        <v>1246354.2571278387</v>
      </c>
      <c r="P161" s="1">
        <f t="shared" si="45"/>
        <v>1299019.004766425</v>
      </c>
      <c r="Q161" s="1">
        <f t="shared" si="45"/>
        <v>1353818.5133486516</v>
      </c>
      <c r="R161" s="1">
        <f t="shared" si="45"/>
        <v>1410824.6275710205</v>
      </c>
      <c r="S161" s="1">
        <f t="shared" si="45"/>
        <v>1470110.3418303106</v>
      </c>
      <c r="T161" s="1">
        <f t="shared" si="45"/>
        <v>1531749.6867311748</v>
      </c>
      <c r="U161" s="1">
        <f t="shared" si="45"/>
        <v>1595817.597950694</v>
      </c>
      <c r="V161" s="1">
        <f t="shared" si="45"/>
        <v>1662389.7657399534</v>
      </c>
      <c r="W161" s="1">
        <f t="shared" si="45"/>
        <v>1731542.4631980543</v>
      </c>
      <c r="X161" s="1">
        <f t="shared" si="45"/>
        <v>1803352.3512979953</v>
      </c>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row>
    <row r="162" spans="1:56" s="63" customFormat="1" ht="11.25">
      <c r="A162" s="29" t="s">
        <v>24</v>
      </c>
      <c r="B162" s="17">
        <f>IRR(C161:X161,10%)</f>
        <v>0.21720216447777785</v>
      </c>
      <c r="C162" s="1"/>
      <c r="D162" s="1"/>
      <c r="E162" s="1"/>
      <c r="F162" s="1"/>
      <c r="G162" s="1"/>
      <c r="H162" s="1"/>
      <c r="I162" s="1"/>
      <c r="J162" s="1"/>
      <c r="K162" s="1"/>
      <c r="L162" s="1"/>
      <c r="M162" s="1"/>
      <c r="N162" s="1"/>
      <c r="O162" s="1"/>
      <c r="P162" s="1"/>
      <c r="Q162" s="1"/>
      <c r="R162" s="1"/>
      <c r="S162" s="1"/>
      <c r="T162" s="1"/>
      <c r="U162" s="1"/>
      <c r="V162" s="1"/>
      <c r="W162" s="1"/>
      <c r="X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row>
    <row r="163" spans="1:56" s="63" customFormat="1" ht="11.25">
      <c r="A163" s="29" t="s">
        <v>25</v>
      </c>
      <c r="B163" s="56">
        <f>(1+B162)/(1+$B$5)-1</f>
        <v>0.13757211633437194</v>
      </c>
      <c r="C163" s="1"/>
      <c r="D163" s="1"/>
      <c r="E163" s="1"/>
      <c r="F163" s="1"/>
      <c r="G163" s="1"/>
      <c r="H163" s="1"/>
      <c r="I163" s="1"/>
      <c r="J163" s="1"/>
      <c r="K163" s="1"/>
      <c r="L163" s="1"/>
      <c r="M163" s="1"/>
      <c r="N163" s="1"/>
      <c r="O163" s="1"/>
      <c r="P163" s="1"/>
      <c r="Q163" s="1"/>
      <c r="R163" s="1"/>
      <c r="S163" s="1"/>
      <c r="T163" s="1"/>
      <c r="U163" s="1"/>
      <c r="V163" s="1"/>
      <c r="W163" s="1"/>
      <c r="X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row>
    <row r="166" spans="1:56" s="63" customFormat="1" ht="11.25">
      <c r="A166" s="71" t="s">
        <v>28</v>
      </c>
      <c r="B166" s="72">
        <f>AVERAGE(E166:N166)</f>
        <v>2.1660869173183395</v>
      </c>
      <c r="C166" s="1"/>
      <c r="D166" s="10"/>
      <c r="E166" s="72">
        <f>E153/E157</f>
        <v>1.2055866299555285</v>
      </c>
      <c r="F166" s="72">
        <f aca="true" t="shared" si="46" ref="F166:N166">F153/F157</f>
        <v>1.3622164160702221</v>
      </c>
      <c r="G166" s="72">
        <f t="shared" si="46"/>
        <v>1.5331716027546092</v>
      </c>
      <c r="H166" s="72">
        <f t="shared" si="46"/>
        <v>1.7197858688651877</v>
      </c>
      <c r="I166" s="72">
        <f t="shared" si="46"/>
        <v>1.9585548803211237</v>
      </c>
      <c r="J166" s="72">
        <f t="shared" si="46"/>
        <v>2.22002434498343</v>
      </c>
      <c r="K166" s="72">
        <f t="shared" si="46"/>
        <v>2.545505924926161</v>
      </c>
      <c r="L166" s="72">
        <f t="shared" si="46"/>
        <v>2.9031608538133784</v>
      </c>
      <c r="M166" s="72">
        <f t="shared" si="46"/>
        <v>3.0355366412229445</v>
      </c>
      <c r="N166" s="72">
        <f t="shared" si="46"/>
        <v>3.177326010270808</v>
      </c>
      <c r="O166" s="10"/>
      <c r="P166" s="10"/>
      <c r="Q166" s="10"/>
      <c r="R166" s="10"/>
      <c r="S166" s="10"/>
      <c r="T166" s="10"/>
      <c r="U166" s="10"/>
      <c r="V166" s="10"/>
      <c r="W166" s="10"/>
      <c r="X166" s="10"/>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row>
    <row r="167" spans="1:56" s="63" customFormat="1" ht="11.25">
      <c r="A167" s="20"/>
      <c r="B167" s="10"/>
      <c r="C167" s="1"/>
      <c r="D167" s="10"/>
      <c r="E167" s="10"/>
      <c r="F167" s="10"/>
      <c r="G167" s="10"/>
      <c r="H167" s="10"/>
      <c r="I167" s="10"/>
      <c r="J167" s="10"/>
      <c r="K167" s="10"/>
      <c r="L167" s="10"/>
      <c r="M167" s="10"/>
      <c r="N167" s="10"/>
      <c r="O167" s="10"/>
      <c r="P167" s="10"/>
      <c r="Q167" s="10"/>
      <c r="R167" s="10"/>
      <c r="S167" s="10"/>
      <c r="T167" s="10"/>
      <c r="U167" s="10"/>
      <c r="V167" s="10"/>
      <c r="W167" s="10"/>
      <c r="X167" s="10"/>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row>
    <row r="168" spans="1:56" s="63" customFormat="1" ht="11.25">
      <c r="A168" s="42" t="s">
        <v>121</v>
      </c>
      <c r="B168" s="57">
        <f>B153/1000</f>
        <v>947.5494034243515</v>
      </c>
      <c r="C168" s="13" t="s">
        <v>107</v>
      </c>
      <c r="D168" s="13" t="s">
        <v>109</v>
      </c>
      <c r="E168" s="10"/>
      <c r="F168" s="10"/>
      <c r="G168" s="10"/>
      <c r="H168" s="10"/>
      <c r="I168" s="10"/>
      <c r="J168" s="10"/>
      <c r="K168" s="10"/>
      <c r="L168" s="10"/>
      <c r="M168" s="10"/>
      <c r="N168" s="10"/>
      <c r="O168" s="10"/>
      <c r="P168" s="10"/>
      <c r="Q168" s="10"/>
      <c r="R168" s="10"/>
      <c r="S168" s="10"/>
      <c r="T168" s="10"/>
      <c r="U168" s="10"/>
      <c r="V168" s="10"/>
      <c r="W168" s="10"/>
      <c r="X168" s="10"/>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row>
    <row r="169" spans="1:56" s="63" customFormat="1" ht="11.25">
      <c r="A169" s="42" t="s">
        <v>122</v>
      </c>
      <c r="B169" s="13">
        <f>B155</f>
        <v>0.11073135953086277</v>
      </c>
      <c r="C169" s="13"/>
      <c r="D169" s="13" t="s">
        <v>123</v>
      </c>
      <c r="E169" s="10"/>
      <c r="F169" s="10"/>
      <c r="G169" s="10"/>
      <c r="H169" s="10"/>
      <c r="I169" s="10"/>
      <c r="J169" s="10"/>
      <c r="K169" s="10"/>
      <c r="L169" s="10"/>
      <c r="M169" s="10"/>
      <c r="N169" s="10"/>
      <c r="O169" s="10"/>
      <c r="P169" s="10"/>
      <c r="Q169" s="10"/>
      <c r="R169" s="10"/>
      <c r="S169" s="10"/>
      <c r="T169" s="10"/>
      <c r="U169" s="10"/>
      <c r="V169" s="10"/>
      <c r="W169" s="10"/>
      <c r="X169" s="10"/>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row>
    <row r="170" spans="1:56" s="63" customFormat="1" ht="11.25">
      <c r="A170" s="42" t="s">
        <v>124</v>
      </c>
      <c r="B170" s="13"/>
      <c r="C170" s="13"/>
      <c r="D170" s="13"/>
      <c r="E170" s="10"/>
      <c r="F170" s="10"/>
      <c r="G170" s="10"/>
      <c r="H170" s="10"/>
      <c r="I170" s="10"/>
      <c r="J170" s="10"/>
      <c r="K170" s="10"/>
      <c r="L170" s="10"/>
      <c r="M170" s="10"/>
      <c r="N170" s="10"/>
      <c r="O170" s="10"/>
      <c r="P170" s="10"/>
      <c r="Q170" s="10"/>
      <c r="R170" s="10"/>
      <c r="S170" s="10"/>
      <c r="T170" s="10"/>
      <c r="U170" s="10"/>
      <c r="V170" s="10"/>
      <c r="W170" s="10"/>
      <c r="X170" s="10"/>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row>
    <row r="171" spans="1:56" s="63" customFormat="1" ht="11.25">
      <c r="A171" s="18"/>
      <c r="B171" s="13"/>
      <c r="C171" s="13"/>
      <c r="D171" s="13"/>
      <c r="E171" s="10"/>
      <c r="F171" s="10"/>
      <c r="G171" s="10"/>
      <c r="H171" s="10"/>
      <c r="I171" s="10"/>
      <c r="J171" s="10"/>
      <c r="K171" s="10"/>
      <c r="L171" s="10"/>
      <c r="M171" s="10"/>
      <c r="N171" s="10"/>
      <c r="O171" s="10"/>
      <c r="P171" s="10"/>
      <c r="Q171" s="10"/>
      <c r="R171" s="10"/>
      <c r="S171" s="10"/>
      <c r="T171" s="10"/>
      <c r="U171" s="10"/>
      <c r="V171" s="10"/>
      <c r="W171" s="10"/>
      <c r="X171" s="10"/>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row>
    <row r="172" spans="1:56" s="63" customFormat="1" ht="11.25">
      <c r="A172" s="14" t="s">
        <v>166</v>
      </c>
      <c r="B172" s="57">
        <f>MIN(E166:N166)</f>
        <v>1.2055866299555285</v>
      </c>
      <c r="C172" s="13"/>
      <c r="D172" s="13"/>
      <c r="E172" s="10"/>
      <c r="F172" s="10"/>
      <c r="G172" s="10"/>
      <c r="H172" s="10"/>
      <c r="I172" s="10"/>
      <c r="J172" s="10"/>
      <c r="K172" s="10"/>
      <c r="L172" s="10"/>
      <c r="M172" s="10"/>
      <c r="N172" s="10"/>
      <c r="O172" s="10"/>
      <c r="P172" s="10"/>
      <c r="Q172" s="10"/>
      <c r="R172" s="10"/>
      <c r="S172" s="10"/>
      <c r="T172" s="10"/>
      <c r="U172" s="10"/>
      <c r="V172" s="10"/>
      <c r="W172" s="10"/>
      <c r="X172" s="10"/>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row>
    <row r="173" spans="1:56" s="63" customFormat="1" ht="11.25">
      <c r="A173" s="14" t="s">
        <v>165</v>
      </c>
      <c r="B173" s="13"/>
      <c r="C173" s="13"/>
      <c r="D173" s="13"/>
      <c r="E173" s="10"/>
      <c r="F173" s="10"/>
      <c r="G173" s="10"/>
      <c r="H173" s="10"/>
      <c r="I173" s="10"/>
      <c r="J173" s="10"/>
      <c r="K173" s="10"/>
      <c r="L173" s="10"/>
      <c r="M173" s="10"/>
      <c r="N173" s="10"/>
      <c r="O173" s="10"/>
      <c r="P173" s="10"/>
      <c r="Q173" s="10"/>
      <c r="R173" s="10"/>
      <c r="S173" s="10"/>
      <c r="T173" s="10"/>
      <c r="U173" s="10"/>
      <c r="V173" s="10"/>
      <c r="W173" s="10"/>
      <c r="X173" s="10"/>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row>
    <row r="174" spans="1:24" ht="11.25">
      <c r="A174" s="14" t="s">
        <v>125</v>
      </c>
      <c r="B174" s="13"/>
      <c r="C174" s="13"/>
      <c r="D174" s="13"/>
      <c r="E174" s="10"/>
      <c r="F174" s="10"/>
      <c r="G174" s="10"/>
      <c r="H174" s="10"/>
      <c r="I174" s="10"/>
      <c r="J174" s="10"/>
      <c r="K174" s="10"/>
      <c r="L174" s="10"/>
      <c r="M174" s="10"/>
      <c r="N174" s="10"/>
      <c r="O174" s="10"/>
      <c r="P174" s="10"/>
      <c r="Q174" s="10"/>
      <c r="R174" s="10"/>
      <c r="S174" s="10"/>
      <c r="T174" s="10"/>
      <c r="U174" s="10"/>
      <c r="V174" s="10"/>
      <c r="W174" s="10"/>
      <c r="X174" s="10"/>
    </row>
    <row r="175" spans="1:24" ht="11.25">
      <c r="A175" s="18"/>
      <c r="B175" s="13"/>
      <c r="C175" s="13"/>
      <c r="D175" s="13"/>
      <c r="E175" s="10"/>
      <c r="F175" s="10"/>
      <c r="G175" s="10"/>
      <c r="H175" s="10"/>
      <c r="I175" s="10"/>
      <c r="J175" s="10"/>
      <c r="K175" s="10"/>
      <c r="L175" s="10"/>
      <c r="M175" s="10"/>
      <c r="N175" s="10"/>
      <c r="O175" s="10"/>
      <c r="P175" s="10"/>
      <c r="Q175" s="10"/>
      <c r="R175" s="10"/>
      <c r="S175" s="10"/>
      <c r="T175" s="10"/>
      <c r="U175" s="10"/>
      <c r="V175" s="10"/>
      <c r="W175" s="10"/>
      <c r="X175" s="10"/>
    </row>
    <row r="176" spans="1:24" ht="11.25">
      <c r="A176" s="42" t="s">
        <v>126</v>
      </c>
      <c r="B176" s="57">
        <f>B161/1000</f>
        <v>116.34943122713011</v>
      </c>
      <c r="C176" s="13"/>
      <c r="D176" s="13" t="s">
        <v>109</v>
      </c>
      <c r="E176" s="10"/>
      <c r="F176" s="10"/>
      <c r="G176" s="10"/>
      <c r="H176" s="10"/>
      <c r="I176" s="10"/>
      <c r="J176" s="10"/>
      <c r="K176" s="10"/>
      <c r="L176" s="10"/>
      <c r="M176" s="10"/>
      <c r="N176" s="10"/>
      <c r="O176" s="10"/>
      <c r="P176" s="10"/>
      <c r="Q176" s="10"/>
      <c r="R176" s="10"/>
      <c r="S176" s="10"/>
      <c r="T176" s="10"/>
      <c r="U176" s="10"/>
      <c r="V176" s="10"/>
      <c r="W176" s="10"/>
      <c r="X176" s="10"/>
    </row>
    <row r="177" spans="1:24" ht="11.25">
      <c r="A177" s="42" t="s">
        <v>127</v>
      </c>
      <c r="B177" s="13">
        <f>B163</f>
        <v>0.13757211633437194</v>
      </c>
      <c r="C177" s="13"/>
      <c r="D177" s="13" t="s">
        <v>128</v>
      </c>
      <c r="E177" s="10"/>
      <c r="F177" s="10"/>
      <c r="G177" s="10"/>
      <c r="H177" s="10"/>
      <c r="I177" s="10"/>
      <c r="J177" s="10"/>
      <c r="K177" s="10"/>
      <c r="L177" s="10"/>
      <c r="M177" s="10"/>
      <c r="N177" s="10"/>
      <c r="O177" s="10"/>
      <c r="P177" s="10"/>
      <c r="Q177" s="10"/>
      <c r="R177" s="10"/>
      <c r="S177" s="10"/>
      <c r="T177" s="10"/>
      <c r="U177" s="10"/>
      <c r="V177" s="10"/>
      <c r="W177" s="10"/>
      <c r="X177" s="10"/>
    </row>
    <row r="178" spans="1:24" ht="11.25">
      <c r="A178" s="42" t="s">
        <v>129</v>
      </c>
      <c r="B178" s="13"/>
      <c r="C178" s="13"/>
      <c r="D178" s="13"/>
      <c r="E178" s="10"/>
      <c r="F178" s="10"/>
      <c r="G178" s="10"/>
      <c r="H178" s="10"/>
      <c r="I178" s="10"/>
      <c r="J178" s="10"/>
      <c r="K178" s="10"/>
      <c r="L178" s="10"/>
      <c r="M178" s="10"/>
      <c r="N178" s="10"/>
      <c r="O178" s="10"/>
      <c r="P178" s="10"/>
      <c r="Q178" s="10"/>
      <c r="R178" s="10"/>
      <c r="S178" s="10"/>
      <c r="T178" s="10"/>
      <c r="U178" s="10"/>
      <c r="V178" s="10"/>
      <c r="W178" s="10"/>
      <c r="X178" s="10"/>
    </row>
    <row r="179" spans="1:24" ht="11.25">
      <c r="A179" s="18"/>
      <c r="B179" s="13"/>
      <c r="C179" s="13"/>
      <c r="D179" s="13"/>
      <c r="E179" s="10"/>
      <c r="F179" s="10"/>
      <c r="G179" s="10"/>
      <c r="H179" s="10"/>
      <c r="I179" s="10"/>
      <c r="J179" s="10"/>
      <c r="K179" s="10"/>
      <c r="L179" s="10"/>
      <c r="M179" s="10"/>
      <c r="N179" s="10"/>
      <c r="O179" s="10"/>
      <c r="P179" s="10"/>
      <c r="Q179" s="10"/>
      <c r="R179" s="10"/>
      <c r="S179" s="10"/>
      <c r="T179" s="10"/>
      <c r="U179" s="10"/>
      <c r="V179" s="10"/>
      <c r="W179" s="10"/>
      <c r="X179" s="10"/>
    </row>
    <row r="180" spans="1:24" ht="11.25">
      <c r="A180" s="14" t="s">
        <v>167</v>
      </c>
      <c r="B180" s="13"/>
      <c r="C180" s="13"/>
      <c r="D180" s="13"/>
      <c r="E180" s="10"/>
      <c r="F180" s="10"/>
      <c r="G180" s="10"/>
      <c r="H180" s="10"/>
      <c r="I180" s="10"/>
      <c r="J180" s="10"/>
      <c r="K180" s="10"/>
      <c r="L180" s="10"/>
      <c r="M180" s="10"/>
      <c r="N180" s="10"/>
      <c r="O180" s="10"/>
      <c r="P180" s="10"/>
      <c r="Q180" s="10"/>
      <c r="R180" s="10"/>
      <c r="S180" s="10"/>
      <c r="T180" s="10"/>
      <c r="U180" s="10"/>
      <c r="V180" s="10"/>
      <c r="W180" s="10"/>
      <c r="X180" s="10"/>
    </row>
    <row r="181" spans="1:24" ht="11.25">
      <c r="A181" s="14" t="s">
        <v>168</v>
      </c>
      <c r="B181" s="13"/>
      <c r="C181" s="13"/>
      <c r="D181" s="13"/>
      <c r="E181" s="10"/>
      <c r="F181" s="10"/>
      <c r="G181" s="10"/>
      <c r="H181" s="10"/>
      <c r="I181" s="10"/>
      <c r="J181" s="10"/>
      <c r="K181" s="10"/>
      <c r="L181" s="10"/>
      <c r="M181" s="10"/>
      <c r="N181" s="10"/>
      <c r="O181" s="10"/>
      <c r="P181" s="10"/>
      <c r="Q181" s="10"/>
      <c r="R181" s="10"/>
      <c r="S181" s="10"/>
      <c r="T181" s="10"/>
      <c r="U181" s="10"/>
      <c r="V181" s="10"/>
      <c r="W181" s="10"/>
      <c r="X181" s="10"/>
    </row>
    <row r="182" spans="1:24" ht="11.25">
      <c r="A182" s="42"/>
      <c r="B182" s="13"/>
      <c r="C182" s="13"/>
      <c r="D182" s="13"/>
      <c r="E182" s="10"/>
      <c r="F182" s="10"/>
      <c r="G182" s="10"/>
      <c r="H182" s="10"/>
      <c r="I182" s="10"/>
      <c r="J182" s="10"/>
      <c r="K182" s="10"/>
      <c r="L182" s="10"/>
      <c r="M182" s="10"/>
      <c r="N182" s="10"/>
      <c r="O182" s="10"/>
      <c r="P182" s="10"/>
      <c r="Q182" s="10"/>
      <c r="R182" s="10"/>
      <c r="S182" s="10"/>
      <c r="T182" s="10"/>
      <c r="U182" s="10"/>
      <c r="V182" s="10"/>
      <c r="W182" s="10"/>
      <c r="X182" s="10"/>
    </row>
    <row r="183" ht="11.25">
      <c r="A183" s="2" t="s">
        <v>88</v>
      </c>
    </row>
    <row r="184" s="14" customFormat="1" ht="11.25">
      <c r="Y184" s="61"/>
    </row>
    <row r="185" spans="1:25" s="14" customFormat="1" ht="11.25">
      <c r="A185" s="18" t="s">
        <v>101</v>
      </c>
      <c r="B185" s="44"/>
      <c r="C185" s="44"/>
      <c r="D185" s="44"/>
      <c r="E185" s="46"/>
      <c r="Y185" s="61"/>
    </row>
    <row r="186" spans="1:25" s="32" customFormat="1" ht="11.25">
      <c r="A186" s="14" t="s">
        <v>76</v>
      </c>
      <c r="E186" s="32">
        <f aca="true" t="shared" si="47" ref="E186:X190">E47*E$58</f>
        <v>416622.42378400004</v>
      </c>
      <c r="F186" s="32">
        <f t="shared" si="47"/>
        <v>192300.32864705005</v>
      </c>
      <c r="G186" s="32">
        <f t="shared" si="47"/>
        <v>277137.20922766655</v>
      </c>
      <c r="H186" s="32">
        <f t="shared" si="47"/>
        <v>275994.8168174941</v>
      </c>
      <c r="I186" s="32">
        <f t="shared" si="47"/>
        <v>377034.2791141826</v>
      </c>
      <c r="J186" s="32">
        <f t="shared" si="47"/>
        <v>417297.5956819585</v>
      </c>
      <c r="K186" s="32">
        <f t="shared" si="47"/>
        <v>585233.0441712833</v>
      </c>
      <c r="L186" s="32">
        <f t="shared" si="47"/>
        <v>537829.016839754</v>
      </c>
      <c r="M186" s="32">
        <f t="shared" si="47"/>
        <v>492737.4226255825</v>
      </c>
      <c r="N186" s="32">
        <f t="shared" si="47"/>
        <v>632359.0933904756</v>
      </c>
      <c r="O186" s="32">
        <f t="shared" si="47"/>
        <v>676624.2299278089</v>
      </c>
      <c r="P186" s="32">
        <f t="shared" si="47"/>
        <v>56108.90310837917</v>
      </c>
      <c r="Q186" s="32">
        <f t="shared" si="47"/>
        <v>60036.526325965715</v>
      </c>
      <c r="R186" s="32">
        <f t="shared" si="47"/>
        <v>64239.08316878333</v>
      </c>
      <c r="S186" s="32">
        <f t="shared" si="47"/>
        <v>136362.8938421476</v>
      </c>
      <c r="T186" s="32">
        <f t="shared" si="47"/>
        <v>145908.29641109795</v>
      </c>
      <c r="U186" s="32">
        <f t="shared" si="47"/>
        <v>234817.5163222107</v>
      </c>
      <c r="V186" s="32">
        <f t="shared" si="47"/>
        <v>251254.74246476547</v>
      </c>
      <c r="W186" s="32">
        <f t="shared" si="47"/>
        <v>357487.87432068144</v>
      </c>
      <c r="X186" s="32">
        <f t="shared" si="47"/>
        <v>382512.0255231292</v>
      </c>
      <c r="Y186" s="61"/>
    </row>
    <row r="187" spans="1:25" s="32" customFormat="1" ht="11.25">
      <c r="A187" s="14" t="s">
        <v>75</v>
      </c>
      <c r="E187" s="32">
        <f t="shared" si="47"/>
        <v>685344.1811350001</v>
      </c>
      <c r="F187" s="32">
        <f t="shared" si="47"/>
        <v>95689.41952601002</v>
      </c>
      <c r="G187" s="32">
        <f t="shared" si="47"/>
        <v>170811.16507503024</v>
      </c>
      <c r="H187" s="32">
        <f t="shared" si="47"/>
        <v>145899.504076408</v>
      </c>
      <c r="I187" s="32">
        <f t="shared" si="47"/>
        <v>195561.70289440214</v>
      </c>
      <c r="J187" s="32">
        <f t="shared" si="47"/>
        <v>209251.0220970103</v>
      </c>
      <c r="K187" s="32">
        <f t="shared" si="47"/>
        <v>268420.56039098</v>
      </c>
      <c r="L187" s="32">
        <f t="shared" si="47"/>
        <v>287209.99961834855</v>
      </c>
      <c r="M187" s="32">
        <f t="shared" si="47"/>
        <v>614631.5040352183</v>
      </c>
      <c r="N187" s="32">
        <f t="shared" si="47"/>
        <v>437909.3759827759</v>
      </c>
      <c r="O187" s="32">
        <f t="shared" si="47"/>
        <v>1054687.943092316</v>
      </c>
      <c r="P187" s="32">
        <f t="shared" si="47"/>
        <v>0</v>
      </c>
      <c r="Q187" s="32">
        <f t="shared" si="47"/>
        <v>671057.1693958655</v>
      </c>
      <c r="R187" s="32">
        <f t="shared" si="47"/>
        <v>0</v>
      </c>
      <c r="S187" s="32">
        <f t="shared" si="47"/>
        <v>0</v>
      </c>
      <c r="T187" s="32">
        <f t="shared" si="47"/>
        <v>0</v>
      </c>
      <c r="U187" s="32">
        <f t="shared" si="47"/>
        <v>703186.7643293702</v>
      </c>
      <c r="V187" s="32">
        <f t="shared" si="47"/>
        <v>0</v>
      </c>
      <c r="W187" s="32">
        <f t="shared" si="47"/>
        <v>0</v>
      </c>
      <c r="X187" s="32">
        <f t="shared" si="47"/>
        <v>0</v>
      </c>
      <c r="Y187" s="61"/>
    </row>
    <row r="188" spans="1:25" s="32" customFormat="1" ht="11.25">
      <c r="A188" s="14" t="s">
        <v>77</v>
      </c>
      <c r="E188" s="32">
        <f t="shared" si="47"/>
        <v>30956.836610000002</v>
      </c>
      <c r="F188" s="32">
        <f t="shared" si="47"/>
        <v>35884.35156976001</v>
      </c>
      <c r="G188" s="32">
        <f t="shared" si="47"/>
        <v>42825.514545193815</v>
      </c>
      <c r="H188" s="32">
        <f t="shared" si="47"/>
        <v>48983.83868435137</v>
      </c>
      <c r="I188" s="32">
        <f t="shared" si="47"/>
        <v>59174.653189706645</v>
      </c>
      <c r="J188" s="32">
        <f t="shared" si="47"/>
        <v>68746.34724125499</v>
      </c>
      <c r="K188" s="32">
        <f t="shared" si="47"/>
        <v>81300.34329164412</v>
      </c>
      <c r="L188" s="32">
        <f t="shared" si="47"/>
        <v>97348.41921818878</v>
      </c>
      <c r="M188" s="32">
        <f t="shared" si="47"/>
        <v>113028.44498654892</v>
      </c>
      <c r="N188" s="32">
        <f t="shared" si="47"/>
        <v>132793.72046830817</v>
      </c>
      <c r="O188" s="32">
        <f t="shared" si="47"/>
        <v>155622.970422146</v>
      </c>
      <c r="P188" s="32">
        <f t="shared" si="47"/>
        <v>166516.57835169623</v>
      </c>
      <c r="Q188" s="32">
        <f t="shared" si="47"/>
        <v>178172.738836315</v>
      </c>
      <c r="R188" s="32">
        <f t="shared" si="47"/>
        <v>190644.83055485706</v>
      </c>
      <c r="S188" s="32">
        <f t="shared" si="47"/>
        <v>203989.96869369707</v>
      </c>
      <c r="T188" s="32">
        <f t="shared" si="47"/>
        <v>218269.2665022559</v>
      </c>
      <c r="U188" s="32">
        <f t="shared" si="47"/>
        <v>233548.11515741382</v>
      </c>
      <c r="V188" s="32">
        <f t="shared" si="47"/>
        <v>249896.4832184328</v>
      </c>
      <c r="W188" s="32">
        <f t="shared" si="47"/>
        <v>267389.2370437231</v>
      </c>
      <c r="X188" s="32">
        <f t="shared" si="47"/>
        <v>286106.4836367838</v>
      </c>
      <c r="Y188" s="61"/>
    </row>
    <row r="189" spans="1:25" s="32" customFormat="1" ht="11.25">
      <c r="A189" s="14" t="s">
        <v>78</v>
      </c>
      <c r="E189" s="32">
        <f t="shared" si="47"/>
        <v>181009.903594</v>
      </c>
      <c r="F189" s="32">
        <f t="shared" si="47"/>
        <v>209782.41503242005</v>
      </c>
      <c r="G189" s="32">
        <f t="shared" si="47"/>
        <v>253509.82277229437</v>
      </c>
      <c r="H189" s="32">
        <f t="shared" si="47"/>
        <v>296010.0575201043</v>
      </c>
      <c r="I189" s="32">
        <f t="shared" si="47"/>
        <v>349419.655063183</v>
      </c>
      <c r="J189" s="32">
        <f t="shared" si="47"/>
        <v>409457.5121433854</v>
      </c>
      <c r="K189" s="32">
        <f t="shared" si="47"/>
        <v>483284.9654649484</v>
      </c>
      <c r="L189" s="32">
        <f t="shared" si="47"/>
        <v>565445.8547447422</v>
      </c>
      <c r="M189" s="32">
        <f t="shared" si="47"/>
        <v>665602.5989121111</v>
      </c>
      <c r="N189" s="32">
        <f t="shared" si="47"/>
        <v>786496.8335473655</v>
      </c>
      <c r="O189" s="32">
        <f t="shared" si="47"/>
        <v>920208.9527018202</v>
      </c>
      <c r="P189" s="32">
        <f t="shared" si="47"/>
        <v>984623.5793909476</v>
      </c>
      <c r="Q189" s="32">
        <f t="shared" si="47"/>
        <v>1053547.2299483141</v>
      </c>
      <c r="R189" s="32">
        <f t="shared" si="47"/>
        <v>1127295.536044696</v>
      </c>
      <c r="S189" s="32">
        <f t="shared" si="47"/>
        <v>1206206.223567825</v>
      </c>
      <c r="T189" s="32">
        <f t="shared" si="47"/>
        <v>1290640.6592175728</v>
      </c>
      <c r="U189" s="32">
        <f t="shared" si="47"/>
        <v>1380985.5053628031</v>
      </c>
      <c r="V189" s="32">
        <f t="shared" si="47"/>
        <v>1477654.4907381996</v>
      </c>
      <c r="W189" s="32">
        <f t="shared" si="47"/>
        <v>1581090.3050898735</v>
      </c>
      <c r="X189" s="32">
        <f t="shared" si="47"/>
        <v>1691766.626446165</v>
      </c>
      <c r="Y189" s="61"/>
    </row>
    <row r="190" spans="1:25" s="32" customFormat="1" ht="11.25">
      <c r="A190" s="14" t="s">
        <v>79</v>
      </c>
      <c r="E190" s="32">
        <f t="shared" si="47"/>
        <v>47294.01005800001</v>
      </c>
      <c r="F190" s="32">
        <f t="shared" si="47"/>
        <v>55205.48475716001</v>
      </c>
      <c r="G190" s="32">
        <f t="shared" si="47"/>
        <v>64977.41657986962</v>
      </c>
      <c r="H190" s="32">
        <f t="shared" si="47"/>
        <v>76898.92395909464</v>
      </c>
      <c r="I190" s="32">
        <f t="shared" si="47"/>
        <v>89609.02951340235</v>
      </c>
      <c r="J190" s="32">
        <f t="shared" si="47"/>
        <v>106134.07851439758</v>
      </c>
      <c r="K190" s="32">
        <f t="shared" si="47"/>
        <v>123884.57402893218</v>
      </c>
      <c r="L190" s="32">
        <f t="shared" si="47"/>
        <v>146367.8638904875</v>
      </c>
      <c r="M190" s="32">
        <f t="shared" si="47"/>
        <v>172126.3732512714</v>
      </c>
      <c r="N190" s="32">
        <f t="shared" si="47"/>
        <v>201564.39063722693</v>
      </c>
      <c r="O190" s="32">
        <f t="shared" si="47"/>
        <v>237663.73360854908</v>
      </c>
      <c r="P190" s="32">
        <f t="shared" si="47"/>
        <v>254300.19496114756</v>
      </c>
      <c r="Q190" s="32">
        <f t="shared" si="47"/>
        <v>272101.2086084279</v>
      </c>
      <c r="R190" s="32">
        <f t="shared" si="47"/>
        <v>291148.2932110179</v>
      </c>
      <c r="S190" s="32">
        <f t="shared" si="47"/>
        <v>311528.67373578914</v>
      </c>
      <c r="T190" s="32">
        <f t="shared" si="47"/>
        <v>333335.6808972944</v>
      </c>
      <c r="U190" s="32">
        <f t="shared" si="47"/>
        <v>356669.1785601051</v>
      </c>
      <c r="V190" s="32">
        <f t="shared" si="47"/>
        <v>381636.02105931245</v>
      </c>
      <c r="W190" s="32">
        <f t="shared" si="47"/>
        <v>408350.5425334644</v>
      </c>
      <c r="X190" s="32">
        <f t="shared" si="47"/>
        <v>436935.08051080693</v>
      </c>
      <c r="Y190" s="61"/>
    </row>
    <row r="191" spans="1:25" s="32" customFormat="1" ht="11.25">
      <c r="A191" s="32" t="s">
        <v>69</v>
      </c>
      <c r="E191" s="32">
        <f>SUM(E186:E190)</f>
        <v>1361227.3551810002</v>
      </c>
      <c r="F191" s="32">
        <f aca="true" t="shared" si="48" ref="F191:X191">SUM(F186:F190)</f>
        <v>588861.9995324002</v>
      </c>
      <c r="G191" s="32">
        <f t="shared" si="48"/>
        <v>809261.1282000545</v>
      </c>
      <c r="H191" s="32">
        <f t="shared" si="48"/>
        <v>843787.1410574524</v>
      </c>
      <c r="I191" s="32">
        <f t="shared" si="48"/>
        <v>1070799.3197748768</v>
      </c>
      <c r="J191" s="32">
        <f t="shared" si="48"/>
        <v>1210886.5556780067</v>
      </c>
      <c r="K191" s="32">
        <f t="shared" si="48"/>
        <v>1542123.487347788</v>
      </c>
      <c r="L191" s="32">
        <f t="shared" si="48"/>
        <v>1634201.1543115207</v>
      </c>
      <c r="M191" s="32">
        <f t="shared" si="48"/>
        <v>2058126.3438107325</v>
      </c>
      <c r="N191" s="32">
        <f t="shared" si="48"/>
        <v>2191123.414026152</v>
      </c>
      <c r="O191" s="32">
        <f t="shared" si="48"/>
        <v>3044807.82975264</v>
      </c>
      <c r="P191" s="32">
        <f t="shared" si="48"/>
        <v>1461549.2558121707</v>
      </c>
      <c r="Q191" s="32">
        <f t="shared" si="48"/>
        <v>2234914.8731148886</v>
      </c>
      <c r="R191" s="32">
        <f t="shared" si="48"/>
        <v>1673327.7429793545</v>
      </c>
      <c r="S191" s="32">
        <f t="shared" si="48"/>
        <v>1858087.7598394589</v>
      </c>
      <c r="T191" s="32">
        <f t="shared" si="48"/>
        <v>1988153.9030282209</v>
      </c>
      <c r="U191" s="32">
        <f t="shared" si="48"/>
        <v>2909207.079731903</v>
      </c>
      <c r="V191" s="32">
        <f t="shared" si="48"/>
        <v>2360441.7374807103</v>
      </c>
      <c r="W191" s="32">
        <f t="shared" si="48"/>
        <v>2614317.958987742</v>
      </c>
      <c r="X191" s="32">
        <f t="shared" si="48"/>
        <v>2797320.2161168847</v>
      </c>
      <c r="Y191" s="61"/>
    </row>
    <row r="192" s="32" customFormat="1" ht="11.25">
      <c r="Y192" s="61"/>
    </row>
    <row r="193" spans="1:25" s="32" customFormat="1" ht="11.25">
      <c r="A193" s="33" t="s">
        <v>180</v>
      </c>
      <c r="Y193" s="61"/>
    </row>
    <row r="194" spans="1:25" s="32" customFormat="1" ht="11.25">
      <c r="A194" s="1" t="s">
        <v>11</v>
      </c>
      <c r="B194" s="10">
        <v>1</v>
      </c>
      <c r="Y194" s="61"/>
    </row>
    <row r="195" spans="1:25" s="32" customFormat="1" ht="11.25">
      <c r="A195" s="1" t="s">
        <v>16</v>
      </c>
      <c r="B195" s="10">
        <v>0</v>
      </c>
      <c r="Y195" s="61"/>
    </row>
    <row r="196" spans="1:25" s="32" customFormat="1" ht="11.25">
      <c r="A196" s="1" t="s">
        <v>38</v>
      </c>
      <c r="B196" s="10"/>
      <c r="Y196" s="61"/>
    </row>
    <row r="197" spans="1:25" s="32" customFormat="1" ht="11.25">
      <c r="A197" s="15" t="s">
        <v>52</v>
      </c>
      <c r="B197" s="10">
        <v>1</v>
      </c>
      <c r="Y197" s="61"/>
    </row>
    <row r="198" spans="1:25" s="32" customFormat="1" ht="11.25">
      <c r="A198" s="15" t="s">
        <v>50</v>
      </c>
      <c r="B198" s="10">
        <f>1-B44+B44*B43</f>
        <v>0.8200000000000001</v>
      </c>
      <c r="Y198" s="61"/>
    </row>
    <row r="199" spans="1:25" s="32" customFormat="1" ht="11.25">
      <c r="A199" s="15" t="s">
        <v>47</v>
      </c>
      <c r="B199" s="10">
        <f>$B$42</f>
        <v>1.05</v>
      </c>
      <c r="Y199" s="61"/>
    </row>
    <row r="200" spans="1:25" s="32" customFormat="1" ht="11.25">
      <c r="A200" s="15" t="s">
        <v>53</v>
      </c>
      <c r="B200" s="10">
        <f>$B$42</f>
        <v>1.05</v>
      </c>
      <c r="Y200" s="61"/>
    </row>
    <row r="201" spans="1:25" s="32" customFormat="1" ht="11.25">
      <c r="A201" s="15" t="s">
        <v>158</v>
      </c>
      <c r="B201" s="10">
        <f>$B$42</f>
        <v>1.05</v>
      </c>
      <c r="Y201" s="61"/>
    </row>
    <row r="202" s="32" customFormat="1" ht="11.25">
      <c r="Y202" s="61"/>
    </row>
    <row r="203" spans="1:25" s="32" customFormat="1" ht="11.25">
      <c r="A203" s="6" t="s">
        <v>80</v>
      </c>
      <c r="B203" s="6"/>
      <c r="C203" s="7"/>
      <c r="D203" s="7"/>
      <c r="E203" s="7"/>
      <c r="F203" s="7"/>
      <c r="G203" s="7"/>
      <c r="H203" s="7"/>
      <c r="I203" s="7"/>
      <c r="J203" s="7"/>
      <c r="K203" s="7"/>
      <c r="L203" s="7"/>
      <c r="M203" s="7"/>
      <c r="N203" s="7"/>
      <c r="O203" s="7"/>
      <c r="P203" s="7"/>
      <c r="Q203" s="7"/>
      <c r="R203" s="7"/>
      <c r="S203" s="7"/>
      <c r="T203" s="7"/>
      <c r="U203" s="7"/>
      <c r="V203" s="7"/>
      <c r="W203" s="7"/>
      <c r="X203" s="7"/>
      <c r="Y203" s="61"/>
    </row>
    <row r="204" spans="1:25" s="32" customFormat="1" ht="11.25">
      <c r="A204" s="1"/>
      <c r="B204" s="1"/>
      <c r="C204" s="23">
        <f aca="true" t="shared" si="49" ref="C204:X204">C139</f>
        <v>2013</v>
      </c>
      <c r="D204" s="23">
        <f t="shared" si="49"/>
        <v>2014</v>
      </c>
      <c r="E204" s="23">
        <f t="shared" si="49"/>
        <v>2015</v>
      </c>
      <c r="F204" s="23">
        <f t="shared" si="49"/>
        <v>2016</v>
      </c>
      <c r="G204" s="23">
        <f t="shared" si="49"/>
        <v>2017</v>
      </c>
      <c r="H204" s="23">
        <f t="shared" si="49"/>
        <v>2018</v>
      </c>
      <c r="I204" s="23">
        <f t="shared" si="49"/>
        <v>2019</v>
      </c>
      <c r="J204" s="23">
        <f t="shared" si="49"/>
        <v>2020</v>
      </c>
      <c r="K204" s="23">
        <f t="shared" si="49"/>
        <v>2021</v>
      </c>
      <c r="L204" s="23">
        <f t="shared" si="49"/>
        <v>2022</v>
      </c>
      <c r="M204" s="23">
        <f t="shared" si="49"/>
        <v>2023</v>
      </c>
      <c r="N204" s="23">
        <f t="shared" si="49"/>
        <v>2024</v>
      </c>
      <c r="O204" s="23">
        <f t="shared" si="49"/>
        <v>2025</v>
      </c>
      <c r="P204" s="23">
        <f t="shared" si="49"/>
        <v>2026</v>
      </c>
      <c r="Q204" s="23">
        <f t="shared" si="49"/>
        <v>2027</v>
      </c>
      <c r="R204" s="23">
        <f t="shared" si="49"/>
        <v>2028</v>
      </c>
      <c r="S204" s="23">
        <f t="shared" si="49"/>
        <v>2029</v>
      </c>
      <c r="T204" s="23">
        <f t="shared" si="49"/>
        <v>2030</v>
      </c>
      <c r="U204" s="23">
        <f t="shared" si="49"/>
        <v>2031</v>
      </c>
      <c r="V204" s="23">
        <f t="shared" si="49"/>
        <v>2032</v>
      </c>
      <c r="W204" s="23">
        <f t="shared" si="49"/>
        <v>2033</v>
      </c>
      <c r="X204" s="23">
        <f t="shared" si="49"/>
        <v>2034</v>
      </c>
      <c r="Y204" s="61"/>
    </row>
    <row r="205" spans="1:25" s="32" customFormat="1" ht="12" thickBot="1">
      <c r="A205" s="4" t="s">
        <v>2</v>
      </c>
      <c r="B205" s="4" t="s">
        <v>21</v>
      </c>
      <c r="C205" s="22">
        <v>0</v>
      </c>
      <c r="D205" s="22">
        <v>1</v>
      </c>
      <c r="E205" s="22">
        <v>2</v>
      </c>
      <c r="F205" s="22">
        <v>3</v>
      </c>
      <c r="G205" s="22">
        <v>4</v>
      </c>
      <c r="H205" s="22">
        <v>5</v>
      </c>
      <c r="I205" s="22">
        <v>6</v>
      </c>
      <c r="J205" s="22">
        <v>7</v>
      </c>
      <c r="K205" s="22">
        <v>8</v>
      </c>
      <c r="L205" s="22">
        <v>9</v>
      </c>
      <c r="M205" s="22">
        <v>10</v>
      </c>
      <c r="N205" s="22">
        <v>11</v>
      </c>
      <c r="O205" s="22">
        <v>12</v>
      </c>
      <c r="P205" s="22">
        <v>13</v>
      </c>
      <c r="Q205" s="22">
        <v>14</v>
      </c>
      <c r="R205" s="22">
        <v>15</v>
      </c>
      <c r="S205" s="22">
        <v>16</v>
      </c>
      <c r="T205" s="22">
        <v>17</v>
      </c>
      <c r="U205" s="22">
        <v>18</v>
      </c>
      <c r="V205" s="22">
        <v>19</v>
      </c>
      <c r="W205" s="22">
        <v>20</v>
      </c>
      <c r="X205" s="22">
        <v>21</v>
      </c>
      <c r="Y205" s="61"/>
    </row>
    <row r="206" spans="1:25" s="32" customFormat="1" ht="12" thickTop="1">
      <c r="A206" s="8"/>
      <c r="B206" s="1"/>
      <c r="C206" s="1"/>
      <c r="D206" s="1"/>
      <c r="E206" s="1"/>
      <c r="F206" s="1"/>
      <c r="G206" s="1"/>
      <c r="H206" s="1"/>
      <c r="I206" s="1"/>
      <c r="J206" s="1"/>
      <c r="K206" s="1"/>
      <c r="L206" s="1"/>
      <c r="M206" s="1"/>
      <c r="N206" s="1"/>
      <c r="O206" s="1"/>
      <c r="P206" s="1"/>
      <c r="Q206" s="1"/>
      <c r="R206" s="1"/>
      <c r="S206" s="1"/>
      <c r="T206" s="1"/>
      <c r="U206" s="1"/>
      <c r="V206" s="1"/>
      <c r="W206" s="1"/>
      <c r="X206" s="1"/>
      <c r="Y206" s="61"/>
    </row>
    <row r="207" spans="1:25" s="32" customFormat="1" ht="11.25">
      <c r="A207" s="1" t="s">
        <v>33</v>
      </c>
      <c r="B207" s="8">
        <f aca="true" t="shared" si="50" ref="B207:B217">NPV($B$38,D207:X207)+C207</f>
        <v>7260211.965105532</v>
      </c>
      <c r="C207" s="1">
        <f>C191</f>
        <v>0</v>
      </c>
      <c r="D207" s="1">
        <f aca="true" t="shared" si="51" ref="D207:X207">D191</f>
        <v>0</v>
      </c>
      <c r="E207" s="1">
        <f t="shared" si="51"/>
        <v>1361227.3551810002</v>
      </c>
      <c r="F207" s="1">
        <f t="shared" si="51"/>
        <v>588861.9995324002</v>
      </c>
      <c r="G207" s="1">
        <f t="shared" si="51"/>
        <v>809261.1282000545</v>
      </c>
      <c r="H207" s="1">
        <f t="shared" si="51"/>
        <v>843787.1410574524</v>
      </c>
      <c r="I207" s="1">
        <f t="shared" si="51"/>
        <v>1070799.3197748768</v>
      </c>
      <c r="J207" s="1">
        <f t="shared" si="51"/>
        <v>1210886.5556780067</v>
      </c>
      <c r="K207" s="1">
        <f t="shared" si="51"/>
        <v>1542123.487347788</v>
      </c>
      <c r="L207" s="1">
        <f t="shared" si="51"/>
        <v>1634201.1543115207</v>
      </c>
      <c r="M207" s="1">
        <f t="shared" si="51"/>
        <v>2058126.3438107325</v>
      </c>
      <c r="N207" s="1">
        <f t="shared" si="51"/>
        <v>2191123.414026152</v>
      </c>
      <c r="O207" s="1">
        <f t="shared" si="51"/>
        <v>3044807.82975264</v>
      </c>
      <c r="P207" s="1">
        <f t="shared" si="51"/>
        <v>1461549.2558121707</v>
      </c>
      <c r="Q207" s="1">
        <f t="shared" si="51"/>
        <v>2234914.8731148886</v>
      </c>
      <c r="R207" s="1">
        <f t="shared" si="51"/>
        <v>1673327.7429793545</v>
      </c>
      <c r="S207" s="1">
        <f t="shared" si="51"/>
        <v>1858087.7598394589</v>
      </c>
      <c r="T207" s="1">
        <f t="shared" si="51"/>
        <v>1988153.9030282209</v>
      </c>
      <c r="U207" s="1">
        <f t="shared" si="51"/>
        <v>2909207.079731903</v>
      </c>
      <c r="V207" s="1">
        <f t="shared" si="51"/>
        <v>2360441.7374807103</v>
      </c>
      <c r="W207" s="1">
        <f t="shared" si="51"/>
        <v>2614317.958987742</v>
      </c>
      <c r="X207" s="1">
        <f t="shared" si="51"/>
        <v>2797320.2161168847</v>
      </c>
      <c r="Y207" s="61"/>
    </row>
    <row r="208" spans="1:25" s="32" customFormat="1" ht="11.25">
      <c r="A208" s="1" t="s">
        <v>11</v>
      </c>
      <c r="B208" s="8">
        <f t="shared" si="50"/>
        <v>-2048064.476711163</v>
      </c>
      <c r="C208" s="1">
        <f>C144*$B194</f>
        <v>0</v>
      </c>
      <c r="D208" s="1">
        <f>D144*$B194</f>
        <v>0</v>
      </c>
      <c r="E208" s="1">
        <f>E144*$B194</f>
        <v>-186164.2902</v>
      </c>
      <c r="F208" s="1">
        <f>F144*$B194</f>
        <v>-213792.17757500004</v>
      </c>
      <c r="G208" s="1">
        <f>G144*$B194</f>
        <v>-244229.06992052007</v>
      </c>
      <c r="H208" s="1">
        <f>H144*$B194</f>
        <v>-277727.1210405454</v>
      </c>
      <c r="I208" s="1">
        <f>I144*$B194</f>
        <v>-319173.1038816087</v>
      </c>
      <c r="J208" s="1">
        <f>J144*$B194</f>
        <v>-364849.7169725315</v>
      </c>
      <c r="K208" s="1">
        <f>K144*$B194</f>
        <v>-420370.4708102163</v>
      </c>
      <c r="L208" s="1">
        <f>L144*$B194</f>
        <v>-481597.48208244186</v>
      </c>
      <c r="M208" s="1">
        <f>M144*$B194</f>
        <v>-513427.9325342849</v>
      </c>
      <c r="N208" s="1">
        <f>N144*$B194</f>
        <v>-547392.4458530605</v>
      </c>
      <c r="O208" s="1">
        <f>O144*$B194</f>
        <v>-583635.7030062191</v>
      </c>
      <c r="P208" s="1">
        <f>P144*$B194</f>
        <v>-622312.2774572712</v>
      </c>
      <c r="Q208" s="1">
        <f>Q144*$B194</f>
        <v>-663587.3158819277</v>
      </c>
      <c r="R208" s="1">
        <f>R144*$B194</f>
        <v>-707637.2659464426</v>
      </c>
      <c r="S208" s="1">
        <f>S144*$B194</f>
        <v>-754650.6544131124</v>
      </c>
      <c r="T208" s="1">
        <f>T144*$B194</f>
        <v>-804828.9190649702</v>
      </c>
      <c r="U208" s="1">
        <f>U144*$B194</f>
        <v>-858387.2981846051</v>
      </c>
      <c r="V208" s="1">
        <f>V144*$B194</f>
        <v>-915555.7815818687</v>
      </c>
      <c r="W208" s="1">
        <f>W144*$B194</f>
        <v>-976580.1274431578</v>
      </c>
      <c r="X208" s="1">
        <f>X144*$B194</f>
        <v>-1041722.949572265</v>
      </c>
      <c r="Y208" s="61"/>
    </row>
    <row r="209" spans="1:25" s="32" customFormat="1" ht="11.25">
      <c r="A209" s="1" t="s">
        <v>16</v>
      </c>
      <c r="B209" s="8">
        <f t="shared" si="50"/>
        <v>0</v>
      </c>
      <c r="C209" s="1">
        <f>C145*$B195</f>
        <v>0</v>
      </c>
      <c r="D209" s="1">
        <f>D145*$B195</f>
        <v>0</v>
      </c>
      <c r="E209" s="1">
        <f>E145*$B195</f>
        <v>0</v>
      </c>
      <c r="F209" s="1">
        <f>F145*$B195</f>
        <v>0</v>
      </c>
      <c r="G209" s="1">
        <f>G145*$B195</f>
        <v>0</v>
      </c>
      <c r="H209" s="1">
        <f>H145*$B195</f>
        <v>0</v>
      </c>
      <c r="I209" s="1">
        <f>I145*$B195</f>
        <v>0</v>
      </c>
      <c r="J209" s="1">
        <f>J145*$B195</f>
        <v>0</v>
      </c>
      <c r="K209" s="1">
        <f>K145*$B195</f>
        <v>0</v>
      </c>
      <c r="L209" s="1">
        <f>L145*$B195</f>
        <v>0</v>
      </c>
      <c r="M209" s="1">
        <f>M145*$B195</f>
        <v>0</v>
      </c>
      <c r="N209" s="1">
        <f>N145*$B195</f>
        <v>0</v>
      </c>
      <c r="O209" s="1">
        <f>O145*$B195</f>
        <v>0</v>
      </c>
      <c r="P209" s="1">
        <f>P145*$B195</f>
        <v>0</v>
      </c>
      <c r="Q209" s="1">
        <f>Q145*$B195</f>
        <v>0</v>
      </c>
      <c r="R209" s="1">
        <f>R145*$B195</f>
        <v>0</v>
      </c>
      <c r="S209" s="1">
        <f>S145*$B195</f>
        <v>0</v>
      </c>
      <c r="T209" s="1">
        <f>T145*$B195</f>
        <v>0</v>
      </c>
      <c r="U209" s="1">
        <f>U145*$B195</f>
        <v>0</v>
      </c>
      <c r="V209" s="1">
        <f>V145*$B195</f>
        <v>0</v>
      </c>
      <c r="W209" s="1">
        <f>W145*$B195</f>
        <v>0</v>
      </c>
      <c r="X209" s="1">
        <f>X145*$B195</f>
        <v>0</v>
      </c>
      <c r="Y209" s="61"/>
    </row>
    <row r="210" spans="1:25" s="32" customFormat="1" ht="11.25">
      <c r="A210" s="1" t="s">
        <v>38</v>
      </c>
      <c r="B210" s="8">
        <f t="shared" si="50"/>
        <v>-3558119.3921370376</v>
      </c>
      <c r="C210" s="1">
        <f aca="true" t="shared" si="52" ref="C210:X210">SUM(C211:C215)</f>
        <v>-1337698.6776</v>
      </c>
      <c r="D210" s="1">
        <f t="shared" si="52"/>
        <v>-2565918.1777190007</v>
      </c>
      <c r="E210" s="1">
        <f t="shared" si="52"/>
        <v>0</v>
      </c>
      <c r="F210" s="1">
        <f t="shared" si="52"/>
        <v>0</v>
      </c>
      <c r="G210" s="1">
        <f t="shared" si="52"/>
        <v>0</v>
      </c>
      <c r="H210" s="1">
        <f t="shared" si="52"/>
        <v>0</v>
      </c>
      <c r="I210" s="1">
        <f t="shared" si="52"/>
        <v>0</v>
      </c>
      <c r="J210" s="1">
        <f t="shared" si="52"/>
        <v>0</v>
      </c>
      <c r="K210" s="1">
        <f t="shared" si="52"/>
        <v>0</v>
      </c>
      <c r="L210" s="1">
        <f t="shared" si="52"/>
        <v>0</v>
      </c>
      <c r="M210" s="1">
        <f t="shared" si="52"/>
        <v>0</v>
      </c>
      <c r="N210" s="1">
        <f t="shared" si="52"/>
        <v>0</v>
      </c>
      <c r="O210" s="1">
        <f t="shared" si="52"/>
        <v>0</v>
      </c>
      <c r="P210" s="1">
        <f t="shared" si="52"/>
        <v>0</v>
      </c>
      <c r="Q210" s="1">
        <f t="shared" si="52"/>
        <v>0</v>
      </c>
      <c r="R210" s="1">
        <f t="shared" si="52"/>
        <v>0</v>
      </c>
      <c r="S210" s="1">
        <f t="shared" si="52"/>
        <v>0</v>
      </c>
      <c r="T210" s="1">
        <f t="shared" si="52"/>
        <v>0</v>
      </c>
      <c r="U210" s="1">
        <f t="shared" si="52"/>
        <v>0</v>
      </c>
      <c r="V210" s="1">
        <f t="shared" si="52"/>
        <v>0</v>
      </c>
      <c r="W210" s="1">
        <f t="shared" si="52"/>
        <v>0</v>
      </c>
      <c r="X210" s="1">
        <f t="shared" si="52"/>
        <v>0</v>
      </c>
      <c r="Y210" s="61"/>
    </row>
    <row r="211" spans="1:25" s="32" customFormat="1" ht="11.25">
      <c r="A211" s="15" t="s">
        <v>52</v>
      </c>
      <c r="B211" s="8">
        <f t="shared" si="50"/>
        <v>-501492.98962962965</v>
      </c>
      <c r="C211" s="1">
        <f>C147*$B197</f>
        <v>-282611.61000000004</v>
      </c>
      <c r="D211" s="1">
        <f>D147*$B197</f>
        <v>-252939.3223</v>
      </c>
      <c r="E211" s="1">
        <f>E147*$B197</f>
        <v>0</v>
      </c>
      <c r="F211" s="1">
        <f>F147*$B197</f>
        <v>0</v>
      </c>
      <c r="G211" s="1">
        <f>G147*$B197</f>
        <v>0</v>
      </c>
      <c r="H211" s="1">
        <f>H147*$B197</f>
        <v>0</v>
      </c>
      <c r="I211" s="1">
        <f>I147*$B197</f>
        <v>0</v>
      </c>
      <c r="J211" s="1">
        <f>J147*$B197</f>
        <v>0</v>
      </c>
      <c r="K211" s="1">
        <f>K147*$B197</f>
        <v>0</v>
      </c>
      <c r="L211" s="1">
        <f>L147*$B197</f>
        <v>0</v>
      </c>
      <c r="M211" s="1">
        <f>M147*$B197</f>
        <v>0</v>
      </c>
      <c r="N211" s="1">
        <f>N147*$B197</f>
        <v>0</v>
      </c>
      <c r="O211" s="1">
        <f>O147*$B197</f>
        <v>0</v>
      </c>
      <c r="P211" s="1">
        <f>P147*$B197</f>
        <v>0</v>
      </c>
      <c r="Q211" s="1">
        <f>Q147*$B197</f>
        <v>0</v>
      </c>
      <c r="R211" s="1">
        <f>R147*$B197</f>
        <v>0</v>
      </c>
      <c r="S211" s="1">
        <f>S147*$B197</f>
        <v>0</v>
      </c>
      <c r="T211" s="1">
        <f>T147*$B197</f>
        <v>0</v>
      </c>
      <c r="U211" s="1">
        <f>U147*$B197</f>
        <v>0</v>
      </c>
      <c r="V211" s="1">
        <f>V147*$B197</f>
        <v>0</v>
      </c>
      <c r="W211" s="1">
        <f>W147*$B197</f>
        <v>0</v>
      </c>
      <c r="X211" s="1">
        <f>X147*$B197</f>
        <v>0</v>
      </c>
      <c r="Y211" s="61"/>
    </row>
    <row r="212" spans="1:25" s="32" customFormat="1" ht="11.25">
      <c r="A212" s="15" t="s">
        <v>50</v>
      </c>
      <c r="B212" s="8">
        <f t="shared" si="50"/>
        <v>-1048086.4063407409</v>
      </c>
      <c r="C212" s="1">
        <f>C148*$B198</f>
        <v>-379557.97560000006</v>
      </c>
      <c r="D212" s="1">
        <f>D148*$B198</f>
        <v>-772551.4545640001</v>
      </c>
      <c r="E212" s="1">
        <f>E148*$B198</f>
        <v>0</v>
      </c>
      <c r="F212" s="1">
        <f>F148*$B198</f>
        <v>0</v>
      </c>
      <c r="G212" s="1">
        <f>G148*$B198</f>
        <v>0</v>
      </c>
      <c r="H212" s="1">
        <f>H148*$B198</f>
        <v>0</v>
      </c>
      <c r="I212" s="1">
        <f>I148*$B198</f>
        <v>0</v>
      </c>
      <c r="J212" s="1">
        <f>J148*$B198</f>
        <v>0</v>
      </c>
      <c r="K212" s="1">
        <f>K148*$B198</f>
        <v>0</v>
      </c>
      <c r="L212" s="1">
        <f>L148*$B198</f>
        <v>0</v>
      </c>
      <c r="M212" s="1">
        <f>M148*$B198</f>
        <v>0</v>
      </c>
      <c r="N212" s="1">
        <f>N148*$B198</f>
        <v>0</v>
      </c>
      <c r="O212" s="1">
        <f>O148*$B198</f>
        <v>0</v>
      </c>
      <c r="P212" s="1">
        <f>P148*$B198</f>
        <v>0</v>
      </c>
      <c r="Q212" s="1">
        <f>Q148*$B198</f>
        <v>0</v>
      </c>
      <c r="R212" s="1">
        <f>R148*$B198</f>
        <v>0</v>
      </c>
      <c r="S212" s="1">
        <f>S148*$B198</f>
        <v>0</v>
      </c>
      <c r="T212" s="1">
        <f>T148*$B198</f>
        <v>0</v>
      </c>
      <c r="U212" s="1">
        <f>U148*$B198</f>
        <v>0</v>
      </c>
      <c r="V212" s="1">
        <f>V148*$B198</f>
        <v>0</v>
      </c>
      <c r="W212" s="1">
        <f>W148*$B198</f>
        <v>0</v>
      </c>
      <c r="X212" s="1">
        <f>X148*$B198</f>
        <v>0</v>
      </c>
      <c r="Y212" s="61"/>
    </row>
    <row r="213" spans="1:25" s="32" customFormat="1" ht="11.25">
      <c r="A213" s="15" t="s">
        <v>47</v>
      </c>
      <c r="B213" s="8">
        <f t="shared" si="50"/>
        <v>-1449438.7098333335</v>
      </c>
      <c r="C213" s="1">
        <f>C149*$B199</f>
        <v>-454623.15150000004</v>
      </c>
      <c r="D213" s="1">
        <f>D149*$B199</f>
        <v>-1149608.8592100004</v>
      </c>
      <c r="E213" s="1">
        <f>E149*$B199</f>
        <v>0</v>
      </c>
      <c r="F213" s="1">
        <f>F149*$B199</f>
        <v>0</v>
      </c>
      <c r="G213" s="1">
        <f>G149*$B199</f>
        <v>0</v>
      </c>
      <c r="H213" s="1">
        <f>H149*$B199</f>
        <v>0</v>
      </c>
      <c r="I213" s="1">
        <f>I149*$B199</f>
        <v>0</v>
      </c>
      <c r="J213" s="1">
        <f>J149*$B199</f>
        <v>0</v>
      </c>
      <c r="K213" s="1">
        <f>K149*$B199</f>
        <v>0</v>
      </c>
      <c r="L213" s="1">
        <f>L149*$B199</f>
        <v>0</v>
      </c>
      <c r="M213" s="1">
        <f>M149*$B199</f>
        <v>0</v>
      </c>
      <c r="N213" s="1">
        <f>N149*$B199</f>
        <v>0</v>
      </c>
      <c r="O213" s="1">
        <f>O149*$B199</f>
        <v>0</v>
      </c>
      <c r="P213" s="1">
        <f>P149*$B199</f>
        <v>0</v>
      </c>
      <c r="Q213" s="1">
        <f>Q149*$B199</f>
        <v>0</v>
      </c>
      <c r="R213" s="1">
        <f>R149*$B199</f>
        <v>0</v>
      </c>
      <c r="S213" s="1">
        <f>S149*$B199</f>
        <v>0</v>
      </c>
      <c r="T213" s="1">
        <f>T149*$B199</f>
        <v>0</v>
      </c>
      <c r="U213" s="1">
        <f>U149*$B199</f>
        <v>0</v>
      </c>
      <c r="V213" s="1">
        <f>V149*$B199</f>
        <v>0</v>
      </c>
      <c r="W213" s="1">
        <f>W149*$B199</f>
        <v>0</v>
      </c>
      <c r="X213" s="1">
        <f>X149*$B199</f>
        <v>0</v>
      </c>
      <c r="Y213" s="61"/>
    </row>
    <row r="214" spans="1:25" s="32" customFormat="1" ht="11.25">
      <c r="A214" s="15" t="s">
        <v>53</v>
      </c>
      <c r="B214" s="8">
        <f t="shared" si="50"/>
        <v>-489122.09150000004</v>
      </c>
      <c r="C214" s="1">
        <f>C150*$B200</f>
        <v>-190140.01650000003</v>
      </c>
      <c r="D214" s="1">
        <f>D150*$B200</f>
        <v>-345503.68587000004</v>
      </c>
      <c r="E214" s="1">
        <f>E150*$B200</f>
        <v>0</v>
      </c>
      <c r="F214" s="1">
        <f>F150*$B200</f>
        <v>0</v>
      </c>
      <c r="G214" s="1">
        <f>G150*$B200</f>
        <v>0</v>
      </c>
      <c r="H214" s="1">
        <f>H150*$B200</f>
        <v>0</v>
      </c>
      <c r="I214" s="1">
        <f>I150*$B200</f>
        <v>0</v>
      </c>
      <c r="J214" s="1">
        <f>J150*$B200</f>
        <v>0</v>
      </c>
      <c r="K214" s="1">
        <f>K150*$B200</f>
        <v>0</v>
      </c>
      <c r="L214" s="1">
        <f>L150*$B200</f>
        <v>0</v>
      </c>
      <c r="M214" s="1">
        <f>M150*$B200</f>
        <v>0</v>
      </c>
      <c r="N214" s="1">
        <f>N150*$B200</f>
        <v>0</v>
      </c>
      <c r="O214" s="1">
        <f>O150*$B200</f>
        <v>0</v>
      </c>
      <c r="P214" s="1">
        <f>P150*$B200</f>
        <v>0</v>
      </c>
      <c r="Q214" s="1">
        <f>Q150*$B200</f>
        <v>0</v>
      </c>
      <c r="R214" s="1">
        <f>R150*$B200</f>
        <v>0</v>
      </c>
      <c r="S214" s="1">
        <f>S150*$B200</f>
        <v>0</v>
      </c>
      <c r="T214" s="1">
        <f>T150*$B200</f>
        <v>0</v>
      </c>
      <c r="U214" s="1">
        <f>U150*$B200</f>
        <v>0</v>
      </c>
      <c r="V214" s="1">
        <f>V150*$B200</f>
        <v>0</v>
      </c>
      <c r="W214" s="1">
        <f>W150*$B200</f>
        <v>0</v>
      </c>
      <c r="X214" s="1">
        <f>X150*$B200</f>
        <v>0</v>
      </c>
      <c r="Y214" s="61"/>
    </row>
    <row r="215" spans="1:25" s="32" customFormat="1" ht="11.25">
      <c r="A215" s="15" t="s">
        <v>158</v>
      </c>
      <c r="B215" s="8">
        <f t="shared" si="50"/>
        <v>-69979.19483333334</v>
      </c>
      <c r="C215" s="1">
        <f>C151*$B201</f>
        <v>-30765.924000000003</v>
      </c>
      <c r="D215" s="1">
        <f>D151*$B201</f>
        <v>-45314.85577500001</v>
      </c>
      <c r="E215" s="1">
        <f>E151*$B201</f>
        <v>0</v>
      </c>
      <c r="F215" s="1">
        <f>F151*$B201</f>
        <v>0</v>
      </c>
      <c r="G215" s="1">
        <f>G151*$B201</f>
        <v>0</v>
      </c>
      <c r="H215" s="1">
        <f>H151*$B201</f>
        <v>0</v>
      </c>
      <c r="I215" s="1">
        <f>I151*$B201</f>
        <v>0</v>
      </c>
      <c r="J215" s="1">
        <f>J151*$B201</f>
        <v>0</v>
      </c>
      <c r="K215" s="1">
        <f>K151*$B201</f>
        <v>0</v>
      </c>
      <c r="L215" s="1">
        <f>L151*$B201</f>
        <v>0</v>
      </c>
      <c r="M215" s="1">
        <f>M151*$B201</f>
        <v>0</v>
      </c>
      <c r="N215" s="1">
        <f>N151*$B201</f>
        <v>0</v>
      </c>
      <c r="O215" s="1">
        <f>O151*$B201</f>
        <v>0</v>
      </c>
      <c r="P215" s="1">
        <f>P151*$B201</f>
        <v>0</v>
      </c>
      <c r="Q215" s="1">
        <f>Q151*$B201</f>
        <v>0</v>
      </c>
      <c r="R215" s="1">
        <f>R151*$B201</f>
        <v>0</v>
      </c>
      <c r="S215" s="1">
        <f>S151*$B201</f>
        <v>0</v>
      </c>
      <c r="T215" s="1">
        <f>T151*$B201</f>
        <v>0</v>
      </c>
      <c r="U215" s="1">
        <f>U151*$B201</f>
        <v>0</v>
      </c>
      <c r="V215" s="1">
        <f>V151*$B201</f>
        <v>0</v>
      </c>
      <c r="W215" s="1">
        <f>W151*$B201</f>
        <v>0</v>
      </c>
      <c r="X215" s="1">
        <f>X151*$B201</f>
        <v>0</v>
      </c>
      <c r="Y215" s="61"/>
    </row>
    <row r="216" spans="1:25" s="32" customFormat="1" ht="11.25">
      <c r="A216" s="1" t="s">
        <v>37</v>
      </c>
      <c r="B216" s="8">
        <f t="shared" si="50"/>
        <v>-5606183.868848201</v>
      </c>
      <c r="C216" s="1">
        <f>C208+C209+C210</f>
        <v>-1337698.6776</v>
      </c>
      <c r="D216" s="1">
        <f>D208+D209+D210</f>
        <v>-2565918.1777190007</v>
      </c>
      <c r="E216" s="1">
        <f>E208+E209+E210</f>
        <v>-186164.2902</v>
      </c>
      <c r="F216" s="1">
        <f>F208+F209+F210</f>
        <v>-213792.17757500004</v>
      </c>
      <c r="G216" s="1">
        <f>G208+G209+G210</f>
        <v>-244229.06992052007</v>
      </c>
      <c r="H216" s="1">
        <f>H208+H209+H210</f>
        <v>-277727.1210405454</v>
      </c>
      <c r="I216" s="1">
        <f>I208+I209+I210</f>
        <v>-319173.1038816087</v>
      </c>
      <c r="J216" s="1">
        <f>J208+J209+J210</f>
        <v>-364849.7169725315</v>
      </c>
      <c r="K216" s="1">
        <f>K208+K209+K210</f>
        <v>-420370.4708102163</v>
      </c>
      <c r="L216" s="1">
        <f>L208+L209+L210</f>
        <v>-481597.48208244186</v>
      </c>
      <c r="M216" s="1">
        <f>M208+M209+M210</f>
        <v>-513427.9325342849</v>
      </c>
      <c r="N216" s="1">
        <f>N208+N209+N210</f>
        <v>-547392.4458530605</v>
      </c>
      <c r="O216" s="1">
        <f>O208+O209+O210</f>
        <v>-583635.7030062191</v>
      </c>
      <c r="P216" s="1">
        <f>P208+P209+P210</f>
        <v>-622312.2774572712</v>
      </c>
      <c r="Q216" s="1">
        <f>Q208+Q209+Q210</f>
        <v>-663587.3158819277</v>
      </c>
      <c r="R216" s="1">
        <f>R208+R209+R210</f>
        <v>-707637.2659464426</v>
      </c>
      <c r="S216" s="1">
        <f>S208+S209+S210</f>
        <v>-754650.6544131124</v>
      </c>
      <c r="T216" s="1">
        <f>T208+T209+T210</f>
        <v>-804828.9190649702</v>
      </c>
      <c r="U216" s="1">
        <f>U208+U209+U210</f>
        <v>-858387.2981846051</v>
      </c>
      <c r="V216" s="1">
        <f>V208+V209+V210</f>
        <v>-915555.7815818687</v>
      </c>
      <c r="W216" s="1">
        <f>W208+W209+W210</f>
        <v>-976580.1274431578</v>
      </c>
      <c r="X216" s="1">
        <f>X208+X209+X210</f>
        <v>-1041722.949572265</v>
      </c>
      <c r="Y216" s="61"/>
    </row>
    <row r="217" spans="1:25" s="32" customFormat="1" ht="11.25">
      <c r="A217" s="2" t="s">
        <v>18</v>
      </c>
      <c r="B217" s="2">
        <f t="shared" si="50"/>
        <v>1654028.09625733</v>
      </c>
      <c r="C217" s="1">
        <f>C207+C216</f>
        <v>-1337698.6776</v>
      </c>
      <c r="D217" s="1">
        <f>D207+D216</f>
        <v>-2565918.1777190007</v>
      </c>
      <c r="E217" s="1">
        <f>E207+E216</f>
        <v>1175063.0649810003</v>
      </c>
      <c r="F217" s="1">
        <f>F207+F216</f>
        <v>375069.8219574001</v>
      </c>
      <c r="G217" s="1">
        <f>G207+G216</f>
        <v>565032.0582795345</v>
      </c>
      <c r="H217" s="1">
        <f>H207+H216</f>
        <v>566060.020016907</v>
      </c>
      <c r="I217" s="1">
        <f>I207+I216</f>
        <v>751626.2158932681</v>
      </c>
      <c r="J217" s="1">
        <f>J207+J216</f>
        <v>846036.8387054752</v>
      </c>
      <c r="K217" s="1">
        <f>K207+K216</f>
        <v>1121753.0165375716</v>
      </c>
      <c r="L217" s="1">
        <f>L207+L216</f>
        <v>1152603.6722290788</v>
      </c>
      <c r="M217" s="1">
        <f>M207+M216</f>
        <v>1544698.4112764476</v>
      </c>
      <c r="N217" s="1">
        <f>N207+N216</f>
        <v>1643730.9681730913</v>
      </c>
      <c r="O217" s="1">
        <f>O207+O216</f>
        <v>2461172.1267464207</v>
      </c>
      <c r="P217" s="1">
        <f>P207+P216</f>
        <v>839236.9783548994</v>
      </c>
      <c r="Q217" s="1">
        <f>Q207+Q216</f>
        <v>1571327.5572329608</v>
      </c>
      <c r="R217" s="1">
        <f>R207+R216</f>
        <v>965690.4770329118</v>
      </c>
      <c r="S217" s="1">
        <f>S207+S216</f>
        <v>1103437.1054263464</v>
      </c>
      <c r="T217" s="1">
        <f>T207+T216</f>
        <v>1183324.9839632506</v>
      </c>
      <c r="U217" s="1">
        <f>U207+U216</f>
        <v>2050819.781547298</v>
      </c>
      <c r="V217" s="1">
        <f>V207+V216</f>
        <v>1444885.9558988416</v>
      </c>
      <c r="W217" s="1">
        <f>W207+W216</f>
        <v>1637737.8315445844</v>
      </c>
      <c r="X217" s="1">
        <f>X207+X216</f>
        <v>1755597.2665446196</v>
      </c>
      <c r="Y217" s="61"/>
    </row>
    <row r="218" spans="1:25" s="32" customFormat="1" ht="11.25">
      <c r="A218" s="29" t="s">
        <v>24</v>
      </c>
      <c r="B218" s="17">
        <f>IRR(C217:X217,10%)</f>
        <v>0.21704936094655994</v>
      </c>
      <c r="C218" s="1"/>
      <c r="D218" s="1"/>
      <c r="E218" s="1"/>
      <c r="F218" s="1"/>
      <c r="G218" s="1"/>
      <c r="H218" s="1"/>
      <c r="I218" s="1"/>
      <c r="J218" s="1"/>
      <c r="K218" s="1"/>
      <c r="L218" s="1"/>
      <c r="M218" s="1"/>
      <c r="N218" s="1"/>
      <c r="O218" s="1"/>
      <c r="P218" s="1"/>
      <c r="Q218" s="1"/>
      <c r="R218" s="1"/>
      <c r="S218" s="1"/>
      <c r="T218" s="1"/>
      <c r="U218" s="1"/>
      <c r="V218" s="1"/>
      <c r="W218" s="1"/>
      <c r="X218" s="1"/>
      <c r="Y218" s="61"/>
    </row>
    <row r="219" spans="1:25" s="32" customFormat="1" ht="11.25">
      <c r="A219" s="29" t="s">
        <v>25</v>
      </c>
      <c r="B219" s="17">
        <f>(1+B218)/(1+$B$5)-1</f>
        <v>0.1374293092958505</v>
      </c>
      <c r="C219" s="1"/>
      <c r="D219" s="1"/>
      <c r="E219" s="1"/>
      <c r="F219" s="1"/>
      <c r="G219" s="1"/>
      <c r="H219" s="1"/>
      <c r="I219" s="1"/>
      <c r="J219" s="1"/>
      <c r="K219" s="1"/>
      <c r="L219" s="1"/>
      <c r="M219" s="1"/>
      <c r="N219" s="1"/>
      <c r="O219" s="1"/>
      <c r="P219" s="1"/>
      <c r="Q219" s="1"/>
      <c r="R219" s="1"/>
      <c r="S219" s="1"/>
      <c r="T219" s="1"/>
      <c r="U219" s="1"/>
      <c r="V219" s="1"/>
      <c r="W219" s="1"/>
      <c r="X219" s="1"/>
      <c r="Y219" s="61"/>
    </row>
    <row r="220" spans="1:25" s="32" customFormat="1" ht="11.25">
      <c r="A220" s="29"/>
      <c r="B220" s="17"/>
      <c r="C220" s="1"/>
      <c r="D220" s="1"/>
      <c r="E220" s="1"/>
      <c r="F220" s="1"/>
      <c r="G220" s="1"/>
      <c r="H220" s="1"/>
      <c r="I220" s="1"/>
      <c r="J220" s="1"/>
      <c r="K220" s="1"/>
      <c r="L220" s="1"/>
      <c r="M220" s="1"/>
      <c r="N220" s="1"/>
      <c r="O220" s="1"/>
      <c r="P220" s="1"/>
      <c r="Q220" s="1"/>
      <c r="R220" s="1"/>
      <c r="S220" s="1"/>
      <c r="T220" s="1"/>
      <c r="U220" s="1"/>
      <c r="V220" s="1"/>
      <c r="W220" s="1"/>
      <c r="X220" s="1"/>
      <c r="Y220" s="61"/>
    </row>
    <row r="221" spans="1:25" s="32" customFormat="1" ht="11.25">
      <c r="A221" s="49" t="s">
        <v>132</v>
      </c>
      <c r="B221" s="17"/>
      <c r="C221" s="1"/>
      <c r="D221" s="1"/>
      <c r="E221" s="1"/>
      <c r="F221" s="1"/>
      <c r="G221" s="1"/>
      <c r="H221" s="1"/>
      <c r="I221" s="1"/>
      <c r="J221" s="1"/>
      <c r="K221" s="1"/>
      <c r="L221" s="1"/>
      <c r="M221" s="1"/>
      <c r="N221" s="1"/>
      <c r="O221" s="1"/>
      <c r="P221" s="1"/>
      <c r="Q221" s="1"/>
      <c r="R221" s="1"/>
      <c r="S221" s="1"/>
      <c r="T221" s="1"/>
      <c r="U221" s="1"/>
      <c r="V221" s="1"/>
      <c r="W221" s="1"/>
      <c r="X221" s="1"/>
      <c r="Y221" s="61"/>
    </row>
    <row r="222" spans="1:25" s="32" customFormat="1" ht="11.25">
      <c r="A222" s="51" t="s">
        <v>77</v>
      </c>
      <c r="B222" s="17"/>
      <c r="C222" s="1"/>
      <c r="D222" s="1"/>
      <c r="E222" s="1"/>
      <c r="F222" s="1"/>
      <c r="G222" s="1"/>
      <c r="H222" s="1"/>
      <c r="I222" s="1"/>
      <c r="J222" s="1"/>
      <c r="K222" s="1"/>
      <c r="L222" s="1"/>
      <c r="M222" s="1"/>
      <c r="N222" s="1"/>
      <c r="O222" s="1"/>
      <c r="P222" s="1"/>
      <c r="Q222" s="1"/>
      <c r="R222" s="1"/>
      <c r="S222" s="1"/>
      <c r="T222" s="1"/>
      <c r="U222" s="1"/>
      <c r="V222" s="1"/>
      <c r="W222" s="1"/>
      <c r="X222" s="1"/>
      <c r="Y222" s="61"/>
    </row>
    <row r="223" spans="1:25" s="32" customFormat="1" ht="11.25">
      <c r="A223" s="16" t="s">
        <v>96</v>
      </c>
      <c r="B223" s="86">
        <v>0.85</v>
      </c>
      <c r="C223" s="1"/>
      <c r="D223" s="1"/>
      <c r="E223" s="1">
        <f>E$225*$B223</f>
        <v>21479.5</v>
      </c>
      <c r="F223" s="1">
        <f>F$225*$B223</f>
        <v>23269.6</v>
      </c>
      <c r="G223" s="1">
        <f>G$225*$B223</f>
        <v>25953.899999999998</v>
      </c>
      <c r="H223" s="1">
        <f>H$225*$B223</f>
        <v>27744</v>
      </c>
      <c r="I223" s="1">
        <f>I$225*$B223</f>
        <v>31323.35</v>
      </c>
      <c r="J223" s="1">
        <f>J$225*$B223</f>
        <v>34009.35</v>
      </c>
      <c r="K223" s="1">
        <f>K$225*$B223</f>
        <v>37588.7</v>
      </c>
      <c r="L223" s="1">
        <f>L$225*$B223</f>
        <v>42063.95</v>
      </c>
      <c r="M223" s="1">
        <f>M$225*$B223</f>
        <v>45644.15</v>
      </c>
      <c r="N223" s="1">
        <f>N$225*$B223</f>
        <v>50117.7</v>
      </c>
      <c r="O223" s="1">
        <f>O$225*$B223</f>
        <v>54891.299999999996</v>
      </c>
      <c r="P223" s="1">
        <f>P$225*$B223</f>
        <v>54891.299999999996</v>
      </c>
      <c r="Q223" s="1">
        <f>Q$225*$B223</f>
        <v>54891.299999999996</v>
      </c>
      <c r="R223" s="1">
        <f>R$225*$B223</f>
        <v>54891.299999999996</v>
      </c>
      <c r="S223" s="1">
        <f>S$225*$B223</f>
        <v>54891.299999999996</v>
      </c>
      <c r="T223" s="1">
        <f>T$225*$B223</f>
        <v>54891.299999999996</v>
      </c>
      <c r="U223" s="1">
        <f>U$225*$B223</f>
        <v>54891.299999999996</v>
      </c>
      <c r="V223" s="1">
        <f>V$225*$B223</f>
        <v>54891.299999999996</v>
      </c>
      <c r="W223" s="1">
        <f>W$225*$B223</f>
        <v>54891.299999999996</v>
      </c>
      <c r="X223" s="1">
        <f>X$225*$B223</f>
        <v>54891.299999999996</v>
      </c>
      <c r="Y223" s="61"/>
    </row>
    <row r="224" spans="1:25" s="32" customFormat="1" ht="11.25">
      <c r="A224" s="16" t="s">
        <v>97</v>
      </c>
      <c r="B224" s="86">
        <v>0.7</v>
      </c>
      <c r="C224" s="1"/>
      <c r="D224" s="1"/>
      <c r="E224" s="1">
        <f>E$225*$B224</f>
        <v>17689</v>
      </c>
      <c r="F224" s="1">
        <f>F$225*$B224</f>
        <v>19163.199999999997</v>
      </c>
      <c r="G224" s="1">
        <f>G$225*$B224</f>
        <v>21373.8</v>
      </c>
      <c r="H224" s="1">
        <f>H$225*$B224</f>
        <v>22848</v>
      </c>
      <c r="I224" s="1">
        <f>I$225*$B224</f>
        <v>25795.699999999997</v>
      </c>
      <c r="J224" s="1">
        <f>J$225*$B224</f>
        <v>28007.699999999997</v>
      </c>
      <c r="K224" s="1">
        <f>K$225*$B224</f>
        <v>30955.399999999998</v>
      </c>
      <c r="L224" s="1">
        <f>L$225*$B224</f>
        <v>34640.899999999994</v>
      </c>
      <c r="M224" s="1">
        <f>M$225*$B224</f>
        <v>37589.299999999996</v>
      </c>
      <c r="N224" s="1">
        <f>N$225*$B224</f>
        <v>41273.399999999994</v>
      </c>
      <c r="O224" s="1">
        <f>O$225*$B224</f>
        <v>45204.6</v>
      </c>
      <c r="P224" s="1">
        <f>P$225*$B224</f>
        <v>45204.6</v>
      </c>
      <c r="Q224" s="1">
        <f>Q$225*$B224</f>
        <v>45204.6</v>
      </c>
      <c r="R224" s="1">
        <f>R$225*$B224</f>
        <v>45204.6</v>
      </c>
      <c r="S224" s="1">
        <f>S$225*$B224</f>
        <v>45204.6</v>
      </c>
      <c r="T224" s="1">
        <f>T$225*$B224</f>
        <v>45204.6</v>
      </c>
      <c r="U224" s="1">
        <f>U$225*$B224</f>
        <v>45204.6</v>
      </c>
      <c r="V224" s="1">
        <f>V$225*$B224</f>
        <v>45204.6</v>
      </c>
      <c r="W224" s="1">
        <f>W$225*$B224</f>
        <v>45204.6</v>
      </c>
      <c r="X224" s="1">
        <f>X$225*$B224</f>
        <v>45204.6</v>
      </c>
      <c r="Y224" s="61"/>
    </row>
    <row r="225" spans="1:25" s="32" customFormat="1" ht="11.25">
      <c r="A225" s="16" t="s">
        <v>95</v>
      </c>
      <c r="B225" s="87"/>
      <c r="C225" s="1"/>
      <c r="D225" s="1"/>
      <c r="E225" s="42">
        <v>25270</v>
      </c>
      <c r="F225" s="42">
        <v>27376</v>
      </c>
      <c r="G225" s="42">
        <v>30534</v>
      </c>
      <c r="H225" s="42">
        <v>32640</v>
      </c>
      <c r="I225" s="42">
        <v>36851</v>
      </c>
      <c r="J225" s="42">
        <v>40011</v>
      </c>
      <c r="K225" s="42">
        <v>44222</v>
      </c>
      <c r="L225" s="42">
        <v>49487</v>
      </c>
      <c r="M225" s="42">
        <v>53699</v>
      </c>
      <c r="N225" s="42">
        <v>58962</v>
      </c>
      <c r="O225" s="42">
        <v>64578</v>
      </c>
      <c r="P225" s="42">
        <v>64578</v>
      </c>
      <c r="Q225" s="42">
        <v>64578</v>
      </c>
      <c r="R225" s="42">
        <v>64578</v>
      </c>
      <c r="S225" s="42">
        <v>64578</v>
      </c>
      <c r="T225" s="42">
        <v>64578</v>
      </c>
      <c r="U225" s="42">
        <v>64578</v>
      </c>
      <c r="V225" s="42">
        <v>64578</v>
      </c>
      <c r="W225" s="42">
        <v>64578</v>
      </c>
      <c r="X225" s="42">
        <v>64578</v>
      </c>
      <c r="Y225" s="61"/>
    </row>
    <row r="226" spans="1:25" s="32" customFormat="1" ht="11.25">
      <c r="A226" s="51" t="s">
        <v>78</v>
      </c>
      <c r="B226" s="88"/>
      <c r="C226" s="42"/>
      <c r="D226" s="42"/>
      <c r="E226" s="42"/>
      <c r="F226" s="42"/>
      <c r="G226" s="42"/>
      <c r="H226" s="42"/>
      <c r="I226" s="42"/>
      <c r="J226" s="42"/>
      <c r="K226" s="42"/>
      <c r="L226" s="42"/>
      <c r="M226" s="42"/>
      <c r="N226" s="42"/>
      <c r="O226" s="42"/>
      <c r="P226" s="42"/>
      <c r="Q226" s="42"/>
      <c r="R226" s="42"/>
      <c r="S226" s="42"/>
      <c r="T226" s="42"/>
      <c r="U226" s="42"/>
      <c r="V226" s="42"/>
      <c r="W226" s="42"/>
      <c r="X226" s="42"/>
      <c r="Y226" s="61"/>
    </row>
    <row r="227" spans="1:25" s="32" customFormat="1" ht="11.25">
      <c r="A227" s="16" t="s">
        <v>96</v>
      </c>
      <c r="B227" s="89">
        <f>B223</f>
        <v>0.85</v>
      </c>
      <c r="C227" s="42"/>
      <c r="D227" s="42"/>
      <c r="E227" s="1">
        <f>E$229*$B227</f>
        <v>125594.3</v>
      </c>
      <c r="F227" s="1">
        <f>F$229*$B227</f>
        <v>136035.69999999998</v>
      </c>
      <c r="G227" s="1">
        <f>G$229*$B227</f>
        <v>153636.65</v>
      </c>
      <c r="H227" s="1">
        <f>H$229*$B227</f>
        <v>167657.4</v>
      </c>
      <c r="I227" s="1">
        <f>I$229*$B227</f>
        <v>184960.85</v>
      </c>
      <c r="J227" s="1">
        <f>J$229*$B227</f>
        <v>202561.8</v>
      </c>
      <c r="K227" s="1">
        <f>K$229*$B227</f>
        <v>223443.75</v>
      </c>
      <c r="L227" s="1">
        <f>L$229*$B227</f>
        <v>244327.4</v>
      </c>
      <c r="M227" s="1">
        <f>M$229*$B227</f>
        <v>268789.55</v>
      </c>
      <c r="N227" s="1">
        <f>N$229*$B227</f>
        <v>296831.89999999997</v>
      </c>
      <c r="O227" s="1">
        <f>O$229*$B227</f>
        <v>324575.89999999997</v>
      </c>
      <c r="P227" s="1">
        <f>P$229*$B227</f>
        <v>324575.89999999997</v>
      </c>
      <c r="Q227" s="1">
        <f>Q$229*$B227</f>
        <v>324575.89999999997</v>
      </c>
      <c r="R227" s="1">
        <f>R$229*$B227</f>
        <v>324575.89999999997</v>
      </c>
      <c r="S227" s="1">
        <f>S$229*$B227</f>
        <v>324575.89999999997</v>
      </c>
      <c r="T227" s="1">
        <f>T$229*$B227</f>
        <v>324575.89999999997</v>
      </c>
      <c r="U227" s="1">
        <f>U$229*$B227</f>
        <v>324575.89999999997</v>
      </c>
      <c r="V227" s="1">
        <f>V$229*$B227</f>
        <v>324575.89999999997</v>
      </c>
      <c r="W227" s="1">
        <f>W$229*$B227</f>
        <v>324575.89999999997</v>
      </c>
      <c r="X227" s="1">
        <f>X$229*$B227</f>
        <v>324575.89999999997</v>
      </c>
      <c r="Y227" s="61"/>
    </row>
    <row r="228" spans="1:25" s="32" customFormat="1" ht="11.25">
      <c r="A228" s="16" t="s">
        <v>97</v>
      </c>
      <c r="B228" s="89">
        <f>B224</f>
        <v>0.7</v>
      </c>
      <c r="C228" s="42"/>
      <c r="D228" s="42"/>
      <c r="E228" s="1">
        <f>E$229*$B228</f>
        <v>103430.59999999999</v>
      </c>
      <c r="F228" s="1">
        <f>F$229*$B228</f>
        <v>112029.4</v>
      </c>
      <c r="G228" s="1">
        <f>G$229*$B228</f>
        <v>126524.29999999999</v>
      </c>
      <c r="H228" s="1">
        <f>H$229*$B228</f>
        <v>138070.8</v>
      </c>
      <c r="I228" s="1">
        <f>I$229*$B228</f>
        <v>152320.69999999998</v>
      </c>
      <c r="J228" s="1">
        <f>J$229*$B228</f>
        <v>166815.59999999998</v>
      </c>
      <c r="K228" s="1">
        <f>K$229*$B228</f>
        <v>184012.5</v>
      </c>
      <c r="L228" s="1">
        <f>L$229*$B228</f>
        <v>201210.8</v>
      </c>
      <c r="M228" s="1">
        <f>M$229*$B228</f>
        <v>221356.09999999998</v>
      </c>
      <c r="N228" s="1">
        <f>N$229*$B228</f>
        <v>244449.8</v>
      </c>
      <c r="O228" s="1">
        <f>O$229*$B228</f>
        <v>267297.8</v>
      </c>
      <c r="P228" s="1">
        <f>P$229*$B228</f>
        <v>267297.8</v>
      </c>
      <c r="Q228" s="1">
        <f>Q$229*$B228</f>
        <v>267297.8</v>
      </c>
      <c r="R228" s="1">
        <f>R$229*$B228</f>
        <v>267297.8</v>
      </c>
      <c r="S228" s="1">
        <f>S$229*$B228</f>
        <v>267297.8</v>
      </c>
      <c r="T228" s="1">
        <f>T$229*$B228</f>
        <v>267297.8</v>
      </c>
      <c r="U228" s="1">
        <f>U$229*$B228</f>
        <v>267297.8</v>
      </c>
      <c r="V228" s="1">
        <f>V$229*$B228</f>
        <v>267297.8</v>
      </c>
      <c r="W228" s="1">
        <f>W$229*$B228</f>
        <v>267297.8</v>
      </c>
      <c r="X228" s="1">
        <f>X$229*$B228</f>
        <v>267297.8</v>
      </c>
      <c r="Y228" s="61"/>
    </row>
    <row r="229" spans="1:25" s="32" customFormat="1" ht="11.25">
      <c r="A229" s="16" t="s">
        <v>95</v>
      </c>
      <c r="B229" s="88"/>
      <c r="C229" s="42"/>
      <c r="D229" s="42"/>
      <c r="E229" s="42">
        <v>147758</v>
      </c>
      <c r="F229" s="42">
        <v>160042</v>
      </c>
      <c r="G229" s="42">
        <v>180749</v>
      </c>
      <c r="H229" s="42">
        <v>197244</v>
      </c>
      <c r="I229" s="42">
        <v>217601</v>
      </c>
      <c r="J229" s="42">
        <v>238308</v>
      </c>
      <c r="K229" s="42">
        <v>262875</v>
      </c>
      <c r="L229" s="42">
        <v>287444</v>
      </c>
      <c r="M229" s="42">
        <v>316223</v>
      </c>
      <c r="N229" s="42">
        <v>349214</v>
      </c>
      <c r="O229" s="42">
        <v>381854</v>
      </c>
      <c r="P229" s="42">
        <v>381854</v>
      </c>
      <c r="Q229" s="42">
        <v>381854</v>
      </c>
      <c r="R229" s="42">
        <v>381854</v>
      </c>
      <c r="S229" s="42">
        <v>381854</v>
      </c>
      <c r="T229" s="42">
        <v>381854</v>
      </c>
      <c r="U229" s="42">
        <v>381854</v>
      </c>
      <c r="V229" s="42">
        <v>381854</v>
      </c>
      <c r="W229" s="42">
        <v>381854</v>
      </c>
      <c r="X229" s="42">
        <v>381854</v>
      </c>
      <c r="Y229" s="61"/>
    </row>
    <row r="230" spans="1:25" s="32" customFormat="1" ht="11.25">
      <c r="A230" s="50"/>
      <c r="B230" s="88"/>
      <c r="C230" s="42"/>
      <c r="D230" s="42"/>
      <c r="E230" s="42"/>
      <c r="F230" s="42"/>
      <c r="G230" s="42"/>
      <c r="H230" s="42"/>
      <c r="I230" s="42"/>
      <c r="J230" s="42"/>
      <c r="K230" s="42"/>
      <c r="L230" s="42"/>
      <c r="M230" s="42"/>
      <c r="N230" s="42"/>
      <c r="O230" s="42"/>
      <c r="P230" s="42"/>
      <c r="Q230" s="42"/>
      <c r="R230" s="42"/>
      <c r="S230" s="42"/>
      <c r="T230" s="42"/>
      <c r="U230" s="42"/>
      <c r="V230" s="42"/>
      <c r="W230" s="42"/>
      <c r="X230" s="42"/>
      <c r="Y230" s="61"/>
    </row>
    <row r="231" spans="1:25" s="32" customFormat="1" ht="11.25">
      <c r="A231" s="29" t="s">
        <v>98</v>
      </c>
      <c r="B231" s="87">
        <v>3</v>
      </c>
      <c r="C231" s="1"/>
      <c r="D231" s="1"/>
      <c r="E231" s="1"/>
      <c r="F231" s="1"/>
      <c r="G231" s="1"/>
      <c r="H231" s="1"/>
      <c r="I231" s="1"/>
      <c r="J231" s="1"/>
      <c r="K231" s="1"/>
      <c r="L231" s="1"/>
      <c r="M231" s="1"/>
      <c r="N231" s="1"/>
      <c r="O231" s="1"/>
      <c r="P231" s="1"/>
      <c r="Q231" s="1"/>
      <c r="R231" s="1"/>
      <c r="S231" s="1"/>
      <c r="T231" s="1"/>
      <c r="U231" s="1"/>
      <c r="V231" s="1"/>
      <c r="W231" s="1"/>
      <c r="X231" s="1"/>
      <c r="Y231" s="61"/>
    </row>
    <row r="232" spans="1:25" s="32" customFormat="1" ht="11.25">
      <c r="A232" s="29"/>
      <c r="B232" s="17"/>
      <c r="C232" s="1"/>
      <c r="D232" s="1"/>
      <c r="E232" s="1"/>
      <c r="F232" s="1"/>
      <c r="G232" s="1"/>
      <c r="H232" s="1"/>
      <c r="I232" s="1"/>
      <c r="J232" s="1"/>
      <c r="K232" s="1"/>
      <c r="L232" s="1"/>
      <c r="M232" s="1"/>
      <c r="N232" s="1"/>
      <c r="O232" s="1"/>
      <c r="P232" s="1"/>
      <c r="Q232" s="1"/>
      <c r="R232" s="1"/>
      <c r="S232" s="1"/>
      <c r="T232" s="1"/>
      <c r="U232" s="1"/>
      <c r="V232" s="1"/>
      <c r="W232" s="1"/>
      <c r="X232" s="1"/>
      <c r="Y232" s="61"/>
    </row>
    <row r="233" spans="1:25" s="32" customFormat="1" ht="11.25">
      <c r="A233" s="29" t="s">
        <v>99</v>
      </c>
      <c r="B233" s="17"/>
      <c r="C233" s="1"/>
      <c r="D233" s="1"/>
      <c r="E233" s="1"/>
      <c r="F233" s="1"/>
      <c r="G233" s="1"/>
      <c r="H233" s="1"/>
      <c r="I233" s="1"/>
      <c r="J233" s="1"/>
      <c r="K233" s="1"/>
      <c r="L233" s="1"/>
      <c r="M233" s="1"/>
      <c r="N233" s="1"/>
      <c r="O233" s="1"/>
      <c r="P233" s="1"/>
      <c r="Q233" s="1"/>
      <c r="R233" s="1"/>
      <c r="S233" s="1"/>
      <c r="T233" s="1"/>
      <c r="U233" s="1"/>
      <c r="V233" s="1"/>
      <c r="W233" s="1"/>
      <c r="X233" s="1"/>
      <c r="Y233" s="61"/>
    </row>
    <row r="234" spans="1:25" s="32" customFormat="1" ht="11.25">
      <c r="A234" s="29"/>
      <c r="B234" s="60" t="s">
        <v>100</v>
      </c>
      <c r="C234" s="60">
        <v>1</v>
      </c>
      <c r="D234" s="60">
        <v>2</v>
      </c>
      <c r="E234" s="42"/>
      <c r="F234" s="1"/>
      <c r="G234" s="1"/>
      <c r="H234" s="1"/>
      <c r="I234" s="1"/>
      <c r="J234" s="1"/>
      <c r="K234" s="1"/>
      <c r="L234" s="1"/>
      <c r="M234" s="1"/>
      <c r="N234" s="1"/>
      <c r="O234" s="1"/>
      <c r="P234" s="1"/>
      <c r="Q234" s="1"/>
      <c r="R234" s="1"/>
      <c r="S234" s="1"/>
      <c r="T234" s="1"/>
      <c r="U234" s="1"/>
      <c r="V234" s="1"/>
      <c r="W234" s="1"/>
      <c r="X234" s="1"/>
      <c r="Y234" s="61"/>
    </row>
    <row r="235" spans="1:25" s="32" customFormat="1" ht="11.25">
      <c r="A235" s="16" t="str">
        <f>A207</f>
        <v>Doanh thu</v>
      </c>
      <c r="B235" s="42">
        <f>B207</f>
        <v>7260211.965105532</v>
      </c>
      <c r="C235" s="1">
        <f t="dataTable" ref="C235:D247" dt2D="0" dtr="1" r1="B231"/>
        <v>6795203.368699786</v>
      </c>
      <c r="D235" s="1">
        <v>6330194.772294044</v>
      </c>
      <c r="E235" s="1"/>
      <c r="F235" s="1"/>
      <c r="G235" s="1"/>
      <c r="H235" s="1"/>
      <c r="I235" s="1"/>
      <c r="J235" s="1"/>
      <c r="K235" s="1"/>
      <c r="L235" s="1"/>
      <c r="M235" s="1"/>
      <c r="N235" s="1"/>
      <c r="O235" s="1"/>
      <c r="P235" s="1"/>
      <c r="Q235" s="1"/>
      <c r="R235" s="1"/>
      <c r="S235" s="1"/>
      <c r="T235" s="1"/>
      <c r="U235" s="1"/>
      <c r="V235" s="1"/>
      <c r="W235" s="1"/>
      <c r="X235" s="1"/>
      <c r="Y235" s="61"/>
    </row>
    <row r="236" spans="1:25" s="32" customFormat="1" ht="11.25">
      <c r="A236" s="16" t="str">
        <f>A208</f>
        <v>Chi phí hoạt động</v>
      </c>
      <c r="B236" s="42">
        <f>B208</f>
        <v>-2048064.476711163</v>
      </c>
      <c r="C236" s="1">
        <v>-2048064.476711163</v>
      </c>
      <c r="D236" s="1">
        <v>-2048064.476711163</v>
      </c>
      <c r="E236" s="1"/>
      <c r="F236" s="1"/>
      <c r="G236" s="1"/>
      <c r="H236" s="1"/>
      <c r="I236" s="1"/>
      <c r="J236" s="1"/>
      <c r="K236" s="1"/>
      <c r="L236" s="1"/>
      <c r="M236" s="1"/>
      <c r="N236" s="1"/>
      <c r="O236" s="1"/>
      <c r="P236" s="1"/>
      <c r="Q236" s="1"/>
      <c r="R236" s="1"/>
      <c r="S236" s="1"/>
      <c r="T236" s="1"/>
      <c r="U236" s="1"/>
      <c r="V236" s="1"/>
      <c r="W236" s="1"/>
      <c r="X236" s="1"/>
      <c r="Y236" s="61"/>
    </row>
    <row r="237" spans="1:25" s="32" customFormat="1" ht="11.25">
      <c r="A237" s="16" t="str">
        <f>A209</f>
        <v>Thuế thu nhập doanh nghiệp</v>
      </c>
      <c r="B237" s="42">
        <f>B209</f>
        <v>0</v>
      </c>
      <c r="C237" s="1">
        <v>0</v>
      </c>
      <c r="D237" s="1">
        <v>0</v>
      </c>
      <c r="E237" s="1"/>
      <c r="F237" s="1"/>
      <c r="G237" s="1"/>
      <c r="H237" s="1"/>
      <c r="I237" s="1"/>
      <c r="J237" s="1"/>
      <c r="K237" s="1"/>
      <c r="L237" s="1"/>
      <c r="M237" s="1"/>
      <c r="N237" s="1"/>
      <c r="O237" s="1"/>
      <c r="P237" s="1"/>
      <c r="Q237" s="1"/>
      <c r="R237" s="1"/>
      <c r="S237" s="1"/>
      <c r="T237" s="1"/>
      <c r="U237" s="1"/>
      <c r="V237" s="1"/>
      <c r="W237" s="1"/>
      <c r="X237" s="1"/>
      <c r="Y237" s="61"/>
    </row>
    <row r="238" spans="1:25" s="32" customFormat="1" ht="11.25">
      <c r="A238" s="16" t="str">
        <f>A210</f>
        <v>Chi phí đầu tư</v>
      </c>
      <c r="B238" s="42">
        <f>B210</f>
        <v>-3558119.3921370376</v>
      </c>
      <c r="C238" s="1">
        <v>-3558119.3921370376</v>
      </c>
      <c r="D238" s="1">
        <v>-3558119.3921370376</v>
      </c>
      <c r="E238" s="1"/>
      <c r="F238" s="1"/>
      <c r="G238" s="1"/>
      <c r="H238" s="1"/>
      <c r="I238" s="1"/>
      <c r="J238" s="1"/>
      <c r="K238" s="1"/>
      <c r="L238" s="1"/>
      <c r="M238" s="1"/>
      <c r="N238" s="1"/>
      <c r="O238" s="1"/>
      <c r="P238" s="1"/>
      <c r="Q238" s="1"/>
      <c r="R238" s="1"/>
      <c r="S238" s="1"/>
      <c r="T238" s="1"/>
      <c r="U238" s="1"/>
      <c r="V238" s="1"/>
      <c r="W238" s="1"/>
      <c r="X238" s="1"/>
      <c r="Y238" s="61"/>
    </row>
    <row r="239" spans="1:25" s="32" customFormat="1" ht="11.25">
      <c r="A239" s="16" t="str">
        <f>A211</f>
        <v>Trạm và kho bãi</v>
      </c>
      <c r="B239" s="42">
        <f>B211</f>
        <v>-501492.98962962965</v>
      </c>
      <c r="C239" s="1">
        <v>-501492.98962962965</v>
      </c>
      <c r="D239" s="1">
        <v>-501492.98962962965</v>
      </c>
      <c r="E239" s="1"/>
      <c r="F239" s="1"/>
      <c r="G239" s="1"/>
      <c r="H239" s="1"/>
      <c r="I239" s="1"/>
      <c r="J239" s="1"/>
      <c r="K239" s="1"/>
      <c r="L239" s="1"/>
      <c r="M239" s="1"/>
      <c r="N239" s="1"/>
      <c r="O239" s="1"/>
      <c r="P239" s="1"/>
      <c r="Q239" s="1"/>
      <c r="R239" s="1"/>
      <c r="S239" s="1"/>
      <c r="T239" s="1"/>
      <c r="U239" s="1"/>
      <c r="V239" s="1"/>
      <c r="W239" s="1"/>
      <c r="X239" s="1"/>
      <c r="Y239" s="61"/>
    </row>
    <row r="240" spans="1:25" s="32" customFormat="1" ht="11.25">
      <c r="A240" s="16" t="str">
        <f>A212</f>
        <v>Vận chuyển và lắp đặt đường ống</v>
      </c>
      <c r="B240" s="42">
        <f>B212</f>
        <v>-1048086.4063407409</v>
      </c>
      <c r="C240" s="1">
        <v>-1048086.4063407409</v>
      </c>
      <c r="D240" s="1">
        <v>-1048086.4063407409</v>
      </c>
      <c r="E240" s="1"/>
      <c r="F240" s="1"/>
      <c r="G240" s="1"/>
      <c r="H240" s="1"/>
      <c r="I240" s="1"/>
      <c r="J240" s="1"/>
      <c r="K240" s="1"/>
      <c r="L240" s="1"/>
      <c r="M240" s="1"/>
      <c r="N240" s="1"/>
      <c r="O240" s="1"/>
      <c r="P240" s="1"/>
      <c r="Q240" s="1"/>
      <c r="R240" s="1"/>
      <c r="S240" s="1"/>
      <c r="T240" s="1"/>
      <c r="U240" s="1"/>
      <c r="V240" s="1"/>
      <c r="W240" s="1"/>
      <c r="X240" s="1"/>
      <c r="Y240" s="61"/>
    </row>
    <row r="241" spans="1:25" s="32" customFormat="1" ht="11.25">
      <c r="A241" s="16" t="str">
        <f>A213</f>
        <v>Đường ống</v>
      </c>
      <c r="B241" s="42">
        <f>B213</f>
        <v>-1449438.7098333335</v>
      </c>
      <c r="C241" s="1">
        <v>-1449438.7098333335</v>
      </c>
      <c r="D241" s="1">
        <v>-1449438.7098333335</v>
      </c>
      <c r="E241" s="1"/>
      <c r="F241" s="1"/>
      <c r="G241" s="1"/>
      <c r="H241" s="1"/>
      <c r="I241" s="1"/>
      <c r="J241" s="1"/>
      <c r="K241" s="1"/>
      <c r="L241" s="1"/>
      <c r="M241" s="1"/>
      <c r="N241" s="1"/>
      <c r="O241" s="1"/>
      <c r="P241" s="1"/>
      <c r="Q241" s="1"/>
      <c r="R241" s="1"/>
      <c r="S241" s="1"/>
      <c r="T241" s="1"/>
      <c r="U241" s="1"/>
      <c r="V241" s="1"/>
      <c r="W241" s="1"/>
      <c r="X241" s="1"/>
      <c r="Y241" s="61"/>
    </row>
    <row r="242" spans="1:25" s="32" customFormat="1" ht="11.25">
      <c r="A242" s="16" t="str">
        <f aca="true" t="shared" si="53" ref="A242:B247">A214</f>
        <v>Máy bơm</v>
      </c>
      <c r="B242" s="42">
        <f t="shared" si="53"/>
        <v>-489122.09150000004</v>
      </c>
      <c r="C242" s="1">
        <v>-489122.09150000004</v>
      </c>
      <c r="D242" s="1">
        <v>-489122.09150000004</v>
      </c>
      <c r="E242" s="1"/>
      <c r="F242" s="1"/>
      <c r="G242" s="1"/>
      <c r="H242" s="1"/>
      <c r="I242" s="1"/>
      <c r="J242" s="1"/>
      <c r="K242" s="1"/>
      <c r="L242" s="1"/>
      <c r="M242" s="1"/>
      <c r="N242" s="1"/>
      <c r="O242" s="1"/>
      <c r="P242" s="1"/>
      <c r="Q242" s="1"/>
      <c r="R242" s="1"/>
      <c r="S242" s="1"/>
      <c r="T242" s="1"/>
      <c r="U242" s="1"/>
      <c r="V242" s="1"/>
      <c r="W242" s="1"/>
      <c r="X242" s="1"/>
      <c r="Y242" s="61"/>
    </row>
    <row r="243" spans="1:25" s="32" customFormat="1" ht="11.25">
      <c r="A243" s="16" t="str">
        <f t="shared" si="53"/>
        <v>Chi phí tư vấn nước ngoài</v>
      </c>
      <c r="B243" s="42">
        <f t="shared" si="53"/>
        <v>-69979.19483333334</v>
      </c>
      <c r="C243" s="1">
        <v>-69979.19483333334</v>
      </c>
      <c r="D243" s="1">
        <v>-69979.19483333334</v>
      </c>
      <c r="E243" s="1"/>
      <c r="F243" s="1"/>
      <c r="G243" s="1"/>
      <c r="H243" s="1"/>
      <c r="I243" s="1"/>
      <c r="J243" s="1"/>
      <c r="K243" s="1"/>
      <c r="L243" s="1"/>
      <c r="M243" s="1"/>
      <c r="N243" s="1"/>
      <c r="O243" s="1"/>
      <c r="P243" s="1"/>
      <c r="Q243" s="1"/>
      <c r="R243" s="1"/>
      <c r="S243" s="1"/>
      <c r="T243" s="1"/>
      <c r="U243" s="1"/>
      <c r="V243" s="1"/>
      <c r="W243" s="1"/>
      <c r="X243" s="1"/>
      <c r="Y243" s="61"/>
    </row>
    <row r="244" spans="1:25" s="32" customFormat="1" ht="11.25">
      <c r="A244" s="16" t="str">
        <f t="shared" si="53"/>
        <v>Tổng ngân lưu ra</v>
      </c>
      <c r="B244" s="42">
        <f t="shared" si="53"/>
        <v>-5606183.868848201</v>
      </c>
      <c r="C244" s="1">
        <v>-5606183.868848201</v>
      </c>
      <c r="D244" s="1">
        <v>-5606183.868848201</v>
      </c>
      <c r="E244" s="1"/>
      <c r="F244" s="1"/>
      <c r="G244" s="1"/>
      <c r="H244" s="1"/>
      <c r="I244" s="1"/>
      <c r="J244" s="1"/>
      <c r="K244" s="1"/>
      <c r="L244" s="1"/>
      <c r="M244" s="1"/>
      <c r="N244" s="1"/>
      <c r="O244" s="1"/>
      <c r="P244" s="1"/>
      <c r="Q244" s="1"/>
      <c r="R244" s="1"/>
      <c r="S244" s="1"/>
      <c r="T244" s="1"/>
      <c r="U244" s="1"/>
      <c r="V244" s="1"/>
      <c r="W244" s="1"/>
      <c r="X244" s="1"/>
      <c r="Y244" s="61"/>
    </row>
    <row r="245" spans="1:25" s="32" customFormat="1" ht="11.25">
      <c r="A245" s="16" t="str">
        <f t="shared" si="53"/>
        <v>Ngân lưu tự do của dự án</v>
      </c>
      <c r="B245" s="42">
        <f t="shared" si="53"/>
        <v>1654028.09625733</v>
      </c>
      <c r="C245" s="1">
        <v>1189019.4998515858</v>
      </c>
      <c r="D245" s="1">
        <v>724010.9034458436</v>
      </c>
      <c r="E245" s="1"/>
      <c r="F245" s="1"/>
      <c r="G245" s="1"/>
      <c r="H245" s="1"/>
      <c r="I245" s="1"/>
      <c r="J245" s="1"/>
      <c r="K245" s="1"/>
      <c r="L245" s="1"/>
      <c r="M245" s="1"/>
      <c r="N245" s="1"/>
      <c r="O245" s="1"/>
      <c r="P245" s="1"/>
      <c r="Q245" s="1"/>
      <c r="R245" s="1"/>
      <c r="S245" s="1"/>
      <c r="T245" s="1"/>
      <c r="U245" s="1"/>
      <c r="V245" s="1"/>
      <c r="W245" s="1"/>
      <c r="X245" s="1"/>
      <c r="Y245" s="61"/>
    </row>
    <row r="246" spans="1:25" s="32" customFormat="1" ht="11.25">
      <c r="A246" s="16" t="str">
        <f t="shared" si="53"/>
        <v>IRR danh nghĩa</v>
      </c>
      <c r="B246" s="43">
        <f t="shared" si="53"/>
        <v>0.21704936094655994</v>
      </c>
      <c r="C246" s="11">
        <v>0.20195050708837128</v>
      </c>
      <c r="D246" s="11">
        <v>0.18544165990472616</v>
      </c>
      <c r="E246" s="1"/>
      <c r="F246" s="1"/>
      <c r="G246" s="1"/>
      <c r="H246" s="1"/>
      <c r="I246" s="1"/>
      <c r="J246" s="1"/>
      <c r="K246" s="1"/>
      <c r="L246" s="1"/>
      <c r="M246" s="1"/>
      <c r="N246" s="1"/>
      <c r="O246" s="1"/>
      <c r="P246" s="1"/>
      <c r="Q246" s="1"/>
      <c r="R246" s="1"/>
      <c r="S246" s="1"/>
      <c r="T246" s="1"/>
      <c r="U246" s="1"/>
      <c r="V246" s="1"/>
      <c r="W246" s="1"/>
      <c r="X246" s="1"/>
      <c r="Y246" s="61"/>
    </row>
    <row r="247" spans="1:25" s="32" customFormat="1" ht="11.25">
      <c r="A247" s="16" t="str">
        <f t="shared" si="53"/>
        <v>IRR thực</v>
      </c>
      <c r="B247" s="43">
        <f t="shared" si="53"/>
        <v>0.1374293092958505</v>
      </c>
      <c r="C247" s="11">
        <v>0.12331823092371152</v>
      </c>
      <c r="D247" s="11">
        <v>0.10788940178011774</v>
      </c>
      <c r="E247" s="1"/>
      <c r="F247" s="1"/>
      <c r="G247" s="1"/>
      <c r="H247" s="1"/>
      <c r="I247" s="1"/>
      <c r="J247" s="1"/>
      <c r="K247" s="1"/>
      <c r="L247" s="1"/>
      <c r="M247" s="1"/>
      <c r="N247" s="1"/>
      <c r="O247" s="1"/>
      <c r="P247" s="1"/>
      <c r="Q247" s="1"/>
      <c r="R247" s="1"/>
      <c r="S247" s="1"/>
      <c r="T247" s="1"/>
      <c r="U247" s="1"/>
      <c r="V247" s="1"/>
      <c r="W247" s="1"/>
      <c r="X247" s="1"/>
      <c r="Y247" s="61"/>
    </row>
    <row r="248" spans="1:25" s="32" customFormat="1" ht="11.25">
      <c r="A248" s="16"/>
      <c r="B248" s="43"/>
      <c r="C248" s="1"/>
      <c r="D248" s="1"/>
      <c r="E248" s="1"/>
      <c r="F248" s="1"/>
      <c r="G248" s="1"/>
      <c r="H248" s="1"/>
      <c r="I248" s="1"/>
      <c r="J248" s="1"/>
      <c r="K248" s="1"/>
      <c r="L248" s="1"/>
      <c r="M248" s="1"/>
      <c r="N248" s="1"/>
      <c r="O248" s="1"/>
      <c r="P248" s="1"/>
      <c r="Q248" s="1"/>
      <c r="R248" s="1"/>
      <c r="S248" s="1"/>
      <c r="T248" s="1"/>
      <c r="U248" s="1"/>
      <c r="V248" s="1"/>
      <c r="W248" s="1"/>
      <c r="X248" s="1"/>
      <c r="Y248" s="61"/>
    </row>
    <row r="249" spans="1:25" s="32" customFormat="1" ht="11.25">
      <c r="A249" s="35" t="s">
        <v>106</v>
      </c>
      <c r="B249" s="35">
        <f>B217/1000</f>
        <v>1654.02809625733</v>
      </c>
      <c r="C249" s="32" t="s">
        <v>107</v>
      </c>
      <c r="D249" s="32" t="str">
        <f>IF(B249&gt;0,"&gt;0","&lt;0")</f>
        <v>&gt;0</v>
      </c>
      <c r="E249" s="42"/>
      <c r="F249" s="42"/>
      <c r="G249" s="42"/>
      <c r="H249" s="42"/>
      <c r="I249" s="42"/>
      <c r="J249" s="42"/>
      <c r="K249" s="42"/>
      <c r="L249" s="42"/>
      <c r="M249" s="42"/>
      <c r="N249" s="42"/>
      <c r="O249" s="42"/>
      <c r="P249" s="42"/>
      <c r="Q249" s="42"/>
      <c r="R249" s="42"/>
      <c r="S249" s="42"/>
      <c r="T249" s="42"/>
      <c r="U249" s="42"/>
      <c r="V249" s="42"/>
      <c r="W249" s="42"/>
      <c r="X249" s="42"/>
      <c r="Y249" s="61"/>
    </row>
    <row r="250" spans="1:25" s="32" customFormat="1" ht="11.25">
      <c r="A250" s="53" t="s">
        <v>108</v>
      </c>
      <c r="B250" s="52">
        <f>B219</f>
        <v>0.1374293092958505</v>
      </c>
      <c r="D250" s="32" t="str">
        <f>IF(B250&gt;B41,"&gt; chi vốn kinh tế","&lt; chi phí vốn kinh tế")</f>
        <v>&gt; chi vốn kinh tế</v>
      </c>
      <c r="E250" s="42"/>
      <c r="F250" s="42"/>
      <c r="G250" s="42"/>
      <c r="H250" s="42"/>
      <c r="I250" s="42"/>
      <c r="J250" s="42"/>
      <c r="K250" s="42"/>
      <c r="L250" s="42"/>
      <c r="M250" s="42"/>
      <c r="N250" s="42"/>
      <c r="O250" s="42"/>
      <c r="P250" s="42"/>
      <c r="Q250" s="42"/>
      <c r="R250" s="42"/>
      <c r="S250" s="42"/>
      <c r="T250" s="42"/>
      <c r="U250" s="42"/>
      <c r="V250" s="42"/>
      <c r="W250" s="42"/>
      <c r="X250" s="42"/>
      <c r="Y250" s="61"/>
    </row>
    <row r="251" spans="1:25" s="32" customFormat="1" ht="11.25">
      <c r="A251" s="38" t="str">
        <f>IF(B249&gt;0,"Vậy, theo mô hình cơ sở, dự án khả thi về mặt kinh tế. Nói một cách khác, dự án làm tăng giá trị kinh tế ròng cho cả nền kinh tế.","Vậy, theo mô hình cơ sở, dự án không khả thi về mặt kinh tế. Nói một cách khác, dự án làm giảm giá trị kinh tế ròng cho cả nền kinh tế.")</f>
        <v>Vậy, theo mô hình cơ sở, dự án khả thi về mặt kinh tế. Nói một cách khác, dự án làm tăng giá trị kinh tế ròng cho cả nền kinh tế.</v>
      </c>
      <c r="E251" s="42"/>
      <c r="F251" s="42"/>
      <c r="G251" s="42"/>
      <c r="H251" s="42"/>
      <c r="I251" s="42"/>
      <c r="J251" s="42"/>
      <c r="K251" s="42"/>
      <c r="L251" s="42"/>
      <c r="M251" s="42"/>
      <c r="N251" s="42"/>
      <c r="O251" s="42"/>
      <c r="P251" s="42"/>
      <c r="Q251" s="42"/>
      <c r="R251" s="42"/>
      <c r="S251" s="42"/>
      <c r="T251" s="42"/>
      <c r="U251" s="42"/>
      <c r="V251" s="42"/>
      <c r="W251" s="42"/>
      <c r="X251" s="42"/>
      <c r="Y251" s="61"/>
    </row>
    <row r="252" spans="1:25" s="32" customFormat="1" ht="11.25">
      <c r="A252" s="33"/>
      <c r="E252" s="42"/>
      <c r="F252" s="42"/>
      <c r="G252" s="42"/>
      <c r="H252" s="42"/>
      <c r="I252" s="42"/>
      <c r="J252" s="42"/>
      <c r="K252" s="42"/>
      <c r="L252" s="42"/>
      <c r="M252" s="42"/>
      <c r="N252" s="42"/>
      <c r="O252" s="42"/>
      <c r="P252" s="42"/>
      <c r="Q252" s="42"/>
      <c r="R252" s="42"/>
      <c r="S252" s="42"/>
      <c r="T252" s="42"/>
      <c r="U252" s="42"/>
      <c r="V252" s="42"/>
      <c r="W252" s="42"/>
      <c r="X252" s="42"/>
      <c r="Y252" s="61"/>
    </row>
    <row r="253" spans="1:34" s="32" customFormat="1" ht="11.25">
      <c r="A253" s="32" t="s">
        <v>157</v>
      </c>
      <c r="Y253" s="65"/>
      <c r="Z253" s="34"/>
      <c r="AA253" s="34"/>
      <c r="AB253" s="34"/>
      <c r="AC253" s="34"/>
      <c r="AD253" s="34"/>
      <c r="AE253" s="34"/>
      <c r="AF253" s="34"/>
      <c r="AG253" s="34"/>
      <c r="AH253" s="34"/>
    </row>
    <row r="254" spans="1:34" s="32" customFormat="1" ht="11.25">
      <c r="A254" s="32" t="s">
        <v>110</v>
      </c>
      <c r="Y254" s="65"/>
      <c r="Z254" s="34"/>
      <c r="AA254" s="34"/>
      <c r="AB254" s="34"/>
      <c r="AC254" s="34"/>
      <c r="AD254" s="34"/>
      <c r="AE254" s="34"/>
      <c r="AF254" s="34"/>
      <c r="AG254" s="34"/>
      <c r="AH254" s="34"/>
    </row>
    <row r="255" spans="1:25" s="32" customFormat="1" ht="11.25">
      <c r="A255" s="32" t="s">
        <v>111</v>
      </c>
      <c r="Y255" s="61"/>
    </row>
    <row r="256" spans="1:25" s="32" customFormat="1" ht="11.25">
      <c r="A256" s="32" t="s">
        <v>112</v>
      </c>
      <c r="Y256" s="61"/>
    </row>
    <row r="257" spans="1:25" s="32" customFormat="1" ht="11.25">
      <c r="A257" s="33"/>
      <c r="Y257" s="61"/>
    </row>
    <row r="258" spans="1:25" s="32" customFormat="1" ht="11.25">
      <c r="A258" s="32" t="s">
        <v>113</v>
      </c>
      <c r="Y258" s="61"/>
    </row>
    <row r="259" spans="1:25" s="32" customFormat="1" ht="11.25">
      <c r="A259" s="33"/>
      <c r="Y259" s="61"/>
    </row>
    <row r="260" spans="1:25" s="32" customFormat="1" ht="11.25">
      <c r="A260" s="32" t="s">
        <v>114</v>
      </c>
      <c r="Y260" s="61"/>
    </row>
    <row r="261" spans="1:25" s="32" customFormat="1" ht="11.25">
      <c r="A261" s="32" t="s">
        <v>115</v>
      </c>
      <c r="Y261" s="61"/>
    </row>
    <row r="262" spans="1:25" s="32" customFormat="1" ht="11.25">
      <c r="A262" s="32" t="s">
        <v>116</v>
      </c>
      <c r="Y262" s="61"/>
    </row>
    <row r="263" s="32" customFormat="1" ht="12" thickBot="1">
      <c r="Y263" s="61"/>
    </row>
    <row r="264" spans="1:25" s="32" customFormat="1" ht="22.5">
      <c r="A264" s="33" t="s">
        <v>81</v>
      </c>
      <c r="B264" s="73" t="s">
        <v>82</v>
      </c>
      <c r="C264" s="74" t="s">
        <v>83</v>
      </c>
      <c r="D264" s="74"/>
      <c r="E264" s="75" t="s">
        <v>84</v>
      </c>
      <c r="F264" s="47"/>
      <c r="G264" s="81" t="s">
        <v>94</v>
      </c>
      <c r="H264" s="74" t="s">
        <v>85</v>
      </c>
      <c r="I264" s="82" t="s">
        <v>161</v>
      </c>
      <c r="J264" s="75" t="s">
        <v>86</v>
      </c>
      <c r="K264" s="47"/>
      <c r="Y264" s="61"/>
    </row>
    <row r="265" spans="1:25" s="32" customFormat="1" ht="11.25">
      <c r="A265" s="1" t="s">
        <v>33</v>
      </c>
      <c r="B265" s="76">
        <f>B142</f>
        <v>7605255.22188615</v>
      </c>
      <c r="C265" s="32">
        <f>B207</f>
        <v>7260211.965105532</v>
      </c>
      <c r="E265" s="77">
        <f aca="true" t="shared" si="54" ref="E265:E272">C265-B265</f>
        <v>-345043.25678061787</v>
      </c>
      <c r="G265" s="83">
        <f>E265</f>
        <v>-345043.25678061787</v>
      </c>
      <c r="J265" s="77"/>
      <c r="Y265" s="61"/>
    </row>
    <row r="266" spans="1:25" s="32" customFormat="1" ht="11.25">
      <c r="A266" s="1" t="s">
        <v>11</v>
      </c>
      <c r="B266" s="76">
        <f>B144</f>
        <v>-2048064.476711163</v>
      </c>
      <c r="C266" s="32">
        <f>B208</f>
        <v>-2048064.476711163</v>
      </c>
      <c r="E266" s="77">
        <f t="shared" si="54"/>
        <v>0</v>
      </c>
      <c r="G266" s="83"/>
      <c r="J266" s="77"/>
      <c r="Y266" s="61"/>
    </row>
    <row r="267" spans="1:25" s="32" customFormat="1" ht="11.25">
      <c r="A267" s="1" t="s">
        <v>16</v>
      </c>
      <c r="B267" s="76">
        <f>B145</f>
        <v>-917098.9636024837</v>
      </c>
      <c r="C267" s="32">
        <f>B209</f>
        <v>0</v>
      </c>
      <c r="E267" s="77">
        <f t="shared" si="54"/>
        <v>917098.9636024837</v>
      </c>
      <c r="G267" s="83"/>
      <c r="H267" s="32">
        <f>E267</f>
        <v>917098.9636024837</v>
      </c>
      <c r="J267" s="77"/>
      <c r="Y267" s="61"/>
    </row>
    <row r="268" spans="1:25" s="32" customFormat="1" ht="11.25">
      <c r="A268" s="28" t="s">
        <v>90</v>
      </c>
      <c r="B268" s="76">
        <f>B147</f>
        <v>-501492.98962962965</v>
      </c>
      <c r="C268" s="32">
        <f>B211</f>
        <v>-501492.98962962965</v>
      </c>
      <c r="E268" s="77">
        <f t="shared" si="54"/>
        <v>0</v>
      </c>
      <c r="G268" s="83"/>
      <c r="J268" s="77"/>
      <c r="Y268" s="61"/>
    </row>
    <row r="269" spans="1:25" s="32" customFormat="1" ht="11.25">
      <c r="A269" s="28" t="s">
        <v>91</v>
      </c>
      <c r="B269" s="76">
        <f>B148</f>
        <v>-1278154.154074074</v>
      </c>
      <c r="C269" s="32">
        <f>B212</f>
        <v>-1048086.4063407409</v>
      </c>
      <c r="E269" s="77">
        <f t="shared" si="54"/>
        <v>230067.74773333315</v>
      </c>
      <c r="G269" s="83"/>
      <c r="I269" s="32">
        <f>E269</f>
        <v>230067.74773333315</v>
      </c>
      <c r="J269" s="77"/>
      <c r="Y269" s="61"/>
    </row>
    <row r="270" spans="1:25" s="32" customFormat="1" ht="11.25">
      <c r="A270" s="28" t="s">
        <v>92</v>
      </c>
      <c r="B270" s="76">
        <f>B149</f>
        <v>-1380417.818888889</v>
      </c>
      <c r="C270" s="32">
        <f>B213</f>
        <v>-1449438.7098333335</v>
      </c>
      <c r="E270" s="77">
        <f t="shared" si="54"/>
        <v>-69020.89094444457</v>
      </c>
      <c r="G270" s="83"/>
      <c r="J270" s="77">
        <f>E270</f>
        <v>-69020.89094444457</v>
      </c>
      <c r="Y270" s="61"/>
    </row>
    <row r="271" spans="1:25" s="32" customFormat="1" ht="11.25">
      <c r="A271" s="28" t="s">
        <v>93</v>
      </c>
      <c r="B271" s="76">
        <f>B150</f>
        <v>-465830.56333333335</v>
      </c>
      <c r="C271" s="32">
        <f>B214</f>
        <v>-489122.09150000004</v>
      </c>
      <c r="E271" s="77">
        <f t="shared" si="54"/>
        <v>-23291.528166666685</v>
      </c>
      <c r="G271" s="83"/>
      <c r="J271" s="77">
        <f>E271</f>
        <v>-23291.528166666685</v>
      </c>
      <c r="Y271" s="61"/>
    </row>
    <row r="272" spans="1:25" s="32" customFormat="1" ht="11.25">
      <c r="A272" s="28" t="s">
        <v>44</v>
      </c>
      <c r="B272" s="76">
        <f>B151</f>
        <v>-66646.85222222222</v>
      </c>
      <c r="C272" s="32">
        <f>B215</f>
        <v>-69979.19483333334</v>
      </c>
      <c r="E272" s="77">
        <f t="shared" si="54"/>
        <v>-3332.3426111111185</v>
      </c>
      <c r="G272" s="83"/>
      <c r="J272" s="77">
        <f>E272</f>
        <v>-3332.3426111111185</v>
      </c>
      <c r="Y272" s="61"/>
    </row>
    <row r="273" spans="1:25" s="32" customFormat="1" ht="12" thickBot="1">
      <c r="A273" s="2" t="s">
        <v>21</v>
      </c>
      <c r="B273" s="78">
        <f>SUM(B265:B272)</f>
        <v>947549.4034243538</v>
      </c>
      <c r="C273" s="79">
        <f>SUM(C265:C272)</f>
        <v>1654028.096257331</v>
      </c>
      <c r="D273" s="79"/>
      <c r="E273" s="80">
        <f>SUM(E265:E272)</f>
        <v>706478.6928329767</v>
      </c>
      <c r="G273" s="78">
        <f>SUM(G265:G272)</f>
        <v>-345043.25678061787</v>
      </c>
      <c r="H273" s="79">
        <f>SUM(H265:H272)</f>
        <v>917098.9636024837</v>
      </c>
      <c r="I273" s="79">
        <f>SUM(I265:I272)</f>
        <v>230067.74773333315</v>
      </c>
      <c r="J273" s="80">
        <f>SUM(J265:J272)</f>
        <v>-95644.76172222238</v>
      </c>
      <c r="Y273" s="61"/>
    </row>
    <row r="274" spans="1:25" s="32" customFormat="1" ht="11.25">
      <c r="A274" s="36"/>
      <c r="B274" s="35"/>
      <c r="Y274" s="61"/>
    </row>
    <row r="275" spans="1:25" s="32" customFormat="1" ht="11.25">
      <c r="A275" s="32" t="s">
        <v>134</v>
      </c>
      <c r="B275" s="37"/>
      <c r="C275" s="37"/>
      <c r="D275" s="37"/>
      <c r="Y275" s="61"/>
    </row>
    <row r="276" spans="1:25" s="32" customFormat="1" ht="11.25">
      <c r="A276" s="32" t="s">
        <v>135</v>
      </c>
      <c r="B276" s="32">
        <f>B273/1000</f>
        <v>947.5494034243538</v>
      </c>
      <c r="C276" s="32" t="s">
        <v>107</v>
      </c>
      <c r="Y276" s="61"/>
    </row>
    <row r="277" spans="1:25" s="32" customFormat="1" ht="11.25">
      <c r="A277" s="32" t="s">
        <v>162</v>
      </c>
      <c r="B277" s="32">
        <f>G273/1000</f>
        <v>-345.04325678061787</v>
      </c>
      <c r="C277" s="32" t="s">
        <v>107</v>
      </c>
      <c r="Y277" s="61"/>
    </row>
    <row r="278" spans="1:25" s="32" customFormat="1" ht="11.25">
      <c r="A278" s="35" t="s">
        <v>136</v>
      </c>
      <c r="B278" s="32">
        <f>H273/1000</f>
        <v>917.0989636024838</v>
      </c>
      <c r="C278" s="32" t="s">
        <v>107</v>
      </c>
      <c r="D278" s="39"/>
      <c r="E278" s="39"/>
      <c r="F278" s="39"/>
      <c r="G278" s="39"/>
      <c r="H278" s="39"/>
      <c r="I278" s="39"/>
      <c r="J278" s="39"/>
      <c r="K278" s="39"/>
      <c r="L278" s="39"/>
      <c r="M278" s="39"/>
      <c r="N278" s="39"/>
      <c r="O278" s="39"/>
      <c r="P278" s="39"/>
      <c r="Q278" s="39"/>
      <c r="R278" s="39"/>
      <c r="S278" s="39"/>
      <c r="T278" s="39"/>
      <c r="U278" s="39"/>
      <c r="V278" s="39"/>
      <c r="W278" s="39"/>
      <c r="X278" s="39"/>
      <c r="Y278" s="61"/>
    </row>
    <row r="279" spans="1:25" s="32" customFormat="1" ht="11.25">
      <c r="A279" s="32" t="s">
        <v>163</v>
      </c>
      <c r="B279" s="32">
        <f>I273/1000</f>
        <v>230.06774773333314</v>
      </c>
      <c r="C279" s="32" t="s">
        <v>107</v>
      </c>
      <c r="D279" s="39"/>
      <c r="E279" s="39"/>
      <c r="F279" s="39"/>
      <c r="G279" s="39"/>
      <c r="H279" s="39"/>
      <c r="I279" s="39"/>
      <c r="J279" s="39"/>
      <c r="K279" s="39"/>
      <c r="L279" s="39"/>
      <c r="M279" s="39"/>
      <c r="N279" s="39"/>
      <c r="O279" s="39"/>
      <c r="P279" s="39"/>
      <c r="Q279" s="39"/>
      <c r="R279" s="39"/>
      <c r="S279" s="39"/>
      <c r="T279" s="39"/>
      <c r="U279" s="39"/>
      <c r="V279" s="39"/>
      <c r="W279" s="39"/>
      <c r="X279" s="39"/>
      <c r="Y279" s="61"/>
    </row>
    <row r="280" spans="1:25" s="32" customFormat="1" ht="11.25">
      <c r="A280" s="35" t="s">
        <v>137</v>
      </c>
      <c r="B280" s="32">
        <f>J273/1000</f>
        <v>-95.64476172222238</v>
      </c>
      <c r="C280" s="32" t="s">
        <v>107</v>
      </c>
      <c r="D280" s="33"/>
      <c r="E280" s="33"/>
      <c r="F280" s="33"/>
      <c r="Y280" s="61"/>
    </row>
    <row r="281" spans="1:25" s="32" customFormat="1" ht="11.25">
      <c r="A281" s="33" t="s">
        <v>138</v>
      </c>
      <c r="B281" s="32">
        <f>SUM(B276:B280)</f>
        <v>1654.0280962573304</v>
      </c>
      <c r="C281" s="32" t="s">
        <v>107</v>
      </c>
      <c r="D281" s="40"/>
      <c r="E281" s="33"/>
      <c r="F281" s="33"/>
      <c r="Y281" s="61"/>
    </row>
    <row r="282" spans="2:25" s="32" customFormat="1" ht="11.25">
      <c r="B282" s="41"/>
      <c r="C282" s="41"/>
      <c r="D282" s="41"/>
      <c r="Y282" s="61"/>
    </row>
    <row r="283" spans="1:25" s="32" customFormat="1" ht="11.25">
      <c r="A283" s="32" t="s">
        <v>164</v>
      </c>
      <c r="B283" s="41"/>
      <c r="C283" s="41"/>
      <c r="D283" s="41"/>
      <c r="Y283" s="61"/>
    </row>
    <row r="284" spans="2:25" s="32" customFormat="1" ht="11.25">
      <c r="B284" s="41"/>
      <c r="C284" s="41"/>
      <c r="D284" s="41"/>
      <c r="Y284" s="61"/>
    </row>
    <row r="285" spans="1:25" s="32" customFormat="1" ht="11.25">
      <c r="A285" s="58" t="s">
        <v>131</v>
      </c>
      <c r="B285" s="41"/>
      <c r="C285" s="41"/>
      <c r="D285" s="41"/>
      <c r="Y285" s="61"/>
    </row>
    <row r="286" spans="2:25" s="32" customFormat="1" ht="11.25">
      <c r="B286" s="41"/>
      <c r="C286" s="41"/>
      <c r="D286" s="41"/>
      <c r="Y286" s="61"/>
    </row>
    <row r="287" spans="1:25" s="32" customFormat="1" ht="11.25">
      <c r="A287" s="33" t="s">
        <v>188</v>
      </c>
      <c r="Y287" s="61"/>
    </row>
    <row r="288" spans="1:25" s="32" customFormat="1" ht="11.25">
      <c r="A288" s="2" t="s">
        <v>189</v>
      </c>
      <c r="B288" s="33">
        <v>330000</v>
      </c>
      <c r="Y288" s="61"/>
    </row>
    <row r="289" spans="1:25" s="32" customFormat="1" ht="11.25">
      <c r="A289" s="1" t="s">
        <v>196</v>
      </c>
      <c r="B289" s="33"/>
      <c r="Y289" s="61"/>
    </row>
    <row r="290" spans="3:25" s="32" customFormat="1" ht="11.25">
      <c r="C290" s="91" t="s">
        <v>191</v>
      </c>
      <c r="Y290" s="61"/>
    </row>
    <row r="291" spans="1:25" s="32" customFormat="1" ht="11.25">
      <c r="A291" s="33" t="s">
        <v>192</v>
      </c>
      <c r="C291" s="32">
        <v>300000</v>
      </c>
      <c r="D291" s="32">
        <v>315000</v>
      </c>
      <c r="E291" s="32">
        <v>330000</v>
      </c>
      <c r="F291" s="32">
        <v>345000</v>
      </c>
      <c r="G291" s="32">
        <v>360000</v>
      </c>
      <c r="Y291" s="61"/>
    </row>
    <row r="292" spans="1:25" s="32" customFormat="1" ht="11.25">
      <c r="A292" s="92" t="s">
        <v>193</v>
      </c>
      <c r="B292" s="32">
        <f>B161</f>
        <v>116349.43122713012</v>
      </c>
      <c r="C292" s="96">
        <f t="dataTable" ref="C292:G294" dt2D="0" dtr="1" r1="B288"/>
        <v>-216351.47686255863</v>
      </c>
      <c r="D292" s="97">
        <v>-47865.90136078792</v>
      </c>
      <c r="E292" s="97">
        <v>116349.43122713012</v>
      </c>
      <c r="F292" s="97">
        <v>280564.76381504885</v>
      </c>
      <c r="G292" s="98">
        <v>444780.0964029678</v>
      </c>
      <c r="Y292" s="61"/>
    </row>
    <row r="293" spans="1:25" s="32" customFormat="1" ht="11.25">
      <c r="A293" s="92" t="s">
        <v>194</v>
      </c>
      <c r="B293" s="32">
        <f>B153</f>
        <v>947549.4034243515</v>
      </c>
      <c r="C293" s="99">
        <v>450261.4927088355</v>
      </c>
      <c r="D293" s="32">
        <v>701242.8422609945</v>
      </c>
      <c r="E293" s="32">
        <v>947549.4034243515</v>
      </c>
      <c r="F293" s="32">
        <v>1193855.9645877113</v>
      </c>
      <c r="G293" s="100">
        <v>1440162.5257510692</v>
      </c>
      <c r="Y293" s="61"/>
    </row>
    <row r="294" spans="1:25" s="32" customFormat="1" ht="11.25">
      <c r="A294" s="92" t="s">
        <v>195</v>
      </c>
      <c r="B294" s="32">
        <f>G273</f>
        <v>-345043.25678061787</v>
      </c>
      <c r="C294" s="101">
        <v>346343.58157266956</v>
      </c>
      <c r="D294" s="102">
        <v>650.1623960267752</v>
      </c>
      <c r="E294" s="102">
        <v>-345043.25678061787</v>
      </c>
      <c r="F294" s="102">
        <v>-690736.6759572597</v>
      </c>
      <c r="G294" s="103">
        <v>-1036430.0951339025</v>
      </c>
      <c r="Y294" s="61"/>
    </row>
    <row r="295" spans="1:25" s="32" customFormat="1" ht="11.25">
      <c r="A295" s="92"/>
      <c r="Y295" s="61"/>
    </row>
    <row r="296" s="32" customFormat="1" ht="11.25">
      <c r="Y296" s="61"/>
    </row>
    <row r="297" ht="11.25">
      <c r="A297" s="1" t="s">
        <v>190</v>
      </c>
    </row>
    <row r="298" ht="11.25">
      <c r="A298" s="1" t="s">
        <v>197</v>
      </c>
    </row>
    <row r="299" ht="11.25">
      <c r="A299" s="90" t="s">
        <v>202</v>
      </c>
    </row>
    <row r="300" ht="11.25">
      <c r="A300" s="5" t="s">
        <v>198</v>
      </c>
    </row>
    <row r="301" ht="11.25">
      <c r="A301" s="5" t="s">
        <v>199</v>
      </c>
    </row>
    <row r="303" ht="11.25">
      <c r="A303" s="93" t="s">
        <v>200</v>
      </c>
    </row>
    <row r="304" spans="1:2" ht="11.25">
      <c r="A304" s="94" t="s">
        <v>201</v>
      </c>
      <c r="B304" s="95">
        <v>1</v>
      </c>
    </row>
  </sheetData>
  <sheetProtection/>
  <printOptions gridLines="1" headings="1"/>
  <pageMargins left="0.75" right="0.75" top="1" bottom="1" header="0.5" footer="0.5"/>
  <pageSetup fitToHeight="23" fitToWidth="1" horizontalDpi="600" verticalDpi="600" orientation="landscape"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FETP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thanhnx</dc:creator>
  <cp:keywords/>
  <dc:description/>
  <cp:lastModifiedBy> </cp:lastModifiedBy>
  <cp:lastPrinted>2007-06-11T11:21:57Z</cp:lastPrinted>
  <dcterms:created xsi:type="dcterms:W3CDTF">2007-03-27T01:11:21Z</dcterms:created>
  <dcterms:modified xsi:type="dcterms:W3CDTF">2012-08-31T05:20:49Z</dcterms:modified>
  <cp:category/>
  <cp:version/>
  <cp:contentType/>
  <cp:contentStatus/>
</cp:coreProperties>
</file>