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Cashflow" sheetId="1" r:id="rId1"/>
    <sheet name="Economic" sheetId="2" r:id="rId2"/>
    <sheet name="Criteria" sheetId="3" r:id="rId3"/>
    <sheet name="Investment Costs" sheetId="4" r:id="rId4"/>
    <sheet name="Income Statement (V)" sheetId="5" r:id="rId5"/>
    <sheet name="Balance Sheet (V)" sheetId="6" r:id="rId6"/>
    <sheet name="Income Statement" sheetId="7" r:id="rId7"/>
    <sheet name="Balance Sheet" sheetId="8" r:id="rId8"/>
  </sheets>
  <definedNames/>
  <calcPr fullCalcOnLoad="1"/>
</workbook>
</file>

<file path=xl/sharedStrings.xml><?xml version="1.0" encoding="utf-8"?>
<sst xmlns="http://schemas.openxmlformats.org/spreadsheetml/2006/main" count="179" uniqueCount="165">
  <si>
    <t>Period ending Nov 30</t>
  </si>
  <si>
    <t>Year of Operation</t>
  </si>
  <si>
    <t>Revenue</t>
  </si>
  <si>
    <t>Operating Expenses</t>
  </si>
  <si>
    <t>O&amp;M Expenses</t>
  </si>
  <si>
    <t>Fuel Expenses</t>
  </si>
  <si>
    <t>Total Operating Expenses</t>
  </si>
  <si>
    <t>Overhall Expenses (provision)</t>
  </si>
  <si>
    <t>Financing Expenses</t>
  </si>
  <si>
    <t>Gross Operating Profit</t>
  </si>
  <si>
    <t>Depreciation</t>
  </si>
  <si>
    <t>EBIT</t>
  </si>
  <si>
    <t>Interest Income from Cash Reserves</t>
  </si>
  <si>
    <t>Interest &amp; Guarantee Expenses</t>
  </si>
  <si>
    <t>Profit Before Tax</t>
  </si>
  <si>
    <t>Corporate Income Taxes</t>
  </si>
  <si>
    <t>Profit After Tax</t>
  </si>
  <si>
    <t>Năm hoạt động</t>
  </si>
  <si>
    <t>kết thúc vào 30/11</t>
  </si>
  <si>
    <t>Doanh thu</t>
  </si>
  <si>
    <t>Chi phí hoạt động</t>
  </si>
  <si>
    <t>Chi phí hoạt động và quản lý</t>
  </si>
  <si>
    <t>Chi phí sửa chữa (dự phòng)</t>
  </si>
  <si>
    <t>Chi phí nhiên liệu</t>
  </si>
  <si>
    <t>Tổng chi phí hoạt động</t>
  </si>
  <si>
    <t>Chi phí tài chính</t>
  </si>
  <si>
    <t>Lợi nhuận hoạt động gộp</t>
  </si>
  <si>
    <t>Khấu hao</t>
  </si>
  <si>
    <t>Thu nhập lãi vay từ dự trữ tiền mặt</t>
  </si>
  <si>
    <t>Chi phí lãi vay và bảo lãnh</t>
  </si>
  <si>
    <t>Lợi nhuận trước thuế</t>
  </si>
  <si>
    <t>Thuế thu nhập doanh nghiệp</t>
  </si>
  <si>
    <t>Lợi nhuận sau thuế</t>
  </si>
  <si>
    <t>Vietnam Phu My 2 Phase 2 Power Project</t>
  </si>
  <si>
    <t>MECO Financial Projections</t>
  </si>
  <si>
    <t>Balance Sheet</t>
  </si>
  <si>
    <t>(Figures in US$000)</t>
  </si>
  <si>
    <t>Years of Operation</t>
  </si>
  <si>
    <t>Period Ending November 30</t>
  </si>
  <si>
    <t>ASSETS</t>
  </si>
  <si>
    <t>Current Assets</t>
  </si>
  <si>
    <t>Receivables</t>
  </si>
  <si>
    <t>Other Current Assets</t>
  </si>
  <si>
    <t>Total</t>
  </si>
  <si>
    <t>Cash &amp; Reserve Accounts</t>
  </si>
  <si>
    <t>O&amp;M Reserve Account</t>
  </si>
  <si>
    <t>Trapped Cash Account</t>
  </si>
  <si>
    <t>Free Cash Balance</t>
  </si>
  <si>
    <t>Total Cash &amp; Reserve Accounts</t>
  </si>
  <si>
    <t>Total Current Assets</t>
  </si>
  <si>
    <t>Gross Fixed Assets</t>
  </si>
  <si>
    <t>Accumulated Depreciation</t>
  </si>
  <si>
    <t>Net Fixed Assets</t>
  </si>
  <si>
    <t>TOTAL ASSETS</t>
  </si>
  <si>
    <t>LIABILITIES &amp; EQUITY</t>
  </si>
  <si>
    <t>Current Liabilities</t>
  </si>
  <si>
    <t>O&amp;M Payable</t>
  </si>
  <si>
    <t>Total Current Liabilities</t>
  </si>
  <si>
    <t>Total Long Term Liabilities</t>
  </si>
  <si>
    <t>Shareholders' Funds</t>
  </si>
  <si>
    <t>Paid-up Capital</t>
  </si>
  <si>
    <t>Retained Earnings</t>
  </si>
  <si>
    <t>Total Shareholders' Funds</t>
  </si>
  <si>
    <t>TOTAL LIABILITIES &amp; EQUITY</t>
  </si>
  <si>
    <t>Current Ratio</t>
  </si>
  <si>
    <t>Long term Debt to Equity</t>
  </si>
  <si>
    <t>Total Liability to Equity</t>
  </si>
  <si>
    <t>Minimum DSCR</t>
  </si>
  <si>
    <t>Average DSCR</t>
  </si>
  <si>
    <t>Distillate Oil Stock</t>
  </si>
  <si>
    <t>Fixed Assets</t>
  </si>
  <si>
    <t>Natural Gas Payable</t>
  </si>
  <si>
    <t>TÀI SẢN</t>
  </si>
  <si>
    <t>Tài sản ngắn hạn</t>
  </si>
  <si>
    <t>Khoản phải thu</t>
  </si>
  <si>
    <t>Dự trữ dầu</t>
  </si>
  <si>
    <t>Tài sản ngắn hạn khác</t>
  </si>
  <si>
    <t>Cộng</t>
  </si>
  <si>
    <t>Tiền mặt và dự trữ</t>
  </si>
  <si>
    <t>Tài khoản dự trữ cho hoạt động</t>
  </si>
  <si>
    <t>Cân đối tiền mặt tự do</t>
  </si>
  <si>
    <t>Tổng tài sản ngắn hạn</t>
  </si>
  <si>
    <t>Tài sản cố định</t>
  </si>
  <si>
    <t>Tài sản cố định gộp</t>
  </si>
  <si>
    <t>Khấu hao lũy tích</t>
  </si>
  <si>
    <t>Tài sản cố định ròng</t>
  </si>
  <si>
    <t>TỔNG TÀI SẢN</t>
  </si>
  <si>
    <t>NGUỒN VỐN</t>
  </si>
  <si>
    <t>Nợ ngắn hạn</t>
  </si>
  <si>
    <t>Khoản phải trả khí tự nhiên</t>
  </si>
  <si>
    <t>Khoản phải trả chi phí hoạt động</t>
  </si>
  <si>
    <t>Tổng nợ ngắn hạn</t>
  </si>
  <si>
    <t>Tổng nợ dài hạn</t>
  </si>
  <si>
    <t>Vốn chủ sở hữu</t>
  </si>
  <si>
    <t>Vốn góp</t>
  </si>
  <si>
    <t>Lợi nhuận chưa phân phối</t>
  </si>
  <si>
    <t>TỔNG NGUỒN VỐN</t>
  </si>
  <si>
    <t>Tỷ lệ nợ/vốn chủ sở hữu</t>
  </si>
  <si>
    <t>Tỷ lệ nợ dài hạn/vốn chủ sở hữu</t>
  </si>
  <si>
    <t>Tỷ lệ tài sản ngắn hạn/nợ ngắn hạn</t>
  </si>
  <si>
    <t>DSCR tối thiệu</t>
  </si>
  <si>
    <t>DSCR bình quân</t>
  </si>
  <si>
    <t>Tổng vốn chủ sở hữu</t>
  </si>
  <si>
    <t>Tài khoản tiền mặt cam kết</t>
  </si>
  <si>
    <t>Hợp đồng EPC</t>
  </si>
  <si>
    <t>Linh kiện phụ tùng ban đầu</t>
  </si>
  <si>
    <t>Chi phí tiền hoạt động</t>
  </si>
  <si>
    <t>Chi phí phát triển bên trong &amp; bên ngoài</t>
  </si>
  <si>
    <t>Chi phí khác*</t>
  </si>
  <si>
    <r>
      <t>Chi phí huy động vốn</t>
    </r>
    <r>
      <rPr>
        <sz val="12"/>
        <rFont val="Times New Roman"/>
        <family val="1"/>
      </rPr>
      <t>:</t>
    </r>
  </si>
  <si>
    <t>Phí</t>
  </si>
  <si>
    <t>Tổng chi phí huy động vốn</t>
  </si>
  <si>
    <t>Tổng chi phí dự án</t>
  </si>
  <si>
    <t>Chi phí dự phòng của dự án</t>
  </si>
  <si>
    <t>Đặt cọc bảo đảm chất lượng cho MOI</t>
  </si>
  <si>
    <t>Tài trợ chi phí dự phòng dự án</t>
  </si>
  <si>
    <t>Tổng chi phí dự phòng của dự án</t>
  </si>
  <si>
    <t>Triệu USD</t>
  </si>
  <si>
    <t>CHI PHÍ ĐẦU TƯ DỰ ÁN</t>
  </si>
  <si>
    <t>Chi đầu tư:</t>
  </si>
  <si>
    <t xml:space="preserve">Tổng chi đầu tư </t>
  </si>
  <si>
    <t>Phí phát triển cho Bộ Công nghiệp</t>
  </si>
  <si>
    <t>Lãi vay trong thời gian xây dựng</t>
  </si>
  <si>
    <t>Tổng chi phí đầu tư dự án</t>
  </si>
  <si>
    <t>Thay đổi khoản phải thu</t>
  </si>
  <si>
    <t>Thay đổi khoản phải trả</t>
  </si>
  <si>
    <t>Thay đổi tiền mặt</t>
  </si>
  <si>
    <t>Thay đổi vốn lưu động</t>
  </si>
  <si>
    <t>Chi đầu tư</t>
  </si>
  <si>
    <t>Chi đầu tư tài chính</t>
  </si>
  <si>
    <t>Ngân lưu chủ sở hữu</t>
  </si>
  <si>
    <t>Thu nhập tài chính ròng</t>
  </si>
  <si>
    <t>Ngân lưu tự do của dự án</t>
  </si>
  <si>
    <t>Ngân lưu nợ vay</t>
  </si>
  <si>
    <t>Giải ngân/trả nợ</t>
  </si>
  <si>
    <t>Trả lãi vay</t>
  </si>
  <si>
    <t>Thuế TNDN</t>
  </si>
  <si>
    <t>Năm kết thúc vào 30/11</t>
  </si>
  <si>
    <t>000 USD</t>
  </si>
  <si>
    <t>Chi phí vốn chủ sở hữu, danh nghĩa</t>
  </si>
  <si>
    <t>Chi phí vốn bình quân trọng số trước thuế, danh nghĩa</t>
  </si>
  <si>
    <t>Chi phí vốn kinh tế, thực</t>
  </si>
  <si>
    <t>NPV chủ đầu tư, triệu USD</t>
  </si>
  <si>
    <t>NPV tổng đầu tư, triệu USD</t>
  </si>
  <si>
    <t>NPV kinh tế, triệu USD</t>
  </si>
  <si>
    <t>IRR chủ đầu tư</t>
  </si>
  <si>
    <t>IRR tổng đầu tư</t>
  </si>
  <si>
    <t>IRR kinh tế</t>
  </si>
  <si>
    <t>Suat chiet khau tong dau tu</t>
  </si>
  <si>
    <t>NPV</t>
  </si>
  <si>
    <t>Suat chiet khau chu dau tu</t>
  </si>
  <si>
    <t>Loi ich</t>
  </si>
  <si>
    <t>Chi phi</t>
  </si>
  <si>
    <t>PV(Loi ich)</t>
  </si>
  <si>
    <t>PV(Chi phi)</t>
  </si>
  <si>
    <t>B/C</t>
  </si>
  <si>
    <t>IRR</t>
  </si>
  <si>
    <t>Ngan luu rong kinh te</t>
  </si>
  <si>
    <t>Chi phi von kinh te</t>
  </si>
  <si>
    <t>PV ngan luu</t>
  </si>
  <si>
    <t>NPV kinh te</t>
  </si>
  <si>
    <t>IRR kinh te, thuc</t>
  </si>
  <si>
    <t>IRR kinh te, danhnghia</t>
  </si>
  <si>
    <t>Tăng vốn lưu động</t>
  </si>
  <si>
    <t>Tăng tiền mặt cam kết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</si>
</sst>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  <numFmt numFmtId="174" formatCode="0.0%"/>
    <numFmt numFmtId="175" formatCode="0.000"/>
    <numFmt numFmtId="176" formatCode="0.0000"/>
    <numFmt numFmtId="177" formatCode="0.00000000000000%"/>
    <numFmt numFmtId="178" formatCode="_(* #,##0.000_);_(* \(#,##0.000\);_(* &quot;-&quot;??_);_(@_)"/>
    <numFmt numFmtId="179" formatCode="0.00000000"/>
    <numFmt numFmtId="180" formatCode="0.0000000"/>
    <numFmt numFmtId="181" formatCode="0.000000"/>
    <numFmt numFmtId="182" formatCode="0.00000"/>
    <numFmt numFmtId="183" formatCode="#,##0.00000000000000"/>
    <numFmt numFmtId="184" formatCode="0.00000000000"/>
    <numFmt numFmtId="185" formatCode="0.000000000000%"/>
  </numFmts>
  <fonts count="3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4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 indent="1"/>
    </xf>
    <xf numFmtId="3" fontId="1" fillId="0" borderId="0" xfId="0" applyNumberFormat="1" applyFont="1" applyFill="1" applyAlignment="1">
      <alignment/>
    </xf>
    <xf numFmtId="0" fontId="21" fillId="0" borderId="0" xfId="57" applyFont="1">
      <alignment/>
      <protection/>
    </xf>
    <xf numFmtId="0" fontId="21" fillId="0" borderId="0" xfId="57" applyFont="1" applyAlignment="1">
      <alignment horizontal="center"/>
      <protection/>
    </xf>
    <xf numFmtId="0" fontId="21" fillId="0" borderId="10" xfId="57" applyFont="1" applyBorder="1">
      <alignment/>
      <protection/>
    </xf>
    <xf numFmtId="0" fontId="21" fillId="0" borderId="0" xfId="57" applyFont="1" applyBorder="1">
      <alignment/>
      <protection/>
    </xf>
    <xf numFmtId="0" fontId="21" fillId="0" borderId="11" xfId="57" applyFont="1" applyBorder="1">
      <alignment/>
      <protection/>
    </xf>
    <xf numFmtId="0" fontId="21" fillId="0" borderId="12" xfId="57" applyFont="1" applyBorder="1">
      <alignment/>
      <protection/>
    </xf>
    <xf numFmtId="0" fontId="21" fillId="0" borderId="13" xfId="57" applyFont="1" applyBorder="1">
      <alignment/>
      <protection/>
    </xf>
    <xf numFmtId="0" fontId="21" fillId="0" borderId="14" xfId="57" applyFont="1" applyBorder="1">
      <alignment/>
      <protection/>
    </xf>
    <xf numFmtId="0" fontId="21" fillId="0" borderId="15" xfId="57" applyFont="1" applyBorder="1">
      <alignment/>
      <protection/>
    </xf>
    <xf numFmtId="3" fontId="21" fillId="0" borderId="0" xfId="57" applyNumberFormat="1" applyFont="1" applyBorder="1">
      <alignment/>
      <protection/>
    </xf>
    <xf numFmtId="3" fontId="21" fillId="0" borderId="12" xfId="57" applyNumberFormat="1" applyFont="1" applyBorder="1">
      <alignment/>
      <protection/>
    </xf>
    <xf numFmtId="0" fontId="21" fillId="0" borderId="10" xfId="57" applyFont="1" applyFill="1" applyBorder="1">
      <alignment/>
      <protection/>
    </xf>
    <xf numFmtId="3" fontId="21" fillId="0" borderId="0" xfId="57" applyNumberFormat="1" applyFont="1" applyFill="1" applyBorder="1">
      <alignment/>
      <protection/>
    </xf>
    <xf numFmtId="0" fontId="21" fillId="0" borderId="0" xfId="57" applyFont="1" applyFill="1">
      <alignment/>
      <protection/>
    </xf>
    <xf numFmtId="0" fontId="21" fillId="0" borderId="0" xfId="57" applyFont="1" applyFill="1" applyBorder="1">
      <alignment/>
      <protection/>
    </xf>
    <xf numFmtId="0" fontId="22" fillId="0" borderId="10" xfId="57" applyFont="1" applyBorder="1">
      <alignment/>
      <protection/>
    </xf>
    <xf numFmtId="0" fontId="22" fillId="0" borderId="10" xfId="57" applyFont="1" applyFill="1" applyBorder="1">
      <alignment/>
      <protection/>
    </xf>
    <xf numFmtId="0" fontId="22" fillId="0" borderId="0" xfId="57" applyFont="1" applyFill="1" applyBorder="1">
      <alignment/>
      <protection/>
    </xf>
    <xf numFmtId="3" fontId="22" fillId="0" borderId="0" xfId="57" applyNumberFormat="1" applyFont="1" applyFill="1" applyBorder="1">
      <alignment/>
      <protection/>
    </xf>
    <xf numFmtId="0" fontId="22" fillId="0" borderId="0" xfId="57" applyFont="1" applyFill="1">
      <alignment/>
      <protection/>
    </xf>
    <xf numFmtId="3" fontId="21" fillId="0" borderId="12" xfId="57" applyNumberFormat="1" applyFont="1" applyFill="1" applyBorder="1">
      <alignment/>
      <protection/>
    </xf>
    <xf numFmtId="37" fontId="21" fillId="0" borderId="0" xfId="57" applyNumberFormat="1" applyFont="1" applyBorder="1">
      <alignment/>
      <protection/>
    </xf>
    <xf numFmtId="0" fontId="22" fillId="0" borderId="16" xfId="57" applyFont="1" applyFill="1" applyBorder="1">
      <alignment/>
      <protection/>
    </xf>
    <xf numFmtId="2" fontId="21" fillId="0" borderId="0" xfId="57" applyNumberFormat="1" applyFont="1" applyBorder="1">
      <alignment/>
      <protection/>
    </xf>
    <xf numFmtId="3" fontId="22" fillId="0" borderId="17" xfId="57" applyNumberFormat="1" applyFont="1" applyFill="1" applyBorder="1">
      <alignment/>
      <protection/>
    </xf>
    <xf numFmtId="3" fontId="21" fillId="0" borderId="0" xfId="57" applyNumberFormat="1" applyFont="1">
      <alignment/>
      <protection/>
    </xf>
    <xf numFmtId="0" fontId="23" fillId="0" borderId="10" xfId="57" applyFont="1" applyBorder="1">
      <alignment/>
      <protection/>
    </xf>
    <xf numFmtId="0" fontId="1" fillId="0" borderId="0" xfId="0" applyFont="1" applyBorder="1" applyAlignment="1">
      <alignment/>
    </xf>
    <xf numFmtId="0" fontId="23" fillId="0" borderId="0" xfId="57" applyFont="1" applyBorder="1">
      <alignment/>
      <protection/>
    </xf>
    <xf numFmtId="0" fontId="22" fillId="0" borderId="0" xfId="57" applyFont="1" applyBorder="1">
      <alignment/>
      <protection/>
    </xf>
    <xf numFmtId="0" fontId="21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 horizontal="left" indent="1"/>
      <protection/>
    </xf>
    <xf numFmtId="0" fontId="21" fillId="0" borderId="0" xfId="57" applyFont="1" applyFill="1" applyBorder="1" applyAlignment="1">
      <alignment horizontal="left" indent="1"/>
      <protection/>
    </xf>
    <xf numFmtId="0" fontId="22" fillId="0" borderId="0" xfId="57" applyFont="1" applyFill="1" applyBorder="1" applyAlignment="1">
      <alignment horizontal="left" indent="1"/>
      <protection/>
    </xf>
    <xf numFmtId="0" fontId="21" fillId="0" borderId="0" xfId="57" applyFont="1" applyBorder="1" applyAlignment="1">
      <alignment horizontal="left" indent="2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6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173" fontId="24" fillId="0" borderId="0" xfId="0" applyNumberFormat="1" applyFont="1" applyBorder="1" applyAlignment="1">
      <alignment vertical="top"/>
    </xf>
    <xf numFmtId="173" fontId="25" fillId="0" borderId="0" xfId="0" applyNumberFormat="1" applyFont="1" applyBorder="1" applyAlignment="1">
      <alignment vertical="top"/>
    </xf>
    <xf numFmtId="0" fontId="28" fillId="0" borderId="0" xfId="0" applyFon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73" fontId="28" fillId="0" borderId="0" xfId="0" applyNumberFormat="1" applyFont="1" applyAlignment="1">
      <alignment/>
    </xf>
    <xf numFmtId="0" fontId="29" fillId="0" borderId="0" xfId="0" applyFont="1" applyAlignment="1" quotePrefix="1">
      <alignment/>
    </xf>
    <xf numFmtId="10" fontId="0" fillId="0" borderId="0" xfId="60" applyNumberFormat="1" applyFont="1" applyAlignment="1">
      <alignment/>
    </xf>
    <xf numFmtId="164" fontId="28" fillId="24" borderId="0" xfId="0" applyNumberFormat="1" applyFont="1" applyFill="1" applyAlignment="1">
      <alignment/>
    </xf>
    <xf numFmtId="2" fontId="28" fillId="24" borderId="0" xfId="0" applyNumberFormat="1" applyFont="1" applyFill="1" applyAlignment="1">
      <alignment/>
    </xf>
    <xf numFmtId="10" fontId="28" fillId="24" borderId="0" xfId="0" applyNumberFormat="1" applyFont="1" applyFill="1" applyAlignment="1">
      <alignment/>
    </xf>
    <xf numFmtId="174" fontId="28" fillId="24" borderId="0" xfId="60" applyNumberFormat="1" applyFont="1" applyFill="1" applyAlignment="1">
      <alignment/>
    </xf>
    <xf numFmtId="2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Xl000006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9" sqref="F39"/>
    </sheetView>
  </sheetViews>
  <sheetFormatPr defaultColWidth="9.140625" defaultRowHeight="12.75"/>
  <cols>
    <col min="1" max="1" width="26.7109375" style="40" bestFit="1" customWidth="1"/>
    <col min="2" max="3" width="8.00390625" style="40" customWidth="1"/>
    <col min="4" max="24" width="8.00390625" style="52" customWidth="1"/>
    <col min="25" max="16384" width="9.140625" style="40" customWidth="1"/>
  </cols>
  <sheetData>
    <row r="1" spans="1:24" ht="12.75">
      <c r="A1" s="40" t="s">
        <v>137</v>
      </c>
      <c r="B1" s="40">
        <v>0</v>
      </c>
      <c r="C1" s="40">
        <v>1</v>
      </c>
      <c r="D1" s="40">
        <v>2</v>
      </c>
      <c r="E1" s="40">
        <v>3</v>
      </c>
      <c r="F1" s="40">
        <v>4</v>
      </c>
      <c r="G1" s="40">
        <v>5</v>
      </c>
      <c r="H1" s="40">
        <v>6</v>
      </c>
      <c r="I1" s="40">
        <v>7</v>
      </c>
      <c r="J1" s="40">
        <v>8</v>
      </c>
      <c r="K1" s="40">
        <v>9</v>
      </c>
      <c r="L1" s="40">
        <v>10</v>
      </c>
      <c r="M1" s="40">
        <v>11</v>
      </c>
      <c r="N1" s="40">
        <v>12</v>
      </c>
      <c r="O1" s="40">
        <v>13</v>
      </c>
      <c r="P1" s="40">
        <v>14</v>
      </c>
      <c r="Q1" s="40">
        <v>15</v>
      </c>
      <c r="R1" s="40">
        <v>16</v>
      </c>
      <c r="S1" s="40">
        <v>17</v>
      </c>
      <c r="T1" s="40">
        <v>18</v>
      </c>
      <c r="U1" s="40">
        <v>19</v>
      </c>
      <c r="V1" s="40">
        <v>20</v>
      </c>
      <c r="W1" s="40">
        <v>21</v>
      </c>
      <c r="X1" s="40">
        <v>22</v>
      </c>
    </row>
    <row r="2" spans="1:24" ht="12.75">
      <c r="A2" s="62" t="s">
        <v>138</v>
      </c>
      <c r="B2" s="40">
        <v>2002</v>
      </c>
      <c r="C2" s="40">
        <v>2003</v>
      </c>
      <c r="D2" s="40">
        <v>2004</v>
      </c>
      <c r="E2" s="40">
        <v>2005</v>
      </c>
      <c r="F2" s="40">
        <v>2006</v>
      </c>
      <c r="G2" s="40">
        <v>2007</v>
      </c>
      <c r="H2" s="40">
        <v>2008</v>
      </c>
      <c r="I2" s="40">
        <v>2009</v>
      </c>
      <c r="J2" s="40">
        <v>2010</v>
      </c>
      <c r="K2" s="40">
        <v>2011</v>
      </c>
      <c r="L2" s="40">
        <v>2012</v>
      </c>
      <c r="M2" s="40">
        <v>2013</v>
      </c>
      <c r="N2" s="40">
        <v>2014</v>
      </c>
      <c r="O2" s="40">
        <v>2015</v>
      </c>
      <c r="P2" s="40">
        <v>2016</v>
      </c>
      <c r="Q2" s="40">
        <v>2017</v>
      </c>
      <c r="R2" s="40">
        <v>2018</v>
      </c>
      <c r="S2" s="40">
        <v>2019</v>
      </c>
      <c r="T2" s="40">
        <v>2020</v>
      </c>
      <c r="U2" s="40">
        <v>2021</v>
      </c>
      <c r="V2" s="40">
        <v>2022</v>
      </c>
      <c r="W2" s="40">
        <v>2023</v>
      </c>
      <c r="X2" s="40">
        <v>2024</v>
      </c>
    </row>
    <row r="3" spans="1:24" ht="12.75">
      <c r="A3" s="40" t="s">
        <v>19</v>
      </c>
      <c r="D3" s="55">
        <f>'Income Statement (V)'!B3/1000</f>
        <v>33.403</v>
      </c>
      <c r="E3" s="55">
        <f>'Income Statement (V)'!C3/1000</f>
        <v>200.779</v>
      </c>
      <c r="F3" s="55">
        <f>'Income Statement (V)'!D3/1000</f>
        <v>202.477</v>
      </c>
      <c r="G3" s="55">
        <f>'Income Statement (V)'!E3/1000</f>
        <v>200.865</v>
      </c>
      <c r="H3" s="55">
        <f>'Income Statement (V)'!F3/1000</f>
        <v>194.827</v>
      </c>
      <c r="I3" s="55">
        <f>'Income Statement (V)'!G3/1000</f>
        <v>191.448</v>
      </c>
      <c r="J3" s="55">
        <f>'Income Statement (V)'!H3/1000</f>
        <v>194.357</v>
      </c>
      <c r="K3" s="55">
        <f>'Income Statement (V)'!I3/1000</f>
        <v>190.455</v>
      </c>
      <c r="L3" s="55">
        <f>'Income Statement (V)'!J3/1000</f>
        <v>187.069</v>
      </c>
      <c r="M3" s="55">
        <f>'Income Statement (V)'!K3/1000</f>
        <v>184.734</v>
      </c>
      <c r="N3" s="55">
        <f>'Income Statement (V)'!L3/1000</f>
        <v>182.861</v>
      </c>
      <c r="O3" s="55">
        <f>'Income Statement (V)'!M3/1000</f>
        <v>181.126</v>
      </c>
      <c r="P3" s="55">
        <f>'Income Statement (V)'!N3/1000</f>
        <v>180.299</v>
      </c>
      <c r="Q3" s="55">
        <f>'Income Statement (V)'!O3/1000</f>
        <v>179.859</v>
      </c>
      <c r="R3" s="55">
        <f>'Income Statement (V)'!P3/1000</f>
        <v>179.43</v>
      </c>
      <c r="S3" s="55">
        <f>'Income Statement (V)'!Q3/1000</f>
        <v>179.873</v>
      </c>
      <c r="T3" s="55">
        <f>'Income Statement (V)'!R3/1000</f>
        <v>180.538</v>
      </c>
      <c r="U3" s="55">
        <f>'Income Statement (V)'!S3/1000</f>
        <v>181.312</v>
      </c>
      <c r="V3" s="55">
        <f>'Income Statement (V)'!T3/1000</f>
        <v>183.634</v>
      </c>
      <c r="W3" s="55">
        <f>'Income Statement (V)'!U3/1000</f>
        <v>186.731</v>
      </c>
      <c r="X3" s="55">
        <f>'Income Statement (V)'!V3/1000</f>
        <v>156.359</v>
      </c>
    </row>
    <row r="4" spans="1:24" ht="12.75">
      <c r="A4" s="53" t="s">
        <v>21</v>
      </c>
      <c r="D4" s="55">
        <f>'Income Statement (V)'!B5/1000</f>
        <v>0.968</v>
      </c>
      <c r="E4" s="55">
        <f>'Income Statement (V)'!C5/1000</f>
        <v>5.829</v>
      </c>
      <c r="F4" s="55">
        <f>'Income Statement (V)'!D5/1000</f>
        <v>5.927</v>
      </c>
      <c r="G4" s="55">
        <f>'Income Statement (V)'!E5/1000</f>
        <v>5.738</v>
      </c>
      <c r="H4" s="55">
        <f>'Income Statement (V)'!F5/1000</f>
        <v>5.409</v>
      </c>
      <c r="I4" s="55">
        <f>'Income Statement (V)'!G5/1000</f>
        <v>5.544</v>
      </c>
      <c r="J4" s="55">
        <f>'Income Statement (V)'!H5/1000</f>
        <v>5.682</v>
      </c>
      <c r="K4" s="55">
        <f>'Income Statement (V)'!I5/1000</f>
        <v>5.819</v>
      </c>
      <c r="L4" s="55">
        <f>'Income Statement (V)'!J5/1000</f>
        <v>5.966</v>
      </c>
      <c r="M4" s="55">
        <f>'Income Statement (V)'!K5/1000</f>
        <v>6.119</v>
      </c>
      <c r="N4" s="55">
        <f>'Income Statement (V)'!L5/1000</f>
        <v>6.267</v>
      </c>
      <c r="O4" s="55">
        <f>'Income Statement (V)'!M5/1000</f>
        <v>6.425</v>
      </c>
      <c r="P4" s="55">
        <f>'Income Statement (V)'!N5/1000</f>
        <v>6.589</v>
      </c>
      <c r="Q4" s="55">
        <f>'Income Statement (V)'!O5/1000</f>
        <v>6.749</v>
      </c>
      <c r="R4" s="55">
        <f>'Income Statement (V)'!P5/1000</f>
        <v>6.919</v>
      </c>
      <c r="S4" s="55">
        <f>'Income Statement (V)'!Q5/1000</f>
        <v>7.096</v>
      </c>
      <c r="T4" s="55">
        <f>'Income Statement (V)'!R5/1000</f>
        <v>7.268</v>
      </c>
      <c r="U4" s="55">
        <f>'Income Statement (V)'!S5/1000</f>
        <v>7.451</v>
      </c>
      <c r="V4" s="55">
        <f>'Income Statement (V)'!T5/1000</f>
        <v>7.641</v>
      </c>
      <c r="W4" s="55">
        <f>'Income Statement (V)'!U5/1000</f>
        <v>7.921</v>
      </c>
      <c r="X4" s="55">
        <f>'Income Statement (V)'!V5/1000</f>
        <v>7.13</v>
      </c>
    </row>
    <row r="5" spans="1:24" ht="12.75">
      <c r="A5" s="53" t="s">
        <v>22</v>
      </c>
      <c r="D5" s="55">
        <f>'Income Statement (V)'!B6/1000</f>
        <v>0</v>
      </c>
      <c r="E5" s="55">
        <f>'Income Statement (V)'!C6/1000</f>
        <v>4.535</v>
      </c>
      <c r="F5" s="55">
        <f>'Income Statement (V)'!D6/1000</f>
        <v>3</v>
      </c>
      <c r="G5" s="55">
        <f>'Income Statement (V)'!E6/1000</f>
        <v>28.771</v>
      </c>
      <c r="H5" s="55">
        <f>'Income Statement (V)'!F6/1000</f>
        <v>3.152</v>
      </c>
      <c r="I5" s="55">
        <f>'Income Statement (V)'!G6/1000</f>
        <v>3.231</v>
      </c>
      <c r="J5" s="55">
        <f>'Income Statement (V)'!H6/1000</f>
        <v>34.009</v>
      </c>
      <c r="K5" s="55">
        <f>'Income Statement (V)'!I6/1000</f>
        <v>0.454</v>
      </c>
      <c r="L5" s="55">
        <f>'Income Statement (V)'!J6/1000</f>
        <v>4.9</v>
      </c>
      <c r="M5" s="55">
        <f>'Income Statement (V)'!K6/1000</f>
        <v>21.767</v>
      </c>
      <c r="N5" s="55">
        <f>'Income Statement (V)'!L6/1000</f>
        <v>0.489</v>
      </c>
      <c r="O5" s="55">
        <f>'Income Statement (V)'!M6/1000</f>
        <v>5.277</v>
      </c>
      <c r="P5" s="55">
        <f>'Income Statement (V)'!N6/1000</f>
        <v>25.819</v>
      </c>
      <c r="Q5" s="55">
        <f>'Income Statement (V)'!O6/1000</f>
        <v>0.527</v>
      </c>
      <c r="R5" s="55">
        <f>'Income Statement (V)'!P6/1000</f>
        <v>5.683</v>
      </c>
      <c r="S5" s="55">
        <f>'Income Statement (V)'!Q6/1000</f>
        <v>22.451</v>
      </c>
      <c r="T5" s="55">
        <f>'Income Statement (V)'!R6/1000</f>
        <v>0.567</v>
      </c>
      <c r="U5" s="55">
        <f>'Income Statement (V)'!S6/1000</f>
        <v>6.12</v>
      </c>
      <c r="V5" s="55">
        <f>'Income Statement (V)'!T6/1000</f>
        <v>31.807</v>
      </c>
      <c r="W5" s="55">
        <f>'Income Statement (V)'!U6/1000</f>
        <v>0.611</v>
      </c>
      <c r="X5" s="55">
        <f>'Income Statement (V)'!V6/1000</f>
        <v>6.469</v>
      </c>
    </row>
    <row r="6" spans="1:24" ht="12.75">
      <c r="A6" s="53" t="s">
        <v>23</v>
      </c>
      <c r="D6" s="55">
        <f>'Income Statement (V)'!B7/1000</f>
        <v>17.57</v>
      </c>
      <c r="E6" s="55">
        <f>'Income Statement (V)'!C7/1000</f>
        <v>105.703</v>
      </c>
      <c r="F6" s="55">
        <f>'Income Statement (V)'!D7/1000</f>
        <v>107.298</v>
      </c>
      <c r="G6" s="55">
        <f>'Income Statement (V)'!E7/1000</f>
        <v>108.556</v>
      </c>
      <c r="H6" s="55">
        <f>'Income Statement (V)'!F7/1000</f>
        <v>110.555</v>
      </c>
      <c r="I6" s="55">
        <f>'Income Statement (V)'!G7/1000</f>
        <v>112.594</v>
      </c>
      <c r="J6" s="55">
        <f>'Income Statement (V)'!H7/1000</f>
        <v>114.759</v>
      </c>
      <c r="K6" s="55">
        <f>'Income Statement (V)'!I7/1000</f>
        <v>117.208</v>
      </c>
      <c r="L6" s="55">
        <f>'Income Statement (V)'!J7/1000</f>
        <v>119.458</v>
      </c>
      <c r="M6" s="55">
        <f>'Income Statement (V)'!K7/1000</f>
        <v>121.852</v>
      </c>
      <c r="N6" s="55">
        <f>'Income Statement (V)'!L7/1000</f>
        <v>124.396</v>
      </c>
      <c r="O6" s="55">
        <f>'Income Statement (V)'!M7/1000</f>
        <v>126.739</v>
      </c>
      <c r="P6" s="55">
        <f>'Income Statement (V)'!N7/1000</f>
        <v>129.109</v>
      </c>
      <c r="Q6" s="55">
        <f>'Income Statement (V)'!O7/1000</f>
        <v>131.769</v>
      </c>
      <c r="R6" s="55">
        <f>'Income Statement (V)'!P7/1000</f>
        <v>134.307</v>
      </c>
      <c r="S6" s="55">
        <f>'Income Statement (V)'!Q7/1000</f>
        <v>136.996</v>
      </c>
      <c r="T6" s="55">
        <f>'Income Statement (V)'!R7/1000</f>
        <v>139.784</v>
      </c>
      <c r="U6" s="55">
        <f>'Income Statement (V)'!S7/1000</f>
        <v>142.368</v>
      </c>
      <c r="V6" s="55">
        <f>'Income Statement (V)'!T7/1000</f>
        <v>145.2</v>
      </c>
      <c r="W6" s="55">
        <f>'Income Statement (V)'!U7/1000</f>
        <v>147.657</v>
      </c>
      <c r="X6" s="55">
        <f>'Income Statement (V)'!V7/1000</f>
        <v>123.322</v>
      </c>
    </row>
    <row r="7" spans="1:24" ht="12.75">
      <c r="A7" s="53" t="s">
        <v>136</v>
      </c>
      <c r="D7" s="55">
        <f>'Income Statement (V)'!B16/1000</f>
        <v>0</v>
      </c>
      <c r="E7" s="55">
        <f>'Income Statement (V)'!C16/1000</f>
        <v>0</v>
      </c>
      <c r="F7" s="55">
        <f>'Income Statement (V)'!D16/1000</f>
        <v>0</v>
      </c>
      <c r="G7" s="55">
        <f>'Income Statement (V)'!E16/1000</f>
        <v>0</v>
      </c>
      <c r="H7" s="55">
        <f>'Income Statement (V)'!F16/1000</f>
        <v>0</v>
      </c>
      <c r="I7" s="55">
        <f>'Income Statement (V)'!G16/1000</f>
        <v>0</v>
      </c>
      <c r="J7" s="55">
        <f>'Income Statement (V)'!H16/1000</f>
        <v>0</v>
      </c>
      <c r="K7" s="55">
        <f>'Income Statement (V)'!I16/1000</f>
        <v>0</v>
      </c>
      <c r="L7" s="55">
        <f>'Income Statement (V)'!J16/1000</f>
        <v>0.147</v>
      </c>
      <c r="M7" s="55">
        <f>'Income Statement (V)'!K16/1000</f>
        <v>2.212</v>
      </c>
      <c r="N7" s="55">
        <f>'Income Statement (V)'!L16/1000</f>
        <v>1.109</v>
      </c>
      <c r="O7" s="55">
        <f>'Income Statement (V)'!M16/1000</f>
        <v>1.918</v>
      </c>
      <c r="P7" s="55">
        <f>'Income Statement (V)'!N16/1000</f>
        <v>1.76</v>
      </c>
      <c r="Q7" s="55">
        <f>'Income Statement (V)'!O16/1000</f>
        <v>0.204</v>
      </c>
      <c r="R7" s="55">
        <f>'Income Statement (V)'!P16/1000</f>
        <v>1.592</v>
      </c>
      <c r="S7" s="55">
        <f>'Income Statement (V)'!Q16/1000</f>
        <v>1.357</v>
      </c>
      <c r="T7" s="55">
        <f>'Income Statement (V)'!R16/1000</f>
        <v>0</v>
      </c>
      <c r="U7" s="55">
        <f>'Income Statement (V)'!S16/1000</f>
        <v>0.968</v>
      </c>
      <c r="V7" s="55">
        <f>'Income Statement (V)'!T16/1000</f>
        <v>0.891</v>
      </c>
      <c r="W7" s="55">
        <f>'Income Statement (V)'!U16/1000</f>
        <v>0</v>
      </c>
      <c r="X7" s="55">
        <f>'Income Statement (V)'!V16/1000</f>
        <v>0</v>
      </c>
    </row>
    <row r="8" spans="1:24" ht="12.75">
      <c r="A8" s="40" t="s">
        <v>163</v>
      </c>
      <c r="D8" s="55">
        <f>'Balance Sheet (V)'!B48/1000</f>
        <v>14.865</v>
      </c>
      <c r="E8" s="55">
        <f>'Balance Sheet (V)'!C48/1000</f>
        <v>7.604</v>
      </c>
      <c r="F8" s="55">
        <f>'Balance Sheet (V)'!D48/1000</f>
        <v>8.937</v>
      </c>
      <c r="G8" s="55">
        <f>'Balance Sheet (V)'!E48/1000</f>
        <v>-17.63</v>
      </c>
      <c r="H8" s="55">
        <f>'Balance Sheet (V)'!F48/1000</f>
        <v>9.09</v>
      </c>
      <c r="I8" s="55">
        <f>'Balance Sheet (V)'!G48/1000</f>
        <v>10.067</v>
      </c>
      <c r="J8" s="55">
        <f>'Balance Sheet (V)'!H48/1000</f>
        <v>-21.163</v>
      </c>
      <c r="K8" s="55">
        <f>'Balance Sheet (V)'!I48/1000</f>
        <v>7.559</v>
      </c>
      <c r="L8" s="55">
        <f>'Balance Sheet (V)'!J48/1000</f>
        <v>3.26</v>
      </c>
      <c r="M8" s="55">
        <f>'Balance Sheet (V)'!K48/1000</f>
        <v>-13.512</v>
      </c>
      <c r="N8" s="55">
        <f>'Balance Sheet (V)'!L48/1000</f>
        <v>9.295</v>
      </c>
      <c r="O8" s="55">
        <f>'Balance Sheet (V)'!M48/1000</f>
        <v>4.631</v>
      </c>
      <c r="P8" s="55">
        <f>'Balance Sheet (V)'!N48/1000</f>
        <v>-15.84</v>
      </c>
      <c r="Q8" s="55">
        <f>'Balance Sheet (V)'!O48/1000</f>
        <v>8.481</v>
      </c>
      <c r="R8" s="55">
        <f>'Balance Sheet (V)'!P48/1000</f>
        <v>3.418</v>
      </c>
      <c r="S8" s="55">
        <f>'Balance Sheet (V)'!Q48/1000</f>
        <v>-9.036</v>
      </c>
      <c r="T8" s="55">
        <f>'Balance Sheet (V)'!R48/1000</f>
        <v>16.11</v>
      </c>
      <c r="U8" s="55">
        <f>'Balance Sheet (V)'!S48/1000</f>
        <v>8.253</v>
      </c>
      <c r="V8" s="55">
        <f>'Balance Sheet (V)'!T48/1000</f>
        <v>-17.548</v>
      </c>
      <c r="W8" s="55">
        <f>'Balance Sheet (V)'!U48/1000</f>
        <v>14.905</v>
      </c>
      <c r="X8" s="55">
        <f>'Balance Sheet (V)'!V48/1000</f>
        <v>7.329</v>
      </c>
    </row>
    <row r="9" spans="1:24" ht="12.75">
      <c r="A9" s="40" t="s">
        <v>131</v>
      </c>
      <c r="D9" s="55">
        <f>('Income Statement (V)'!B13-'Income Statement (V)'!B9)/1000</f>
        <v>0</v>
      </c>
      <c r="E9" s="55">
        <f>('Income Statement (V)'!C13-'Income Statement (V)'!C9)/1000</f>
        <v>-0.394</v>
      </c>
      <c r="F9" s="55">
        <f>('Income Statement (V)'!D13-'Income Statement (V)'!D9)/1000</f>
        <v>-0.212</v>
      </c>
      <c r="G9" s="55">
        <f>('Income Statement (V)'!E13-'Income Statement (V)'!E9)/1000</f>
        <v>-0.019</v>
      </c>
      <c r="H9" s="55">
        <f>('Income Statement (V)'!F13-'Income Statement (V)'!F9)/1000</f>
        <v>-0.332</v>
      </c>
      <c r="I9" s="55">
        <f>('Income Statement (V)'!G13-'Income Statement (V)'!G9)/1000</f>
        <v>-0.11</v>
      </c>
      <c r="J9" s="55">
        <f>('Income Statement (V)'!H13-'Income Statement (V)'!H9)/1000</f>
        <v>0.096</v>
      </c>
      <c r="K9" s="55">
        <f>('Income Statement (V)'!I13-'Income Statement (V)'!I9)/1000</f>
        <v>-0.335</v>
      </c>
      <c r="L9" s="55">
        <f>('Income Statement (V)'!J13-'Income Statement (V)'!J9)/1000</f>
        <v>-0.147</v>
      </c>
      <c r="M9" s="55">
        <f>('Income Statement (V)'!K13-'Income Statement (V)'!K9)/1000</f>
        <v>-0.235</v>
      </c>
      <c r="N9" s="55">
        <f>('Income Statement (V)'!L13-'Income Statement (V)'!L9)/1000</f>
        <v>-0.262</v>
      </c>
      <c r="O9" s="55">
        <f>('Income Statement (V)'!M13-'Income Statement (V)'!M9)/1000</f>
        <v>-0.046</v>
      </c>
      <c r="P9" s="55">
        <f>('Income Statement (V)'!N13-'Income Statement (V)'!N9)/1000</f>
        <v>0.07</v>
      </c>
      <c r="Q9" s="55">
        <f>('Income Statement (V)'!O13-'Income Statement (V)'!O9)/1000</f>
        <v>-0.197</v>
      </c>
      <c r="R9" s="55">
        <f>('Income Statement (V)'!P13-'Income Statement (V)'!P9)/1000</f>
        <v>0.039</v>
      </c>
      <c r="S9" s="55">
        <f>('Income Statement (V)'!Q13-'Income Statement (V)'!Q9)/1000</f>
        <v>0.257</v>
      </c>
      <c r="T9" s="55">
        <f>('Income Statement (V)'!R13-'Income Statement (V)'!R9)/1000</f>
        <v>0.473</v>
      </c>
      <c r="U9" s="55">
        <f>('Income Statement (V)'!S13-'Income Statement (V)'!S9)/1000</f>
        <v>1.128</v>
      </c>
      <c r="V9" s="55">
        <f>('Income Statement (V)'!T13-'Income Statement (V)'!T9)/1000</f>
        <v>1.64</v>
      </c>
      <c r="W9" s="55">
        <f>('Income Statement (V)'!U13-'Income Statement (V)'!U9)/1000</f>
        <v>1.644</v>
      </c>
      <c r="X9" s="55">
        <f>('Income Statement (V)'!V13-'Income Statement (V)'!V9)/1000</f>
        <v>2.293</v>
      </c>
    </row>
    <row r="10" spans="1:25" ht="12.75">
      <c r="A10" s="40" t="s">
        <v>164</v>
      </c>
      <c r="D10" s="55">
        <f>'Balance Sheet (V)'!B15/1000</f>
        <v>0</v>
      </c>
      <c r="E10" s="55">
        <f>('Balance Sheet (V)'!C15-'Balance Sheet (V)'!B15)/1000</f>
        <v>0</v>
      </c>
      <c r="F10" s="55">
        <f>('Balance Sheet (V)'!D15-'Balance Sheet (V)'!C15)/1000</f>
        <v>0</v>
      </c>
      <c r="G10" s="55">
        <f>('Balance Sheet (V)'!E15-'Balance Sheet (V)'!D15)/1000</f>
        <v>0</v>
      </c>
      <c r="H10" s="55">
        <f>('Balance Sheet (V)'!F15-'Balance Sheet (V)'!E15)/1000</f>
        <v>0</v>
      </c>
      <c r="I10" s="55">
        <f>('Balance Sheet (V)'!G15-'Balance Sheet (V)'!F15)/1000</f>
        <v>0</v>
      </c>
      <c r="J10" s="55">
        <f>('Balance Sheet (V)'!H15-'Balance Sheet (V)'!G15)/1000</f>
        <v>0</v>
      </c>
      <c r="K10" s="55">
        <f>('Balance Sheet (V)'!I15-'Balance Sheet (V)'!H15)/1000</f>
        <v>0</v>
      </c>
      <c r="L10" s="55">
        <f>('Balance Sheet (V)'!J15-'Balance Sheet (V)'!I15)/1000</f>
        <v>0</v>
      </c>
      <c r="M10" s="55">
        <f>('Balance Sheet (V)'!K15-'Balance Sheet (V)'!J15)/1000</f>
        <v>0</v>
      </c>
      <c r="N10" s="55">
        <f>('Balance Sheet (V)'!L15-'Balance Sheet (V)'!K15)/1000</f>
        <v>0</v>
      </c>
      <c r="O10" s="55">
        <f>('Balance Sheet (V)'!M15-'Balance Sheet (V)'!L15)/1000</f>
        <v>0</v>
      </c>
      <c r="P10" s="55">
        <f>('Balance Sheet (V)'!N15-'Balance Sheet (V)'!M15)/1000</f>
        <v>0</v>
      </c>
      <c r="Q10" s="55">
        <f>('Balance Sheet (V)'!O15-'Balance Sheet (V)'!N15)/1000</f>
        <v>0</v>
      </c>
      <c r="R10" s="55">
        <f>('Balance Sheet (V)'!P15-'Balance Sheet (V)'!O15)/1000</f>
        <v>0</v>
      </c>
      <c r="S10" s="55">
        <f>('Balance Sheet (V)'!Q15-'Balance Sheet (V)'!P15)/1000</f>
        <v>16.469</v>
      </c>
      <c r="T10" s="55">
        <f>('Balance Sheet (V)'!R15-'Balance Sheet (V)'!Q15)/1000</f>
        <v>17.283</v>
      </c>
      <c r="U10" s="55">
        <f>('Balance Sheet (V)'!S15-'Balance Sheet (V)'!R15)/1000</f>
        <v>17.282</v>
      </c>
      <c r="V10" s="55">
        <f>('Balance Sheet (V)'!T15-'Balance Sheet (V)'!S15)/1000</f>
        <v>17.282</v>
      </c>
      <c r="W10" s="55">
        <f>('Balance Sheet (V)'!U15-'Balance Sheet (V)'!T15)/1000</f>
        <v>17.282</v>
      </c>
      <c r="X10" s="55">
        <f>('Balance Sheet (V)'!V15-'Balance Sheet (V)'!U15)/1000+('Balance Sheet (V)'!W15-'Balance Sheet (V)'!V15)/1000</f>
        <v>-85.598</v>
      </c>
      <c r="Y10" s="55"/>
    </row>
    <row r="11" spans="1:25" ht="12.75">
      <c r="A11" s="40" t="s">
        <v>128</v>
      </c>
      <c r="B11" s="55">
        <v>37.031000000000006</v>
      </c>
      <c r="C11" s="55">
        <v>186.298</v>
      </c>
      <c r="D11" s="55">
        <v>141.40800000000002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pans="2:25" ht="12.75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1:24" ht="12.75">
      <c r="A13" s="50" t="s">
        <v>132</v>
      </c>
      <c r="B13" s="60">
        <f aca="true" t="shared" si="0" ref="B13:X13">B3-SUM(B4:B7)-B8+B9-B10-B11</f>
        <v>-37.031000000000006</v>
      </c>
      <c r="C13" s="60">
        <f t="shared" si="0"/>
        <v>-186.298</v>
      </c>
      <c r="D13" s="60">
        <f t="shared" si="0"/>
        <v>-141.40800000000002</v>
      </c>
      <c r="E13" s="60">
        <f t="shared" si="0"/>
        <v>76.71399999999998</v>
      </c>
      <c r="F13" s="60">
        <f t="shared" si="0"/>
        <v>77.10300000000001</v>
      </c>
      <c r="G13" s="60">
        <f t="shared" si="0"/>
        <v>75.411</v>
      </c>
      <c r="H13" s="60">
        <f t="shared" si="0"/>
        <v>66.28899999999999</v>
      </c>
      <c r="I13" s="60">
        <f t="shared" si="0"/>
        <v>59.90200000000001</v>
      </c>
      <c r="J13" s="60">
        <f t="shared" si="0"/>
        <v>61.166000000000004</v>
      </c>
      <c r="K13" s="60">
        <f t="shared" si="0"/>
        <v>59.08000000000002</v>
      </c>
      <c r="L13" s="60">
        <f t="shared" si="0"/>
        <v>53.19099999999999</v>
      </c>
      <c r="M13" s="60">
        <f t="shared" si="0"/>
        <v>46.06100000000002</v>
      </c>
      <c r="N13" s="60">
        <f t="shared" si="0"/>
        <v>41.04299999999999</v>
      </c>
      <c r="O13" s="60">
        <f t="shared" si="0"/>
        <v>36.089999999999996</v>
      </c>
      <c r="P13" s="60">
        <f t="shared" si="0"/>
        <v>32.93200000000002</v>
      </c>
      <c r="Q13" s="60">
        <f t="shared" si="0"/>
        <v>31.931999999999984</v>
      </c>
      <c r="R13" s="60">
        <f t="shared" si="0"/>
        <v>27.550000000000004</v>
      </c>
      <c r="S13" s="60">
        <f t="shared" si="0"/>
        <v>4.796999999999986</v>
      </c>
      <c r="T13" s="60">
        <f t="shared" si="0"/>
        <v>-0.000999999999990564</v>
      </c>
      <c r="U13" s="60">
        <f t="shared" si="0"/>
        <v>-0.00199999999997047</v>
      </c>
      <c r="V13" s="60">
        <f t="shared" si="0"/>
        <v>0.0009999999999976694</v>
      </c>
      <c r="W13" s="60">
        <f t="shared" si="0"/>
        <v>-0.0010000000000260911</v>
      </c>
      <c r="X13" s="60">
        <f t="shared" si="0"/>
        <v>100.00000000000001</v>
      </c>
    </row>
    <row r="14" ht="12.75">
      <c r="B14" s="54"/>
    </row>
    <row r="15" spans="1:24" ht="12.75">
      <c r="A15" s="40" t="s">
        <v>134</v>
      </c>
      <c r="B15" s="56">
        <v>30.576</v>
      </c>
      <c r="C15" s="56">
        <v>151.478</v>
      </c>
      <c r="D15" s="56">
        <v>120.70899999999995</v>
      </c>
      <c r="E15" s="55">
        <f>('Balance Sheet (V)'!C29-'Balance Sheet (V)'!B29)/1000</f>
        <v>-16.207</v>
      </c>
      <c r="F15" s="55">
        <f>('Balance Sheet (V)'!D29-'Balance Sheet (V)'!C29)/1000</f>
        <v>-24.698</v>
      </c>
      <c r="G15" s="55">
        <f>('Balance Sheet (V)'!E29-'Balance Sheet (V)'!D29)/1000</f>
        <v>-24.862</v>
      </c>
      <c r="H15" s="55">
        <f>('Balance Sheet (V)'!F29-'Balance Sheet (V)'!E29)/1000</f>
        <v>-25.359</v>
      </c>
      <c r="I15" s="55">
        <f>('Balance Sheet (V)'!G29-'Balance Sheet (V)'!F29)/1000</f>
        <v>-24.863</v>
      </c>
      <c r="J15" s="55">
        <f>('Balance Sheet (V)'!H29-'Balance Sheet (V)'!G29)/1000</f>
        <v>-26.421</v>
      </c>
      <c r="K15" s="55">
        <f>('Balance Sheet (V)'!I29-'Balance Sheet (V)'!H29)/1000</f>
        <v>-26.818</v>
      </c>
      <c r="L15" s="55">
        <f>('Balance Sheet (V)'!J29-'Balance Sheet (V)'!I29)/1000</f>
        <v>-26.322</v>
      </c>
      <c r="M15" s="55">
        <f>('Balance Sheet (V)'!K29-'Balance Sheet (V)'!J29)/1000</f>
        <v>-23.685</v>
      </c>
      <c r="N15" s="55">
        <f>('Balance Sheet (V)'!L29-'Balance Sheet (V)'!K29)/1000</f>
        <v>-21.574</v>
      </c>
      <c r="O15" s="55">
        <f>('Balance Sheet (V)'!M29-'Balance Sheet (V)'!L29)/1000</f>
        <v>-20.832</v>
      </c>
      <c r="P15" s="55">
        <f>('Balance Sheet (V)'!N29-'Balance Sheet (V)'!M29)/1000</f>
        <v>-20.335</v>
      </c>
      <c r="Q15" s="55">
        <f>('Balance Sheet (V)'!O29-'Balance Sheet (V)'!N29)/1000</f>
        <v>-16.816</v>
      </c>
      <c r="R15" s="55">
        <f>('Balance Sheet (V)'!P29-'Balance Sheet (V)'!O29)/1000</f>
        <v>-3.971</v>
      </c>
      <c r="S15" s="55">
        <f>('Balance Sheet (V)'!Q29-'Balance Sheet (V)'!P29)/1000</f>
        <v>0</v>
      </c>
      <c r="T15" s="55">
        <f>('Balance Sheet (V)'!R29-'Balance Sheet (V)'!Q29)/1000</f>
        <v>0</v>
      </c>
      <c r="U15" s="55">
        <f>('Balance Sheet (V)'!S29-'Balance Sheet (V)'!R29)/1000</f>
        <v>0</v>
      </c>
      <c r="V15" s="55">
        <f>('Balance Sheet (V)'!T29-'Balance Sheet (V)'!S29)/1000</f>
        <v>0</v>
      </c>
      <c r="W15" s="55">
        <f>('Balance Sheet (V)'!U29-'Balance Sheet (V)'!T29)/1000</f>
        <v>0</v>
      </c>
      <c r="X15" s="55">
        <f>('Balance Sheet (V)'!V29-'Balance Sheet (V)'!U29)/1000</f>
        <v>0</v>
      </c>
    </row>
    <row r="16" spans="1:24" ht="12.75">
      <c r="A16" s="40" t="s">
        <v>135</v>
      </c>
      <c r="B16" s="56">
        <v>-3.123</v>
      </c>
      <c r="C16" s="56">
        <v>-15.458</v>
      </c>
      <c r="D16" s="56">
        <v>-19.534</v>
      </c>
      <c r="E16" s="55">
        <f>-'Income Statement (V)'!C14/1000</f>
        <v>-33.488</v>
      </c>
      <c r="F16" s="55">
        <f>-'Income Statement (V)'!D14/1000</f>
        <v>-26.616</v>
      </c>
      <c r="G16" s="55">
        <f>-'Income Statement (V)'!E14/1000</f>
        <v>-24.231</v>
      </c>
      <c r="H16" s="55">
        <f>-'Income Statement (V)'!F14/1000</f>
        <v>-21.807</v>
      </c>
      <c r="I16" s="55">
        <f>-'Income Statement (V)'!G14/1000</f>
        <v>-19.373</v>
      </c>
      <c r="J16" s="55">
        <f>-'Income Statement (V)'!H14/1000</f>
        <v>-16.939</v>
      </c>
      <c r="K16" s="55">
        <f>-'Income Statement (V)'!I14/1000</f>
        <v>-14.366</v>
      </c>
      <c r="L16" s="55">
        <f>-'Income Statement (V)'!J14/1000</f>
        <v>-11.802</v>
      </c>
      <c r="M16" s="55">
        <f>-'Income Statement (V)'!K14/1000</f>
        <v>-9.199</v>
      </c>
      <c r="N16" s="55">
        <f>-'Income Statement (V)'!L14/1000</f>
        <v>-7.231</v>
      </c>
      <c r="O16" s="55">
        <f>-'Income Statement (V)'!M14/1000</f>
        <v>-5.177</v>
      </c>
      <c r="P16" s="55">
        <f>-'Income Statement (V)'!N14/1000</f>
        <v>-3.198</v>
      </c>
      <c r="Q16" s="55">
        <f>-'Income Statement (V)'!O14/1000</f>
        <v>-1.234</v>
      </c>
      <c r="R16" s="55">
        <f>-'Income Statement (V)'!P14/1000</f>
        <v>-0.087</v>
      </c>
      <c r="S16" s="55">
        <f>-'Income Statement (V)'!Q14/1000</f>
        <v>0</v>
      </c>
      <c r="T16" s="55">
        <f>-'Income Statement (V)'!R14/1000</f>
        <v>0</v>
      </c>
      <c r="U16" s="55">
        <f>-'Income Statement (V)'!S14/1000</f>
        <v>0</v>
      </c>
      <c r="V16" s="55">
        <f>-'Income Statement (V)'!T14/1000</f>
        <v>0</v>
      </c>
      <c r="W16" s="55">
        <f>-'Income Statement (V)'!U14/1000</f>
        <v>0</v>
      </c>
      <c r="X16" s="55">
        <f>-'Income Statement (V)'!V14/1000</f>
        <v>0</v>
      </c>
    </row>
    <row r="17" spans="1:24" ht="12.75">
      <c r="A17" s="50" t="s">
        <v>133</v>
      </c>
      <c r="B17" s="61">
        <f>B15+B16</f>
        <v>27.453</v>
      </c>
      <c r="C17" s="61">
        <f aca="true" t="shared" si="1" ref="C17:X17">C15+C16</f>
        <v>136.02</v>
      </c>
      <c r="D17" s="61">
        <f t="shared" si="1"/>
        <v>101.17499999999995</v>
      </c>
      <c r="E17" s="61">
        <f t="shared" si="1"/>
        <v>-49.695</v>
      </c>
      <c r="F17" s="61">
        <f t="shared" si="1"/>
        <v>-51.314</v>
      </c>
      <c r="G17" s="61">
        <f t="shared" si="1"/>
        <v>-49.093</v>
      </c>
      <c r="H17" s="61">
        <f t="shared" si="1"/>
        <v>-47.166</v>
      </c>
      <c r="I17" s="61">
        <f t="shared" si="1"/>
        <v>-44.236000000000004</v>
      </c>
      <c r="J17" s="61">
        <f t="shared" si="1"/>
        <v>-43.36</v>
      </c>
      <c r="K17" s="61">
        <f t="shared" si="1"/>
        <v>-41.184</v>
      </c>
      <c r="L17" s="61">
        <f t="shared" si="1"/>
        <v>-38.123999999999995</v>
      </c>
      <c r="M17" s="61">
        <f t="shared" si="1"/>
        <v>-32.884</v>
      </c>
      <c r="N17" s="61">
        <f t="shared" si="1"/>
        <v>-28.805</v>
      </c>
      <c r="O17" s="61">
        <f t="shared" si="1"/>
        <v>-26.009</v>
      </c>
      <c r="P17" s="61">
        <f t="shared" si="1"/>
        <v>-23.533</v>
      </c>
      <c r="Q17" s="61">
        <f t="shared" si="1"/>
        <v>-18.049999999999997</v>
      </c>
      <c r="R17" s="61">
        <f t="shared" si="1"/>
        <v>-4.058</v>
      </c>
      <c r="S17" s="61">
        <f t="shared" si="1"/>
        <v>0</v>
      </c>
      <c r="T17" s="61">
        <f t="shared" si="1"/>
        <v>0</v>
      </c>
      <c r="U17" s="61">
        <f t="shared" si="1"/>
        <v>0</v>
      </c>
      <c r="V17" s="61">
        <f t="shared" si="1"/>
        <v>0</v>
      </c>
      <c r="W17" s="61">
        <f t="shared" si="1"/>
        <v>0</v>
      </c>
      <c r="X17" s="61">
        <f t="shared" si="1"/>
        <v>0</v>
      </c>
    </row>
    <row r="19" spans="1:24" ht="12.75">
      <c r="A19" s="50" t="s">
        <v>130</v>
      </c>
      <c r="B19" s="60">
        <f>B13+B17</f>
        <v>-9.578000000000007</v>
      </c>
      <c r="C19" s="60">
        <f aca="true" t="shared" si="2" ref="C19:X19">C13+C17</f>
        <v>-50.27799999999999</v>
      </c>
      <c r="D19" s="60">
        <f t="shared" si="2"/>
        <v>-40.23300000000006</v>
      </c>
      <c r="E19" s="60">
        <f t="shared" si="2"/>
        <v>27.018999999999984</v>
      </c>
      <c r="F19" s="60">
        <f t="shared" si="2"/>
        <v>25.78900000000001</v>
      </c>
      <c r="G19" s="60">
        <f t="shared" si="2"/>
        <v>26.317999999999998</v>
      </c>
      <c r="H19" s="60">
        <f t="shared" si="2"/>
        <v>19.12299999999999</v>
      </c>
      <c r="I19" s="60">
        <f t="shared" si="2"/>
        <v>15.666000000000004</v>
      </c>
      <c r="J19" s="60">
        <f t="shared" si="2"/>
        <v>17.806000000000004</v>
      </c>
      <c r="K19" s="60">
        <f t="shared" si="2"/>
        <v>17.896000000000022</v>
      </c>
      <c r="L19" s="60">
        <f t="shared" si="2"/>
        <v>15.066999999999993</v>
      </c>
      <c r="M19" s="60">
        <f t="shared" si="2"/>
        <v>13.177000000000021</v>
      </c>
      <c r="N19" s="60">
        <f t="shared" si="2"/>
        <v>12.237999999999992</v>
      </c>
      <c r="O19" s="60">
        <f t="shared" si="2"/>
        <v>10.080999999999996</v>
      </c>
      <c r="P19" s="60">
        <f t="shared" si="2"/>
        <v>9.399000000000022</v>
      </c>
      <c r="Q19" s="60">
        <f t="shared" si="2"/>
        <v>13.881999999999987</v>
      </c>
      <c r="R19" s="60">
        <f t="shared" si="2"/>
        <v>23.492000000000004</v>
      </c>
      <c r="S19" s="60">
        <f t="shared" si="2"/>
        <v>4.796999999999986</v>
      </c>
      <c r="T19" s="60">
        <f t="shared" si="2"/>
        <v>-0.000999999999990564</v>
      </c>
      <c r="U19" s="60">
        <f t="shared" si="2"/>
        <v>-0.00199999999997047</v>
      </c>
      <c r="V19" s="60">
        <f t="shared" si="2"/>
        <v>0.0009999999999976694</v>
      </c>
      <c r="W19" s="60">
        <f t="shared" si="2"/>
        <v>-0.0010000000000260911</v>
      </c>
      <c r="X19" s="60">
        <f t="shared" si="2"/>
        <v>100.00000000000001</v>
      </c>
    </row>
    <row r="20" spans="2:24" ht="12.75">
      <c r="B20" s="56">
        <f>B19/(1+$B$27)^B1</f>
        <v>-9.578000000000007</v>
      </c>
      <c r="C20" s="56">
        <f aca="true" t="shared" si="3" ref="C20:X20">C19/(1+$B$27)^C1</f>
        <v>-42.82988329499957</v>
      </c>
      <c r="D20" s="56">
        <f t="shared" si="3"/>
        <v>-29.195788709395753</v>
      </c>
      <c r="E20" s="56">
        <f t="shared" si="3"/>
        <v>16.702287824482156</v>
      </c>
      <c r="F20" s="56">
        <f t="shared" si="3"/>
        <v>13.580322755386517</v>
      </c>
      <c r="G20" s="56">
        <f t="shared" si="3"/>
        <v>11.805852950075687</v>
      </c>
      <c r="H20" s="56">
        <f t="shared" si="3"/>
        <v>7.307509848057928</v>
      </c>
      <c r="I20" s="56">
        <f t="shared" si="3"/>
        <v>5.0996503911653175</v>
      </c>
      <c r="J20" s="56">
        <f t="shared" si="3"/>
        <v>4.937618687597509</v>
      </c>
      <c r="K20" s="56">
        <f t="shared" si="3"/>
        <v>4.227426324939534</v>
      </c>
      <c r="L20" s="56">
        <f t="shared" si="3"/>
        <v>3.0319062065781526</v>
      </c>
      <c r="M20" s="56">
        <f t="shared" si="3"/>
        <v>2.258782514292191</v>
      </c>
      <c r="N20" s="56">
        <f t="shared" si="3"/>
        <v>1.7870521133163788</v>
      </c>
      <c r="O20" s="56">
        <f t="shared" si="3"/>
        <v>1.2540050362379647</v>
      </c>
      <c r="P20" s="56">
        <f t="shared" si="3"/>
        <v>0.9959698987482136</v>
      </c>
      <c r="Q20" s="56">
        <f t="shared" si="3"/>
        <v>1.253099338605471</v>
      </c>
      <c r="R20" s="56">
        <f t="shared" si="3"/>
        <v>1.8064350459623888</v>
      </c>
      <c r="S20" s="56">
        <f t="shared" si="3"/>
        <v>0.3142251729342132</v>
      </c>
      <c r="T20" s="56">
        <f t="shared" si="3"/>
        <v>-5.5800764986601355E-05</v>
      </c>
      <c r="U20" s="56">
        <f t="shared" si="3"/>
        <v>-9.506902629918052E-05</v>
      </c>
      <c r="V20" s="56">
        <f t="shared" si="3"/>
        <v>4.049281297400232E-05</v>
      </c>
      <c r="W20" s="56">
        <f t="shared" si="3"/>
        <v>-3.449426098914149E-05</v>
      </c>
      <c r="X20" s="56">
        <f t="shared" si="3"/>
        <v>2.9384326593612315</v>
      </c>
    </row>
    <row r="21" spans="2:24" ht="12.75">
      <c r="B21" s="68">
        <f>1/(1+$B$27)^B1</f>
        <v>1</v>
      </c>
      <c r="C21" s="68">
        <f aca="true" t="shared" si="4" ref="C21:X21">1/(1+$B$27)^C1</f>
        <v>0.851861316977596</v>
      </c>
      <c r="D21" s="68">
        <f t="shared" si="4"/>
        <v>0.7256677033628044</v>
      </c>
      <c r="E21" s="68">
        <f t="shared" si="4"/>
        <v>0.6181682454747461</v>
      </c>
      <c r="F21" s="68">
        <f t="shared" si="4"/>
        <v>0.5265936157038471</v>
      </c>
      <c r="G21" s="68">
        <f t="shared" si="4"/>
        <v>0.44858473098547336</v>
      </c>
      <c r="H21" s="68">
        <f t="shared" si="4"/>
        <v>0.3821319797133259</v>
      </c>
      <c r="I21" s="68">
        <f t="shared" si="4"/>
        <v>0.3255234514978499</v>
      </c>
      <c r="J21" s="68">
        <f t="shared" si="4"/>
        <v>0.277300836100051</v>
      </c>
      <c r="K21" s="68">
        <f t="shared" si="4"/>
        <v>0.23622185543917798</v>
      </c>
      <c r="L21" s="68">
        <f t="shared" si="4"/>
        <v>0.20122826087330947</v>
      </c>
      <c r="M21" s="68">
        <f t="shared" si="4"/>
        <v>0.17141857132064867</v>
      </c>
      <c r="N21" s="68">
        <f t="shared" si="4"/>
        <v>0.14602484991962575</v>
      </c>
      <c r="O21" s="68">
        <f t="shared" si="4"/>
        <v>0.12439292096398821</v>
      </c>
      <c r="P21" s="68">
        <f t="shared" si="4"/>
        <v>0.10596551747507302</v>
      </c>
      <c r="Q21" s="68">
        <f t="shared" si="4"/>
        <v>0.09026792527052817</v>
      </c>
      <c r="R21" s="68">
        <f t="shared" si="4"/>
        <v>0.07689575370178735</v>
      </c>
      <c r="S21" s="68">
        <f t="shared" si="4"/>
        <v>0.06550451801838943</v>
      </c>
      <c r="T21" s="68">
        <f t="shared" si="4"/>
        <v>0.055800764987127896</v>
      </c>
      <c r="U21" s="68">
        <f t="shared" si="4"/>
        <v>0.047534513150292106</v>
      </c>
      <c r="V21" s="68">
        <f t="shared" si="4"/>
        <v>0.04049281297409669</v>
      </c>
      <c r="W21" s="68">
        <f t="shared" si="4"/>
        <v>0.034494260988241494</v>
      </c>
      <c r="X21" s="68">
        <f t="shared" si="4"/>
        <v>0.02938432659361231</v>
      </c>
    </row>
    <row r="22" spans="1:2" ht="12.75">
      <c r="A22" s="40" t="s">
        <v>148</v>
      </c>
      <c r="B22" s="66">
        <v>0.0922</v>
      </c>
    </row>
    <row r="23" spans="1:24" ht="12.75">
      <c r="A23" s="50"/>
      <c r="B23" s="55">
        <f aca="true" t="shared" si="5" ref="B23:X23">B13/(1+$B$22)^B1</f>
        <v>-37.031000000000006</v>
      </c>
      <c r="C23" s="55">
        <f t="shared" si="5"/>
        <v>-170.57132393334552</v>
      </c>
      <c r="D23" s="55">
        <f t="shared" si="5"/>
        <v>-118.54128629836492</v>
      </c>
      <c r="E23" s="55">
        <f t="shared" si="5"/>
        <v>58.88004206526835</v>
      </c>
      <c r="F23" s="55">
        <f t="shared" si="5"/>
        <v>54.18294263458238</v>
      </c>
      <c r="G23" s="55">
        <f t="shared" si="5"/>
        <v>48.52034037927714</v>
      </c>
      <c r="H23" s="55">
        <f t="shared" si="5"/>
        <v>39.050665035237024</v>
      </c>
      <c r="I23" s="55">
        <f t="shared" si="5"/>
        <v>32.309193505868805</v>
      </c>
      <c r="J23" s="55">
        <f t="shared" si="5"/>
        <v>30.205964162205504</v>
      </c>
      <c r="K23" s="55">
        <f t="shared" si="5"/>
        <v>26.712893755694576</v>
      </c>
      <c r="L23" s="55">
        <f t="shared" si="5"/>
        <v>22.019955309359105</v>
      </c>
      <c r="M23" s="55">
        <f t="shared" si="5"/>
        <v>17.458602146591257</v>
      </c>
      <c r="N23" s="55">
        <f t="shared" si="5"/>
        <v>14.243379022989918</v>
      </c>
      <c r="O23" s="55">
        <f t="shared" si="5"/>
        <v>11.467233172711222</v>
      </c>
      <c r="P23" s="55">
        <f t="shared" si="5"/>
        <v>9.580489427404203</v>
      </c>
      <c r="Q23" s="55">
        <f t="shared" si="5"/>
        <v>8.505376396227458</v>
      </c>
      <c r="R23" s="55">
        <f t="shared" si="5"/>
        <v>6.718724727444723</v>
      </c>
      <c r="S23" s="55">
        <f t="shared" si="5"/>
        <v>1.07110683601862</v>
      </c>
      <c r="T23" s="55">
        <f t="shared" si="5"/>
        <v>-0.00020443765954873065</v>
      </c>
      <c r="U23" s="55">
        <f t="shared" si="5"/>
        <v>-0.00037435938389972744</v>
      </c>
      <c r="V23" s="55">
        <f t="shared" si="5"/>
        <v>0.00017137858629572537</v>
      </c>
      <c r="W23" s="55">
        <f t="shared" si="5"/>
        <v>-0.000156911359000729</v>
      </c>
      <c r="X23" s="55">
        <f t="shared" si="5"/>
        <v>14.36654083470381</v>
      </c>
    </row>
    <row r="24" spans="1:2" ht="12.75">
      <c r="A24" s="50" t="s">
        <v>149</v>
      </c>
      <c r="B24" s="64">
        <f>SUM(B23:X23)</f>
        <v>69.14927485005751</v>
      </c>
    </row>
    <row r="25" spans="1:2" ht="12.75">
      <c r="A25" s="50" t="s">
        <v>156</v>
      </c>
      <c r="B25" s="67">
        <f>IRR(B13:X13)</f>
        <v>0.12723596769535184</v>
      </c>
    </row>
    <row r="26" spans="1:2" ht="12.75">
      <c r="A26" s="50"/>
      <c r="B26" s="63"/>
    </row>
    <row r="27" spans="1:2" ht="12.75">
      <c r="A27" s="40" t="s">
        <v>150</v>
      </c>
      <c r="B27" s="63">
        <v>0.1739</v>
      </c>
    </row>
    <row r="28" spans="1:2" ht="12.75">
      <c r="A28" s="40" t="s">
        <v>149</v>
      </c>
      <c r="B28" s="64">
        <f>NPV(B27,C19:X19)+B19</f>
        <v>-2.3032401078937683</v>
      </c>
    </row>
    <row r="29" spans="1:2" ht="12.75">
      <c r="A29" s="50" t="s">
        <v>156</v>
      </c>
      <c r="B29" s="66">
        <f>IRR(B19:X19)</f>
        <v>0.16800111311483001</v>
      </c>
    </row>
    <row r="30" ht="12.75">
      <c r="A30" s="50"/>
    </row>
    <row r="31" spans="1:24" ht="12.75">
      <c r="A31" s="40" t="s">
        <v>151</v>
      </c>
      <c r="B31" s="56">
        <f>B3</f>
        <v>0</v>
      </c>
      <c r="C31" s="56">
        <f aca="true" t="shared" si="6" ref="C31:X31">C3</f>
        <v>0</v>
      </c>
      <c r="D31" s="56">
        <f t="shared" si="6"/>
        <v>33.403</v>
      </c>
      <c r="E31" s="56">
        <f t="shared" si="6"/>
        <v>200.779</v>
      </c>
      <c r="F31" s="56">
        <f t="shared" si="6"/>
        <v>202.477</v>
      </c>
      <c r="G31" s="56">
        <f t="shared" si="6"/>
        <v>200.865</v>
      </c>
      <c r="H31" s="56">
        <f t="shared" si="6"/>
        <v>194.827</v>
      </c>
      <c r="I31" s="56">
        <f t="shared" si="6"/>
        <v>191.448</v>
      </c>
      <c r="J31" s="56">
        <f t="shared" si="6"/>
        <v>194.357</v>
      </c>
      <c r="K31" s="56">
        <f t="shared" si="6"/>
        <v>190.455</v>
      </c>
      <c r="L31" s="56">
        <f t="shared" si="6"/>
        <v>187.069</v>
      </c>
      <c r="M31" s="56">
        <f t="shared" si="6"/>
        <v>184.734</v>
      </c>
      <c r="N31" s="56">
        <f t="shared" si="6"/>
        <v>182.861</v>
      </c>
      <c r="O31" s="56">
        <f t="shared" si="6"/>
        <v>181.126</v>
      </c>
      <c r="P31" s="56">
        <f t="shared" si="6"/>
        <v>180.299</v>
      </c>
      <c r="Q31" s="56">
        <f t="shared" si="6"/>
        <v>179.859</v>
      </c>
      <c r="R31" s="56">
        <f t="shared" si="6"/>
        <v>179.43</v>
      </c>
      <c r="S31" s="56">
        <f t="shared" si="6"/>
        <v>179.873</v>
      </c>
      <c r="T31" s="56">
        <f t="shared" si="6"/>
        <v>180.538</v>
      </c>
      <c r="U31" s="56">
        <f t="shared" si="6"/>
        <v>181.312</v>
      </c>
      <c r="V31" s="56">
        <f t="shared" si="6"/>
        <v>183.634</v>
      </c>
      <c r="W31" s="56">
        <f t="shared" si="6"/>
        <v>186.731</v>
      </c>
      <c r="X31" s="56">
        <f t="shared" si="6"/>
        <v>156.359</v>
      </c>
    </row>
    <row r="32" spans="1:24" ht="12.75">
      <c r="A32" s="40" t="s">
        <v>152</v>
      </c>
      <c r="B32" s="56">
        <f aca="true" t="shared" si="7" ref="B32:X32">SUM(B9:B11)+SUM(B4:B8)</f>
        <v>37.031000000000006</v>
      </c>
      <c r="C32" s="56">
        <f t="shared" si="7"/>
        <v>186.298</v>
      </c>
      <c r="D32" s="56">
        <f t="shared" si="7"/>
        <v>174.811</v>
      </c>
      <c r="E32" s="56">
        <f t="shared" si="7"/>
        <v>123.277</v>
      </c>
      <c r="F32" s="56">
        <f t="shared" si="7"/>
        <v>124.94999999999999</v>
      </c>
      <c r="G32" s="56">
        <f t="shared" si="7"/>
        <v>125.416</v>
      </c>
      <c r="H32" s="56">
        <f t="shared" si="7"/>
        <v>127.87400000000002</v>
      </c>
      <c r="I32" s="56">
        <f t="shared" si="7"/>
        <v>131.326</v>
      </c>
      <c r="J32" s="56">
        <f t="shared" si="7"/>
        <v>133.38299999999998</v>
      </c>
      <c r="K32" s="56">
        <f t="shared" si="7"/>
        <v>130.70499999999998</v>
      </c>
      <c r="L32" s="56">
        <f t="shared" si="7"/>
        <v>133.584</v>
      </c>
      <c r="M32" s="56">
        <f t="shared" si="7"/>
        <v>138.20299999999997</v>
      </c>
      <c r="N32" s="56">
        <f t="shared" si="7"/>
        <v>141.29399999999998</v>
      </c>
      <c r="O32" s="56">
        <f t="shared" si="7"/>
        <v>144.94400000000002</v>
      </c>
      <c r="P32" s="56">
        <f t="shared" si="7"/>
        <v>147.50699999999998</v>
      </c>
      <c r="Q32" s="56">
        <f t="shared" si="7"/>
        <v>147.53300000000002</v>
      </c>
      <c r="R32" s="56">
        <f t="shared" si="7"/>
        <v>151.958</v>
      </c>
      <c r="S32" s="56">
        <f t="shared" si="7"/>
        <v>175.59</v>
      </c>
      <c r="T32" s="56">
        <f t="shared" si="7"/>
        <v>181.48499999999999</v>
      </c>
      <c r="U32" s="56">
        <f t="shared" si="7"/>
        <v>183.56999999999996</v>
      </c>
      <c r="V32" s="56">
        <f t="shared" si="7"/>
        <v>186.91299999999998</v>
      </c>
      <c r="W32" s="56">
        <f t="shared" si="7"/>
        <v>190.02</v>
      </c>
      <c r="X32" s="56">
        <f t="shared" si="7"/>
        <v>60.94500000000001</v>
      </c>
    </row>
    <row r="34" spans="1:2" ht="12.75">
      <c r="A34" s="40" t="s">
        <v>153</v>
      </c>
      <c r="B34" s="64">
        <f>NPV($B$22,C31:X31)+B31</f>
        <v>1460.5933411709855</v>
      </c>
    </row>
    <row r="35" spans="1:2" ht="12.75">
      <c r="A35" s="40" t="s">
        <v>154</v>
      </c>
      <c r="B35" s="64">
        <f>NPV($B$22,C32:X32)+B32</f>
        <v>1391.7101144218989</v>
      </c>
    </row>
    <row r="36" spans="1:2" ht="12.75">
      <c r="A36" s="40" t="s">
        <v>155</v>
      </c>
      <c r="B36" s="65">
        <f>B34/B35</f>
        <v>1.0494953841574255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2.00390625" style="40" bestFit="1" customWidth="1"/>
    <col min="2" max="2" width="7.28125" style="40" customWidth="1"/>
    <col min="3" max="24" width="5.8515625" style="40" customWidth="1"/>
    <col min="25" max="16384" width="9.140625" style="40" customWidth="1"/>
  </cols>
  <sheetData>
    <row r="1" spans="2:24" ht="12.75">
      <c r="B1" s="40">
        <v>0</v>
      </c>
      <c r="C1" s="40">
        <v>1</v>
      </c>
      <c r="D1" s="40">
        <v>2</v>
      </c>
      <c r="E1" s="40">
        <v>3</v>
      </c>
      <c r="F1" s="40">
        <v>4</v>
      </c>
      <c r="G1" s="40">
        <v>5</v>
      </c>
      <c r="H1" s="40">
        <v>6</v>
      </c>
      <c r="I1" s="40">
        <v>7</v>
      </c>
      <c r="J1" s="40">
        <v>8</v>
      </c>
      <c r="K1" s="40">
        <v>9</v>
      </c>
      <c r="L1" s="40">
        <v>10</v>
      </c>
      <c r="M1" s="40">
        <v>11</v>
      </c>
      <c r="N1" s="40">
        <v>12</v>
      </c>
      <c r="O1" s="40">
        <v>13</v>
      </c>
      <c r="P1" s="40">
        <v>14</v>
      </c>
      <c r="Q1" s="40">
        <v>15</v>
      </c>
      <c r="R1" s="40">
        <v>16</v>
      </c>
      <c r="S1" s="40">
        <v>17</v>
      </c>
      <c r="T1" s="40">
        <v>18</v>
      </c>
      <c r="U1" s="40">
        <v>19</v>
      </c>
      <c r="V1" s="40">
        <v>20</v>
      </c>
      <c r="W1" s="40">
        <v>21</v>
      </c>
      <c r="X1" s="40">
        <v>22</v>
      </c>
    </row>
    <row r="2" spans="1:24" ht="12.75">
      <c r="A2" s="40" t="s">
        <v>157</v>
      </c>
      <c r="B2" s="40">
        <v>-68</v>
      </c>
      <c r="C2" s="40">
        <v>-340</v>
      </c>
      <c r="D2" s="40">
        <v>-272</v>
      </c>
      <c r="E2" s="40">
        <v>179.4</v>
      </c>
      <c r="F2" s="40">
        <v>202.5</v>
      </c>
      <c r="G2" s="40">
        <v>180.9</v>
      </c>
      <c r="H2" s="40">
        <v>204.4</v>
      </c>
      <c r="I2" s="40">
        <v>204.6</v>
      </c>
      <c r="J2" s="40">
        <v>179.8</v>
      </c>
      <c r="K2" s="40">
        <v>205.2</v>
      </c>
      <c r="L2" s="40">
        <v>199.5</v>
      </c>
      <c r="M2" s="40">
        <v>184.8</v>
      </c>
      <c r="N2" s="40">
        <v>198.7</v>
      </c>
      <c r="O2" s="40">
        <v>192.8</v>
      </c>
      <c r="P2" s="40">
        <v>176.5</v>
      </c>
      <c r="Q2" s="40">
        <v>191.8</v>
      </c>
      <c r="R2" s="40">
        <v>185.8</v>
      </c>
      <c r="S2" s="40">
        <v>172.6</v>
      </c>
      <c r="T2" s="40">
        <v>184.4</v>
      </c>
      <c r="U2" s="40">
        <v>178.3</v>
      </c>
      <c r="V2" s="40">
        <v>160.4</v>
      </c>
      <c r="W2" s="40">
        <v>176.6</v>
      </c>
      <c r="X2" s="40">
        <v>169.9</v>
      </c>
    </row>
    <row r="4" spans="1:2" ht="12.75">
      <c r="A4" s="40" t="s">
        <v>158</v>
      </c>
      <c r="B4" s="59">
        <v>0.1</v>
      </c>
    </row>
    <row r="6" spans="1:24" ht="12.75">
      <c r="A6" s="40" t="s">
        <v>159</v>
      </c>
      <c r="B6" s="40">
        <f>B2/(1+$B$4)^B1</f>
        <v>-68</v>
      </c>
      <c r="C6" s="40">
        <f aca="true" t="shared" si="0" ref="C6:X6">C2/(1+$B$4)^C1</f>
        <v>-309.09090909090907</v>
      </c>
      <c r="D6" s="40">
        <f t="shared" si="0"/>
        <v>-224.79338842975204</v>
      </c>
      <c r="E6" s="40">
        <f t="shared" si="0"/>
        <v>134.78587528174302</v>
      </c>
      <c r="F6" s="40">
        <f t="shared" si="0"/>
        <v>138.31022471142677</v>
      </c>
      <c r="G6" s="40">
        <f t="shared" si="0"/>
        <v>112.32466734140114</v>
      </c>
      <c r="H6" s="40">
        <f t="shared" si="0"/>
        <v>115.37847130299205</v>
      </c>
      <c r="I6" s="40">
        <f t="shared" si="0"/>
        <v>104.99215099000253</v>
      </c>
      <c r="J6" s="40">
        <f t="shared" si="0"/>
        <v>83.87802696171003</v>
      </c>
      <c r="K6" s="40">
        <f t="shared" si="0"/>
        <v>87.02483129003384</v>
      </c>
      <c r="L6" s="40">
        <f t="shared" si="0"/>
        <v>76.91588624119153</v>
      </c>
      <c r="M6" s="40">
        <f t="shared" si="0"/>
        <v>64.77127262416128</v>
      </c>
      <c r="N6" s="40">
        <f t="shared" si="0"/>
        <v>63.31194347904784</v>
      </c>
      <c r="O6" s="40">
        <f t="shared" si="0"/>
        <v>55.847292413233404</v>
      </c>
      <c r="P6" s="40">
        <f t="shared" si="0"/>
        <v>46.47796638502307</v>
      </c>
      <c r="Q6" s="40">
        <f t="shared" si="0"/>
        <v>45.91539506900554</v>
      </c>
      <c r="R6" s="40">
        <f t="shared" si="0"/>
        <v>40.4354934298096</v>
      </c>
      <c r="S6" s="40">
        <f t="shared" si="0"/>
        <v>34.147989852163306</v>
      </c>
      <c r="T6" s="40">
        <f t="shared" si="0"/>
        <v>33.165960859259</v>
      </c>
      <c r="U6" s="40">
        <f t="shared" si="0"/>
        <v>29.15347476437526</v>
      </c>
      <c r="V6" s="40">
        <f t="shared" si="0"/>
        <v>23.842437935072617</v>
      </c>
      <c r="W6" s="40">
        <f t="shared" si="0"/>
        <v>23.864058826421576</v>
      </c>
      <c r="X6" s="40">
        <f t="shared" si="0"/>
        <v>20.87153091016692</v>
      </c>
    </row>
    <row r="7" spans="1:2" ht="12.75">
      <c r="A7" s="40" t="s">
        <v>160</v>
      </c>
      <c r="B7" s="40">
        <f>SUM(B6:X6)</f>
        <v>733.5306531475793</v>
      </c>
    </row>
    <row r="8" ht="12.75">
      <c r="B8" s="40">
        <f>NPV(B4,C2:X2)+B2</f>
        <v>733.530653147579</v>
      </c>
    </row>
    <row r="10" spans="1:2" ht="12.75">
      <c r="A10" s="40" t="s">
        <v>161</v>
      </c>
      <c r="B10" s="69">
        <f>IRR(B2:X2)</f>
        <v>0.23671934794980376</v>
      </c>
    </row>
    <row r="11" spans="1:2" ht="12.75">
      <c r="A11" s="40" t="s">
        <v>162</v>
      </c>
      <c r="B11" s="70">
        <f>(1+B10)*(1+2.5%)-1</f>
        <v>0.26763733164854875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140625" defaultRowHeight="12.75"/>
  <cols>
    <col min="1" max="1" width="46.421875" style="40" customWidth="1"/>
    <col min="2" max="2" width="12.421875" style="40" customWidth="1"/>
    <col min="3" max="3" width="8.00390625" style="40" customWidth="1"/>
    <col min="4" max="24" width="8.00390625" style="52" customWidth="1"/>
    <col min="25" max="16384" width="9.140625" style="40" customWidth="1"/>
  </cols>
  <sheetData>
    <row r="1" spans="4:24" ht="12.75"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12.75">
      <c r="A2" s="62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4:24" ht="12.75"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ht="12.75">
      <c r="A4" s="53" t="s">
        <v>139</v>
      </c>
      <c r="B4" s="54">
        <v>0.1739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4" ht="12.75">
      <c r="A5" s="53" t="s">
        <v>140</v>
      </c>
      <c r="B5" s="54">
        <v>0.0922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ht="12.75">
      <c r="A6" s="53" t="s">
        <v>141</v>
      </c>
      <c r="B6" s="59">
        <v>0.1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7" spans="1:24" ht="12.75">
      <c r="A7" s="53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</row>
    <row r="8" spans="1:24" ht="12.75">
      <c r="A8" s="53" t="s">
        <v>142</v>
      </c>
      <c r="B8" s="56">
        <f>NPV(B4,Cashflow!C19:X19)+Cashflow!B19</f>
        <v>-2.3032401078937683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</row>
    <row r="9" spans="1:24" ht="12.75">
      <c r="A9" s="53" t="s">
        <v>143</v>
      </c>
      <c r="B9" s="56">
        <f>NPV(B5,Cashflow!C13:X13)+Cashflow!B13</f>
        <v>69.14927485005747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</row>
    <row r="10" spans="1:24" ht="12.75">
      <c r="A10" s="53" t="s">
        <v>144</v>
      </c>
      <c r="B10" s="40">
        <v>666.8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</row>
    <row r="11" spans="4:25" ht="12.75"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pans="2:25" ht="12.75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1:25" ht="12.75">
      <c r="A13" s="53" t="s">
        <v>145</v>
      </c>
      <c r="B13" s="63">
        <f>IRR(Cashflow!B19:X19)</f>
        <v>0.16800111311483001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1:24" ht="12.75">
      <c r="A14" s="40" t="s">
        <v>146</v>
      </c>
      <c r="B14" s="63">
        <f>IRR(Cashflow!B13:X13)</f>
        <v>0.12723596769535184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" ht="12.75">
      <c r="A15" s="40" t="s">
        <v>147</v>
      </c>
      <c r="B15" s="54">
        <v>0.237</v>
      </c>
    </row>
    <row r="16" spans="2:24" ht="12.75">
      <c r="B16" s="56"/>
      <c r="C16" s="56"/>
      <c r="D16" s="5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</row>
    <row r="17" spans="2:24" ht="12.75">
      <c r="B17" s="56"/>
      <c r="C17" s="56"/>
      <c r="D17" s="5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</row>
    <row r="18" spans="1:24" ht="12.75">
      <c r="A18" s="5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20" spans="1:24" ht="12.75">
      <c r="A20" s="5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4" spans="2:4" ht="12.75">
      <c r="B24" s="59"/>
      <c r="C24" s="58"/>
      <c r="D24" s="57"/>
    </row>
    <row r="25" ht="12.75">
      <c r="B25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84.140625" style="0" customWidth="1"/>
    <col min="2" max="2" width="17.28125" style="0" customWidth="1"/>
  </cols>
  <sheetData>
    <row r="1" ht="12.75">
      <c r="A1" s="50" t="s">
        <v>118</v>
      </c>
    </row>
    <row r="2" spans="1:3" ht="15">
      <c r="A2" s="41"/>
      <c r="B2" s="42" t="s">
        <v>117</v>
      </c>
      <c r="C2" s="43"/>
    </row>
    <row r="3" spans="1:3" ht="15">
      <c r="A3" s="44" t="s">
        <v>119</v>
      </c>
      <c r="B3" s="45"/>
      <c r="C3" s="43"/>
    </row>
    <row r="4" spans="1:3" ht="15">
      <c r="A4" s="46" t="s">
        <v>104</v>
      </c>
      <c r="B4" s="48">
        <v>297.5</v>
      </c>
      <c r="C4" s="43"/>
    </row>
    <row r="5" spans="1:3" ht="15">
      <c r="A5" s="46" t="s">
        <v>105</v>
      </c>
      <c r="B5" s="48">
        <v>13.3</v>
      </c>
      <c r="C5" s="43"/>
    </row>
    <row r="6" spans="1:3" ht="15">
      <c r="A6" s="46" t="s">
        <v>106</v>
      </c>
      <c r="B6" s="48">
        <v>10.2</v>
      </c>
      <c r="C6" s="43"/>
    </row>
    <row r="7" spans="1:3" ht="15">
      <c r="A7" s="46" t="s">
        <v>121</v>
      </c>
      <c r="B7" s="48">
        <v>3.5</v>
      </c>
      <c r="C7" s="43"/>
    </row>
    <row r="8" spans="1:3" ht="15">
      <c r="A8" s="46" t="s">
        <v>107</v>
      </c>
      <c r="B8" s="48">
        <v>12</v>
      </c>
      <c r="C8" s="43"/>
    </row>
    <row r="9" spans="1:3" ht="15">
      <c r="A9" s="46" t="s">
        <v>108</v>
      </c>
      <c r="B9" s="48">
        <v>18.6</v>
      </c>
      <c r="C9" s="43"/>
    </row>
    <row r="10" spans="1:3" ht="15">
      <c r="A10" s="41" t="s">
        <v>120</v>
      </c>
      <c r="B10" s="49">
        <f>SUM(B4:B9)</f>
        <v>355.1</v>
      </c>
      <c r="C10" s="43"/>
    </row>
    <row r="11" spans="1:3" ht="15">
      <c r="A11" s="44" t="s">
        <v>109</v>
      </c>
      <c r="B11" s="48"/>
      <c r="C11" s="43"/>
    </row>
    <row r="12" spans="1:3" ht="15">
      <c r="A12" s="46" t="s">
        <v>122</v>
      </c>
      <c r="B12" s="48">
        <v>38.1</v>
      </c>
      <c r="C12" s="43"/>
    </row>
    <row r="13" spans="1:3" ht="15">
      <c r="A13" s="46" t="s">
        <v>110</v>
      </c>
      <c r="B13" s="48">
        <v>6.7</v>
      </c>
      <c r="C13" s="43"/>
    </row>
    <row r="14" spans="1:3" ht="15">
      <c r="A14" s="41" t="s">
        <v>111</v>
      </c>
      <c r="B14" s="49">
        <f>SUM(B12:B13)</f>
        <v>44.800000000000004</v>
      </c>
      <c r="C14" s="43"/>
    </row>
    <row r="15" spans="1:3" ht="15">
      <c r="A15" s="47" t="s">
        <v>112</v>
      </c>
      <c r="B15" s="49">
        <f>B14+B10</f>
        <v>399.90000000000003</v>
      </c>
      <c r="C15" s="43"/>
    </row>
    <row r="16" spans="1:3" ht="15">
      <c r="A16" s="44" t="s">
        <v>113</v>
      </c>
      <c r="B16" s="48"/>
      <c r="C16" s="43"/>
    </row>
    <row r="17" spans="1:3" ht="15">
      <c r="A17" s="46" t="s">
        <v>114</v>
      </c>
      <c r="B17" s="48">
        <v>40</v>
      </c>
      <c r="C17" s="43"/>
    </row>
    <row r="18" spans="1:3" ht="15">
      <c r="A18" s="46" t="s">
        <v>115</v>
      </c>
      <c r="B18" s="48">
        <v>40</v>
      </c>
      <c r="C18" s="43"/>
    </row>
    <row r="19" spans="1:3" ht="15">
      <c r="A19" s="41" t="s">
        <v>116</v>
      </c>
      <c r="B19" s="49">
        <v>80</v>
      </c>
      <c r="C19" s="43"/>
    </row>
    <row r="20" spans="1:3" ht="15">
      <c r="A20" s="41" t="s">
        <v>123</v>
      </c>
      <c r="B20" s="49">
        <v>480</v>
      </c>
      <c r="C20" s="43"/>
    </row>
    <row r="23" spans="1:2" ht="12.75">
      <c r="A23" s="40" t="s">
        <v>129</v>
      </c>
      <c r="B23" s="51">
        <f>B10+B19+B13</f>
        <v>441.8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4" sqref="B14"/>
    </sheetView>
  </sheetViews>
  <sheetFormatPr defaultColWidth="9.140625" defaultRowHeight="12.75"/>
  <cols>
    <col min="1" max="1" width="26.7109375" style="1" bestFit="1" customWidth="1"/>
    <col min="2" max="22" width="7.57421875" style="2" customWidth="1"/>
    <col min="23" max="16384" width="9.140625" style="1" customWidth="1"/>
  </cols>
  <sheetData>
    <row r="1" spans="1:22" ht="9.75">
      <c r="A1" s="1" t="s">
        <v>17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</row>
    <row r="2" spans="1:22" ht="9.75">
      <c r="A2" s="1" t="s">
        <v>18</v>
      </c>
      <c r="B2" s="1"/>
      <c r="C2" s="1">
        <v>2005</v>
      </c>
      <c r="D2" s="1">
        <v>2006</v>
      </c>
      <c r="E2" s="1">
        <v>2007</v>
      </c>
      <c r="F2" s="1">
        <v>2008</v>
      </c>
      <c r="G2" s="1">
        <v>2009</v>
      </c>
      <c r="H2" s="1">
        <v>2010</v>
      </c>
      <c r="I2" s="1">
        <v>2011</v>
      </c>
      <c r="J2" s="1">
        <v>2012</v>
      </c>
      <c r="K2" s="1">
        <v>2013</v>
      </c>
      <c r="L2" s="1">
        <v>2014</v>
      </c>
      <c r="M2" s="1">
        <v>2015</v>
      </c>
      <c r="N2" s="1">
        <v>2016</v>
      </c>
      <c r="O2" s="1">
        <v>2017</v>
      </c>
      <c r="P2" s="1">
        <v>2018</v>
      </c>
      <c r="Q2" s="1">
        <v>2019</v>
      </c>
      <c r="R2" s="1">
        <v>2020</v>
      </c>
      <c r="S2" s="1">
        <v>2021</v>
      </c>
      <c r="T2" s="1">
        <v>2022</v>
      </c>
      <c r="U2" s="1">
        <v>2023</v>
      </c>
      <c r="V2" s="1">
        <v>2024</v>
      </c>
    </row>
    <row r="3" spans="1:22" ht="9.75">
      <c r="A3" s="1" t="s">
        <v>19</v>
      </c>
      <c r="B3" s="2">
        <v>33403</v>
      </c>
      <c r="C3" s="2">
        <v>200779</v>
      </c>
      <c r="D3" s="2">
        <v>202477</v>
      </c>
      <c r="E3" s="2">
        <v>200865</v>
      </c>
      <c r="F3" s="2">
        <v>194827</v>
      </c>
      <c r="G3" s="2">
        <v>191448</v>
      </c>
      <c r="H3" s="2">
        <v>194357</v>
      </c>
      <c r="I3" s="2">
        <v>190455</v>
      </c>
      <c r="J3" s="2">
        <v>187069</v>
      </c>
      <c r="K3" s="2">
        <v>184734</v>
      </c>
      <c r="L3" s="2">
        <v>182861</v>
      </c>
      <c r="M3" s="2">
        <v>181126</v>
      </c>
      <c r="N3" s="2">
        <v>180299</v>
      </c>
      <c r="O3" s="2">
        <v>179859</v>
      </c>
      <c r="P3" s="2">
        <v>179430</v>
      </c>
      <c r="Q3" s="2">
        <v>179873</v>
      </c>
      <c r="R3" s="2">
        <v>180538</v>
      </c>
      <c r="S3" s="2">
        <v>181312</v>
      </c>
      <c r="T3" s="2">
        <v>183634</v>
      </c>
      <c r="U3" s="2">
        <v>186731</v>
      </c>
      <c r="V3" s="2">
        <v>156359</v>
      </c>
    </row>
    <row r="4" ht="9.75">
      <c r="A4" s="1" t="s">
        <v>20</v>
      </c>
    </row>
    <row r="5" spans="1:22" ht="9.75">
      <c r="A5" s="3" t="s">
        <v>21</v>
      </c>
      <c r="B5" s="2">
        <v>968</v>
      </c>
      <c r="C5" s="2">
        <v>5829</v>
      </c>
      <c r="D5" s="2">
        <v>5927</v>
      </c>
      <c r="E5" s="2">
        <v>5738</v>
      </c>
      <c r="F5" s="2">
        <v>5409</v>
      </c>
      <c r="G5" s="2">
        <v>5544</v>
      </c>
      <c r="H5" s="2">
        <v>5682</v>
      </c>
      <c r="I5" s="2">
        <v>5819</v>
      </c>
      <c r="J5" s="2">
        <v>5966</v>
      </c>
      <c r="K5" s="2">
        <v>6119</v>
      </c>
      <c r="L5" s="2">
        <v>6267</v>
      </c>
      <c r="M5" s="2">
        <v>6425</v>
      </c>
      <c r="N5" s="2">
        <v>6589</v>
      </c>
      <c r="O5" s="2">
        <v>6749</v>
      </c>
      <c r="P5" s="2">
        <v>6919</v>
      </c>
      <c r="Q5" s="2">
        <v>7096</v>
      </c>
      <c r="R5" s="2">
        <v>7268</v>
      </c>
      <c r="S5" s="2">
        <v>7451</v>
      </c>
      <c r="T5" s="2">
        <v>7641</v>
      </c>
      <c r="U5" s="2">
        <v>7921</v>
      </c>
      <c r="V5" s="2">
        <v>7130</v>
      </c>
    </row>
    <row r="6" spans="1:22" ht="9.75">
      <c r="A6" s="3" t="s">
        <v>22</v>
      </c>
      <c r="C6" s="2">
        <v>4535</v>
      </c>
      <c r="D6" s="2">
        <v>3000</v>
      </c>
      <c r="E6" s="2">
        <v>28771</v>
      </c>
      <c r="F6" s="2">
        <v>3152</v>
      </c>
      <c r="G6" s="2">
        <v>3231</v>
      </c>
      <c r="H6" s="2">
        <v>34009</v>
      </c>
      <c r="I6" s="2">
        <v>454</v>
      </c>
      <c r="J6" s="2">
        <v>4900</v>
      </c>
      <c r="K6" s="2">
        <v>21767</v>
      </c>
      <c r="L6" s="2">
        <v>489</v>
      </c>
      <c r="M6" s="2">
        <v>5277</v>
      </c>
      <c r="N6" s="2">
        <v>25819</v>
      </c>
      <c r="O6" s="2">
        <v>527</v>
      </c>
      <c r="P6" s="2">
        <v>5683</v>
      </c>
      <c r="Q6" s="2">
        <v>22451</v>
      </c>
      <c r="R6" s="2">
        <v>567</v>
      </c>
      <c r="S6" s="2">
        <v>6120</v>
      </c>
      <c r="T6" s="2">
        <v>31807</v>
      </c>
      <c r="U6" s="2">
        <v>611</v>
      </c>
      <c r="V6" s="2">
        <v>6469</v>
      </c>
    </row>
    <row r="7" spans="1:22" ht="9.75">
      <c r="A7" s="3" t="s">
        <v>23</v>
      </c>
      <c r="B7" s="2">
        <v>17570</v>
      </c>
      <c r="C7" s="2">
        <v>105703</v>
      </c>
      <c r="D7" s="2">
        <v>107298</v>
      </c>
      <c r="E7" s="2">
        <v>108556</v>
      </c>
      <c r="F7" s="2">
        <v>110555</v>
      </c>
      <c r="G7" s="2">
        <v>112594</v>
      </c>
      <c r="H7" s="2">
        <v>114759</v>
      </c>
      <c r="I7" s="2">
        <v>117208</v>
      </c>
      <c r="J7" s="2">
        <v>119458</v>
      </c>
      <c r="K7" s="2">
        <v>121852</v>
      </c>
      <c r="L7" s="2">
        <v>124396</v>
      </c>
      <c r="M7" s="2">
        <v>126739</v>
      </c>
      <c r="N7" s="2">
        <v>129109</v>
      </c>
      <c r="O7" s="2">
        <v>131769</v>
      </c>
      <c r="P7" s="2">
        <v>134307</v>
      </c>
      <c r="Q7" s="4">
        <v>136996</v>
      </c>
      <c r="R7" s="2">
        <v>139784</v>
      </c>
      <c r="S7" s="2">
        <v>142368</v>
      </c>
      <c r="T7" s="2">
        <v>145200</v>
      </c>
      <c r="U7" s="2">
        <v>147657</v>
      </c>
      <c r="V7" s="2">
        <v>123322</v>
      </c>
    </row>
    <row r="8" spans="1:22" ht="9.75">
      <c r="A8" s="1" t="s">
        <v>24</v>
      </c>
      <c r="B8" s="2">
        <f aca="true" t="shared" si="0" ref="B8:V8">B7+B6+B5</f>
        <v>18538</v>
      </c>
      <c r="C8" s="2">
        <f t="shared" si="0"/>
        <v>116067</v>
      </c>
      <c r="D8" s="2">
        <f t="shared" si="0"/>
        <v>116225</v>
      </c>
      <c r="E8" s="2">
        <f t="shared" si="0"/>
        <v>143065</v>
      </c>
      <c r="F8" s="2">
        <f t="shared" si="0"/>
        <v>119116</v>
      </c>
      <c r="G8" s="2">
        <f t="shared" si="0"/>
        <v>121369</v>
      </c>
      <c r="H8" s="2">
        <f t="shared" si="0"/>
        <v>154450</v>
      </c>
      <c r="I8" s="2">
        <f t="shared" si="0"/>
        <v>123481</v>
      </c>
      <c r="J8" s="2">
        <f t="shared" si="0"/>
        <v>130324</v>
      </c>
      <c r="K8" s="2">
        <f t="shared" si="0"/>
        <v>149738</v>
      </c>
      <c r="L8" s="2">
        <f t="shared" si="0"/>
        <v>131152</v>
      </c>
      <c r="M8" s="2">
        <f t="shared" si="0"/>
        <v>138441</v>
      </c>
      <c r="N8" s="2">
        <f t="shared" si="0"/>
        <v>161517</v>
      </c>
      <c r="O8" s="2">
        <f t="shared" si="0"/>
        <v>139045</v>
      </c>
      <c r="P8" s="2">
        <f t="shared" si="0"/>
        <v>146909</v>
      </c>
      <c r="Q8" s="2">
        <f t="shared" si="0"/>
        <v>166543</v>
      </c>
      <c r="R8" s="2">
        <f t="shared" si="0"/>
        <v>147619</v>
      </c>
      <c r="S8" s="2">
        <f t="shared" si="0"/>
        <v>155939</v>
      </c>
      <c r="T8" s="2">
        <f t="shared" si="0"/>
        <v>184648</v>
      </c>
      <c r="U8" s="2">
        <f t="shared" si="0"/>
        <v>156189</v>
      </c>
      <c r="V8" s="2">
        <f t="shared" si="0"/>
        <v>136921</v>
      </c>
    </row>
    <row r="9" spans="1:22" ht="9.75">
      <c r="A9" s="1" t="s">
        <v>25</v>
      </c>
      <c r="C9" s="2">
        <v>693</v>
      </c>
      <c r="D9" s="2">
        <v>454</v>
      </c>
      <c r="E9" s="2">
        <v>443</v>
      </c>
      <c r="F9" s="2">
        <v>433</v>
      </c>
      <c r="G9" s="2">
        <v>417</v>
      </c>
      <c r="H9" s="2">
        <v>416</v>
      </c>
      <c r="I9" s="2">
        <v>403</v>
      </c>
      <c r="J9" s="2">
        <v>387</v>
      </c>
      <c r="K9" s="2">
        <v>357</v>
      </c>
      <c r="L9" s="2">
        <v>341</v>
      </c>
      <c r="M9" s="2">
        <v>326</v>
      </c>
      <c r="N9" s="2">
        <v>315</v>
      </c>
      <c r="O9" s="2">
        <v>269</v>
      </c>
      <c r="P9" s="2">
        <v>213</v>
      </c>
      <c r="Q9" s="2">
        <v>200</v>
      </c>
      <c r="R9" s="2">
        <v>200</v>
      </c>
      <c r="S9" s="2">
        <v>200</v>
      </c>
      <c r="T9" s="2">
        <v>200</v>
      </c>
      <c r="U9" s="2">
        <v>200</v>
      </c>
      <c r="V9" s="2">
        <v>200</v>
      </c>
    </row>
    <row r="10" spans="1:22" ht="9.75">
      <c r="A10" s="1" t="s">
        <v>26</v>
      </c>
      <c r="B10" s="2">
        <f aca="true" t="shared" si="1" ref="B10:V10">B3-B8-B9</f>
        <v>14865</v>
      </c>
      <c r="C10" s="2">
        <f t="shared" si="1"/>
        <v>84019</v>
      </c>
      <c r="D10" s="2">
        <f t="shared" si="1"/>
        <v>85798</v>
      </c>
      <c r="E10" s="2">
        <f t="shared" si="1"/>
        <v>57357</v>
      </c>
      <c r="F10" s="2">
        <f t="shared" si="1"/>
        <v>75278</v>
      </c>
      <c r="G10" s="2">
        <f t="shared" si="1"/>
        <v>69662</v>
      </c>
      <c r="H10" s="2">
        <f t="shared" si="1"/>
        <v>39491</v>
      </c>
      <c r="I10" s="2">
        <f t="shared" si="1"/>
        <v>66571</v>
      </c>
      <c r="J10" s="2">
        <f t="shared" si="1"/>
        <v>56358</v>
      </c>
      <c r="K10" s="2">
        <f t="shared" si="1"/>
        <v>34639</v>
      </c>
      <c r="L10" s="2">
        <f t="shared" si="1"/>
        <v>51368</v>
      </c>
      <c r="M10" s="2">
        <f t="shared" si="1"/>
        <v>42359</v>
      </c>
      <c r="N10" s="2">
        <f t="shared" si="1"/>
        <v>18467</v>
      </c>
      <c r="O10" s="2">
        <f t="shared" si="1"/>
        <v>40545</v>
      </c>
      <c r="P10" s="2">
        <f t="shared" si="1"/>
        <v>32308</v>
      </c>
      <c r="Q10" s="2">
        <f t="shared" si="1"/>
        <v>13130</v>
      </c>
      <c r="R10" s="2">
        <f t="shared" si="1"/>
        <v>32719</v>
      </c>
      <c r="S10" s="2">
        <f t="shared" si="1"/>
        <v>25173</v>
      </c>
      <c r="T10" s="2">
        <f t="shared" si="1"/>
        <v>-1214</v>
      </c>
      <c r="U10" s="2">
        <f t="shared" si="1"/>
        <v>30342</v>
      </c>
      <c r="V10" s="2">
        <f t="shared" si="1"/>
        <v>19238</v>
      </c>
    </row>
    <row r="11" spans="1:22" ht="9.75">
      <c r="A11" s="1" t="s">
        <v>27</v>
      </c>
      <c r="B11" s="2">
        <v>3824</v>
      </c>
      <c r="C11" s="2">
        <v>22942</v>
      </c>
      <c r="D11" s="2">
        <v>22942</v>
      </c>
      <c r="E11" s="2">
        <v>22942</v>
      </c>
      <c r="F11" s="2">
        <v>22942</v>
      </c>
      <c r="G11" s="2">
        <v>22942</v>
      </c>
      <c r="H11" s="2">
        <v>22942</v>
      </c>
      <c r="I11" s="2">
        <v>22942</v>
      </c>
      <c r="J11" s="2">
        <v>22165</v>
      </c>
      <c r="K11" s="2">
        <v>18282</v>
      </c>
      <c r="L11" s="2">
        <v>18282</v>
      </c>
      <c r="M11" s="2">
        <v>18282</v>
      </c>
      <c r="N11" s="2">
        <v>18116</v>
      </c>
      <c r="O11" s="2">
        <v>17282</v>
      </c>
      <c r="P11" s="2">
        <v>17282</v>
      </c>
      <c r="Q11" s="2">
        <v>17282</v>
      </c>
      <c r="R11" s="2">
        <v>17282</v>
      </c>
      <c r="S11" s="2">
        <v>17282</v>
      </c>
      <c r="T11" s="2">
        <v>17282</v>
      </c>
      <c r="U11" s="2">
        <v>17282</v>
      </c>
      <c r="V11" s="2">
        <v>14402</v>
      </c>
    </row>
    <row r="12" spans="1:22" ht="9.75">
      <c r="A12" s="1" t="s">
        <v>11</v>
      </c>
      <c r="B12" s="2">
        <f aca="true" t="shared" si="2" ref="B12:V12">B10-B11</f>
        <v>11041</v>
      </c>
      <c r="C12" s="2">
        <f t="shared" si="2"/>
        <v>61077</v>
      </c>
      <c r="D12" s="2">
        <f t="shared" si="2"/>
        <v>62856</v>
      </c>
      <c r="E12" s="2">
        <f t="shared" si="2"/>
        <v>34415</v>
      </c>
      <c r="F12" s="2">
        <f t="shared" si="2"/>
        <v>52336</v>
      </c>
      <c r="G12" s="2">
        <f t="shared" si="2"/>
        <v>46720</v>
      </c>
      <c r="H12" s="2">
        <f t="shared" si="2"/>
        <v>16549</v>
      </c>
      <c r="I12" s="2">
        <f t="shared" si="2"/>
        <v>43629</v>
      </c>
      <c r="J12" s="2">
        <f t="shared" si="2"/>
        <v>34193</v>
      </c>
      <c r="K12" s="2">
        <f t="shared" si="2"/>
        <v>16357</v>
      </c>
      <c r="L12" s="2">
        <f t="shared" si="2"/>
        <v>33086</v>
      </c>
      <c r="M12" s="2">
        <f t="shared" si="2"/>
        <v>24077</v>
      </c>
      <c r="N12" s="2">
        <f t="shared" si="2"/>
        <v>351</v>
      </c>
      <c r="O12" s="2">
        <f t="shared" si="2"/>
        <v>23263</v>
      </c>
      <c r="P12" s="2">
        <f t="shared" si="2"/>
        <v>15026</v>
      </c>
      <c r="Q12" s="2">
        <f t="shared" si="2"/>
        <v>-4152</v>
      </c>
      <c r="R12" s="2">
        <f t="shared" si="2"/>
        <v>15437</v>
      </c>
      <c r="S12" s="2">
        <f t="shared" si="2"/>
        <v>7891</v>
      </c>
      <c r="T12" s="2">
        <f t="shared" si="2"/>
        <v>-18496</v>
      </c>
      <c r="U12" s="2">
        <f t="shared" si="2"/>
        <v>13060</v>
      </c>
      <c r="V12" s="2">
        <f t="shared" si="2"/>
        <v>4836</v>
      </c>
    </row>
    <row r="13" spans="1:22" ht="9.75">
      <c r="A13" s="1" t="s">
        <v>28</v>
      </c>
      <c r="C13" s="2">
        <v>299</v>
      </c>
      <c r="D13" s="2">
        <v>242</v>
      </c>
      <c r="E13" s="2">
        <v>424</v>
      </c>
      <c r="F13" s="2">
        <v>101</v>
      </c>
      <c r="G13" s="2">
        <v>307</v>
      </c>
      <c r="H13" s="2">
        <v>512</v>
      </c>
      <c r="I13" s="2">
        <v>68</v>
      </c>
      <c r="J13" s="2">
        <v>240</v>
      </c>
      <c r="K13" s="2">
        <v>122</v>
      </c>
      <c r="L13" s="2">
        <v>79</v>
      </c>
      <c r="M13" s="2">
        <v>280</v>
      </c>
      <c r="N13" s="2">
        <v>385</v>
      </c>
      <c r="O13" s="2">
        <v>72</v>
      </c>
      <c r="P13" s="2">
        <v>252</v>
      </c>
      <c r="Q13" s="2">
        <v>457</v>
      </c>
      <c r="R13" s="2">
        <v>673</v>
      </c>
      <c r="S13" s="2">
        <v>1328</v>
      </c>
      <c r="T13" s="4">
        <v>1840</v>
      </c>
      <c r="U13" s="2">
        <v>1844</v>
      </c>
      <c r="V13" s="2">
        <v>2493</v>
      </c>
    </row>
    <row r="14" spans="1:16" ht="9.75">
      <c r="A14" s="1" t="s">
        <v>29</v>
      </c>
      <c r="C14" s="2">
        <v>33488</v>
      </c>
      <c r="D14" s="2">
        <v>26616</v>
      </c>
      <c r="E14" s="2">
        <v>24231</v>
      </c>
      <c r="F14" s="2">
        <v>21807</v>
      </c>
      <c r="G14" s="2">
        <v>19373</v>
      </c>
      <c r="H14" s="2">
        <v>16939</v>
      </c>
      <c r="I14" s="2">
        <v>14366</v>
      </c>
      <c r="J14" s="2">
        <v>11802</v>
      </c>
      <c r="K14" s="2">
        <v>9199</v>
      </c>
      <c r="L14" s="2">
        <v>7231</v>
      </c>
      <c r="M14" s="2">
        <v>5177</v>
      </c>
      <c r="N14" s="2">
        <v>3198</v>
      </c>
      <c r="O14" s="2">
        <v>1234</v>
      </c>
      <c r="P14" s="2">
        <v>87</v>
      </c>
    </row>
    <row r="15" spans="1:22" ht="9.75">
      <c r="A15" s="1" t="s">
        <v>30</v>
      </c>
      <c r="B15" s="2">
        <f aca="true" t="shared" si="3" ref="B15:V15">B12+B13-B14</f>
        <v>11041</v>
      </c>
      <c r="C15" s="2">
        <f t="shared" si="3"/>
        <v>27888</v>
      </c>
      <c r="D15" s="2">
        <f t="shared" si="3"/>
        <v>36482</v>
      </c>
      <c r="E15" s="2">
        <f t="shared" si="3"/>
        <v>10608</v>
      </c>
      <c r="F15" s="2">
        <f t="shared" si="3"/>
        <v>30630</v>
      </c>
      <c r="G15" s="2">
        <f t="shared" si="3"/>
        <v>27654</v>
      </c>
      <c r="H15" s="2">
        <f t="shared" si="3"/>
        <v>122</v>
      </c>
      <c r="I15" s="2">
        <f t="shared" si="3"/>
        <v>29331</v>
      </c>
      <c r="J15" s="2">
        <f t="shared" si="3"/>
        <v>22631</v>
      </c>
      <c r="K15" s="2">
        <f t="shared" si="3"/>
        <v>7280</v>
      </c>
      <c r="L15" s="2">
        <f t="shared" si="3"/>
        <v>25934</v>
      </c>
      <c r="M15" s="2">
        <f t="shared" si="3"/>
        <v>19180</v>
      </c>
      <c r="N15" s="2">
        <f t="shared" si="3"/>
        <v>-2462</v>
      </c>
      <c r="O15" s="2">
        <f t="shared" si="3"/>
        <v>22101</v>
      </c>
      <c r="P15" s="2">
        <f t="shared" si="3"/>
        <v>15191</v>
      </c>
      <c r="Q15" s="2">
        <f t="shared" si="3"/>
        <v>-3695</v>
      </c>
      <c r="R15" s="2">
        <f t="shared" si="3"/>
        <v>16110</v>
      </c>
      <c r="S15" s="2">
        <f t="shared" si="3"/>
        <v>9219</v>
      </c>
      <c r="T15" s="2">
        <f t="shared" si="3"/>
        <v>-16656</v>
      </c>
      <c r="U15" s="2">
        <f t="shared" si="3"/>
        <v>14904</v>
      </c>
      <c r="V15" s="2">
        <f t="shared" si="3"/>
        <v>7329</v>
      </c>
    </row>
    <row r="16" spans="1:20" ht="9.75">
      <c r="A16" s="1" t="s">
        <v>31</v>
      </c>
      <c r="J16" s="2">
        <v>147</v>
      </c>
      <c r="K16" s="2">
        <v>2212</v>
      </c>
      <c r="L16" s="2">
        <v>1109</v>
      </c>
      <c r="M16" s="2">
        <v>1918</v>
      </c>
      <c r="N16" s="2">
        <v>1760</v>
      </c>
      <c r="O16" s="2">
        <v>204</v>
      </c>
      <c r="P16" s="2">
        <v>1592</v>
      </c>
      <c r="Q16" s="2">
        <v>1357</v>
      </c>
      <c r="S16" s="2">
        <v>968</v>
      </c>
      <c r="T16" s="2">
        <v>891</v>
      </c>
    </row>
    <row r="17" spans="1:22" ht="9.75">
      <c r="A17" s="1" t="s">
        <v>32</v>
      </c>
      <c r="B17" s="2">
        <f aca="true" t="shared" si="4" ref="B17:V17">B15-B16</f>
        <v>11041</v>
      </c>
      <c r="C17" s="2">
        <f t="shared" si="4"/>
        <v>27888</v>
      </c>
      <c r="D17" s="2">
        <f t="shared" si="4"/>
        <v>36482</v>
      </c>
      <c r="E17" s="2">
        <f t="shared" si="4"/>
        <v>10608</v>
      </c>
      <c r="F17" s="2">
        <f t="shared" si="4"/>
        <v>30630</v>
      </c>
      <c r="G17" s="2">
        <f t="shared" si="4"/>
        <v>27654</v>
      </c>
      <c r="H17" s="2">
        <f t="shared" si="4"/>
        <v>122</v>
      </c>
      <c r="I17" s="2">
        <f t="shared" si="4"/>
        <v>29331</v>
      </c>
      <c r="J17" s="2">
        <f t="shared" si="4"/>
        <v>22484</v>
      </c>
      <c r="K17" s="2">
        <f t="shared" si="4"/>
        <v>5068</v>
      </c>
      <c r="L17" s="2">
        <f t="shared" si="4"/>
        <v>24825</v>
      </c>
      <c r="M17" s="2">
        <f t="shared" si="4"/>
        <v>17262</v>
      </c>
      <c r="N17" s="2">
        <f t="shared" si="4"/>
        <v>-4222</v>
      </c>
      <c r="O17" s="2">
        <f t="shared" si="4"/>
        <v>21897</v>
      </c>
      <c r="P17" s="2">
        <f t="shared" si="4"/>
        <v>13599</v>
      </c>
      <c r="Q17" s="2">
        <f t="shared" si="4"/>
        <v>-5052</v>
      </c>
      <c r="R17" s="2">
        <f t="shared" si="4"/>
        <v>16110</v>
      </c>
      <c r="S17" s="2">
        <f t="shared" si="4"/>
        <v>8251</v>
      </c>
      <c r="T17" s="2">
        <f t="shared" si="4"/>
        <v>-17547</v>
      </c>
      <c r="U17" s="2">
        <f t="shared" si="4"/>
        <v>14904</v>
      </c>
      <c r="V17" s="2">
        <f t="shared" si="4"/>
        <v>7329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25.7109375" style="8" customWidth="1"/>
    <col min="2" max="22" width="7.8515625" style="8" customWidth="1"/>
    <col min="23" max="16384" width="9.140625" style="8" customWidth="1"/>
  </cols>
  <sheetData>
    <row r="1" ht="9.75">
      <c r="A1" s="8" t="s">
        <v>33</v>
      </c>
    </row>
    <row r="2" spans="9:10" ht="9.75">
      <c r="I2" s="35" t="s">
        <v>34</v>
      </c>
      <c r="J2" s="35"/>
    </row>
    <row r="3" spans="9:10" ht="9.75">
      <c r="I3" s="35" t="s">
        <v>35</v>
      </c>
      <c r="J3" s="35"/>
    </row>
    <row r="4" spans="9:10" ht="9.75">
      <c r="I4" s="35" t="s">
        <v>36</v>
      </c>
      <c r="J4" s="35"/>
    </row>
    <row r="5" spans="1:22" ht="9.75">
      <c r="A5" s="32" t="s">
        <v>17</v>
      </c>
      <c r="B5" s="8">
        <v>0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8">
        <v>16</v>
      </c>
      <c r="S5" s="8">
        <v>17</v>
      </c>
      <c r="T5" s="8">
        <v>18</v>
      </c>
      <c r="U5" s="8">
        <v>19</v>
      </c>
      <c r="V5" s="8">
        <v>20</v>
      </c>
    </row>
    <row r="6" spans="1:22" ht="9.75">
      <c r="A6" s="32" t="s">
        <v>18</v>
      </c>
      <c r="C6" s="8">
        <v>2005</v>
      </c>
      <c r="D6" s="8">
        <v>2006</v>
      </c>
      <c r="E6" s="8">
        <v>2007</v>
      </c>
      <c r="F6" s="8">
        <v>2008</v>
      </c>
      <c r="G6" s="8">
        <v>2009</v>
      </c>
      <c r="H6" s="8">
        <v>2010</v>
      </c>
      <c r="I6" s="8">
        <v>2011</v>
      </c>
      <c r="J6" s="8">
        <v>2012</v>
      </c>
      <c r="K6" s="8">
        <v>2013</v>
      </c>
      <c r="L6" s="8">
        <v>2014</v>
      </c>
      <c r="M6" s="8">
        <v>2015</v>
      </c>
      <c r="N6" s="8">
        <v>2016</v>
      </c>
      <c r="O6" s="8">
        <v>2017</v>
      </c>
      <c r="P6" s="8">
        <v>2018</v>
      </c>
      <c r="Q6" s="8">
        <v>2019</v>
      </c>
      <c r="R6" s="8">
        <v>2020</v>
      </c>
      <c r="S6" s="8">
        <v>2021</v>
      </c>
      <c r="T6" s="8">
        <v>2022</v>
      </c>
      <c r="U6" s="8">
        <v>2023</v>
      </c>
      <c r="V6" s="8">
        <v>2024</v>
      </c>
    </row>
    <row r="7" ht="9.75">
      <c r="A7" s="33" t="s">
        <v>72</v>
      </c>
    </row>
    <row r="8" ht="9.75">
      <c r="A8" s="8" t="s">
        <v>73</v>
      </c>
    </row>
    <row r="9" spans="1:22" ht="9.75">
      <c r="A9" s="36" t="s">
        <v>74</v>
      </c>
      <c r="B9" s="14">
        <v>33403</v>
      </c>
      <c r="C9" s="14">
        <v>33644</v>
      </c>
      <c r="D9" s="14">
        <v>33689</v>
      </c>
      <c r="E9" s="14">
        <v>32956</v>
      </c>
      <c r="F9" s="14">
        <v>32062</v>
      </c>
      <c r="G9" s="14">
        <v>32265</v>
      </c>
      <c r="H9" s="14">
        <v>32062</v>
      </c>
      <c r="I9" s="14">
        <v>31444</v>
      </c>
      <c r="J9" s="14">
        <v>30976</v>
      </c>
      <c r="K9" s="14">
        <v>30633</v>
      </c>
      <c r="L9" s="14">
        <v>30319</v>
      </c>
      <c r="M9" s="14">
        <v>30112</v>
      </c>
      <c r="N9" s="14">
        <v>30016</v>
      </c>
      <c r="O9" s="14">
        <v>29927</v>
      </c>
      <c r="P9" s="14">
        <v>29938</v>
      </c>
      <c r="Q9" s="14">
        <v>30037</v>
      </c>
      <c r="R9" s="14">
        <v>30132</v>
      </c>
      <c r="S9" s="14">
        <v>30393</v>
      </c>
      <c r="T9" s="14">
        <v>30897</v>
      </c>
      <c r="U9" s="14">
        <v>31212</v>
      </c>
      <c r="V9" s="14">
        <v>10424</v>
      </c>
    </row>
    <row r="10" spans="1:22" ht="9.75">
      <c r="A10" s="36" t="s">
        <v>75</v>
      </c>
      <c r="B10" s="14">
        <v>4900</v>
      </c>
      <c r="C10" s="14">
        <v>4900</v>
      </c>
      <c r="D10" s="14">
        <v>4900</v>
      </c>
      <c r="E10" s="14">
        <v>4900</v>
      </c>
      <c r="F10" s="14">
        <v>4900</v>
      </c>
      <c r="G10" s="14">
        <v>4900</v>
      </c>
      <c r="H10" s="14">
        <v>4900</v>
      </c>
      <c r="I10" s="14">
        <v>4900</v>
      </c>
      <c r="J10" s="14">
        <v>4900</v>
      </c>
      <c r="K10" s="14">
        <v>4900</v>
      </c>
      <c r="L10" s="14">
        <v>4900</v>
      </c>
      <c r="M10" s="14">
        <v>4900</v>
      </c>
      <c r="N10" s="14">
        <v>4900</v>
      </c>
      <c r="O10" s="14">
        <v>4900</v>
      </c>
      <c r="P10" s="14">
        <v>4900</v>
      </c>
      <c r="Q10" s="14">
        <v>4900</v>
      </c>
      <c r="R10" s="14">
        <v>4900</v>
      </c>
      <c r="S10" s="14">
        <v>4900</v>
      </c>
      <c r="T10" s="14">
        <v>4900</v>
      </c>
      <c r="U10" s="14">
        <v>4900</v>
      </c>
      <c r="V10" s="14">
        <v>4900</v>
      </c>
    </row>
    <row r="11" spans="1:22" ht="9.75">
      <c r="A11" s="36" t="s">
        <v>76</v>
      </c>
      <c r="B11" s="14">
        <v>1648</v>
      </c>
      <c r="C11" s="14">
        <v>1648</v>
      </c>
      <c r="D11" s="14">
        <v>1648</v>
      </c>
      <c r="E11" s="14">
        <v>1648</v>
      </c>
      <c r="F11" s="14">
        <v>1648</v>
      </c>
      <c r="G11" s="14">
        <v>1648</v>
      </c>
      <c r="H11" s="14">
        <v>1648</v>
      </c>
      <c r="I11" s="14">
        <v>1648</v>
      </c>
      <c r="J11" s="14">
        <v>1648</v>
      </c>
      <c r="K11" s="14">
        <v>1648</v>
      </c>
      <c r="L11" s="14">
        <v>1648</v>
      </c>
      <c r="M11" s="14">
        <v>1648</v>
      </c>
      <c r="N11" s="14">
        <v>1648</v>
      </c>
      <c r="O11" s="14">
        <v>1648</v>
      </c>
      <c r="P11" s="14">
        <v>1648</v>
      </c>
      <c r="Q11" s="14">
        <v>1648</v>
      </c>
      <c r="R11" s="14">
        <v>1648</v>
      </c>
      <c r="S11" s="14">
        <v>1648</v>
      </c>
      <c r="T11" s="14">
        <v>1648</v>
      </c>
      <c r="U11" s="14">
        <v>1648</v>
      </c>
      <c r="V11" s="14">
        <v>1648</v>
      </c>
    </row>
    <row r="12" spans="1:22" s="19" customFormat="1" ht="9.75">
      <c r="A12" s="37" t="s">
        <v>77</v>
      </c>
      <c r="B12" s="17">
        <f aca="true" t="shared" si="0" ref="B12:V12">SUM(B9:B11)</f>
        <v>39951</v>
      </c>
      <c r="C12" s="17">
        <f t="shared" si="0"/>
        <v>40192</v>
      </c>
      <c r="D12" s="17">
        <f t="shared" si="0"/>
        <v>40237</v>
      </c>
      <c r="E12" s="17">
        <f t="shared" si="0"/>
        <v>39504</v>
      </c>
      <c r="F12" s="17">
        <f t="shared" si="0"/>
        <v>38610</v>
      </c>
      <c r="G12" s="17">
        <f t="shared" si="0"/>
        <v>38813</v>
      </c>
      <c r="H12" s="17">
        <f t="shared" si="0"/>
        <v>38610</v>
      </c>
      <c r="I12" s="17">
        <f t="shared" si="0"/>
        <v>37992</v>
      </c>
      <c r="J12" s="17">
        <f t="shared" si="0"/>
        <v>37524</v>
      </c>
      <c r="K12" s="17">
        <f t="shared" si="0"/>
        <v>37181</v>
      </c>
      <c r="L12" s="17">
        <f t="shared" si="0"/>
        <v>36867</v>
      </c>
      <c r="M12" s="17">
        <f t="shared" si="0"/>
        <v>36660</v>
      </c>
      <c r="N12" s="17">
        <f t="shared" si="0"/>
        <v>36564</v>
      </c>
      <c r="O12" s="17">
        <f t="shared" si="0"/>
        <v>36475</v>
      </c>
      <c r="P12" s="17">
        <f t="shared" si="0"/>
        <v>36486</v>
      </c>
      <c r="Q12" s="17">
        <f t="shared" si="0"/>
        <v>36585</v>
      </c>
      <c r="R12" s="17">
        <f t="shared" si="0"/>
        <v>36680</v>
      </c>
      <c r="S12" s="17">
        <f t="shared" si="0"/>
        <v>36941</v>
      </c>
      <c r="T12" s="17">
        <f t="shared" si="0"/>
        <v>37445</v>
      </c>
      <c r="U12" s="17">
        <f t="shared" si="0"/>
        <v>37760</v>
      </c>
      <c r="V12" s="17">
        <f t="shared" si="0"/>
        <v>16972</v>
      </c>
    </row>
    <row r="13" ht="9.75">
      <c r="A13" s="34" t="s">
        <v>78</v>
      </c>
    </row>
    <row r="14" spans="1:21" ht="9.75">
      <c r="A14" s="36" t="s">
        <v>79</v>
      </c>
      <c r="C14" s="14">
        <v>7567</v>
      </c>
      <c r="D14" s="14">
        <v>16669</v>
      </c>
      <c r="F14" s="14">
        <v>10312</v>
      </c>
      <c r="G14" s="14">
        <v>20545</v>
      </c>
      <c r="I14" s="14">
        <v>8587</v>
      </c>
      <c r="J14" s="14">
        <v>12726</v>
      </c>
      <c r="L14" s="14">
        <v>10039</v>
      </c>
      <c r="M14" s="14">
        <v>15291</v>
      </c>
      <c r="O14" s="14">
        <v>9027</v>
      </c>
      <c r="P14" s="14">
        <v>12898</v>
      </c>
      <c r="R14" s="14">
        <v>12264</v>
      </c>
      <c r="S14" s="14">
        <v>18976</v>
      </c>
      <c r="U14" s="14">
        <v>2929</v>
      </c>
    </row>
    <row r="15" spans="1:22" s="22" customFormat="1" ht="9.75">
      <c r="A15" s="38" t="s">
        <v>103</v>
      </c>
      <c r="D15" s="23"/>
      <c r="Q15" s="14">
        <v>16469</v>
      </c>
      <c r="R15" s="14">
        <v>33752</v>
      </c>
      <c r="S15" s="14">
        <v>51034</v>
      </c>
      <c r="T15" s="14">
        <v>68316</v>
      </c>
      <c r="U15" s="14">
        <v>85598</v>
      </c>
      <c r="V15" s="14">
        <v>100000</v>
      </c>
    </row>
    <row r="16" spans="1:22" ht="9.75">
      <c r="A16" s="36" t="s">
        <v>80</v>
      </c>
      <c r="D16" s="14"/>
      <c r="Q16" s="17">
        <v>4255</v>
      </c>
      <c r="R16" s="17">
        <v>8475</v>
      </c>
      <c r="S16" s="17">
        <v>10241</v>
      </c>
      <c r="T16" s="17">
        <v>11672</v>
      </c>
      <c r="U16" s="17">
        <v>23631</v>
      </c>
      <c r="V16" s="17">
        <v>37347</v>
      </c>
    </row>
    <row r="17" spans="1:22" s="19" customFormat="1" ht="9.75">
      <c r="A17" s="37" t="s">
        <v>77</v>
      </c>
      <c r="C17" s="17">
        <f aca="true" t="shared" si="1" ref="C17:V17">SUM(C13:C16)</f>
        <v>7567</v>
      </c>
      <c r="D17" s="17">
        <f t="shared" si="1"/>
        <v>16669</v>
      </c>
      <c r="E17" s="17">
        <f t="shared" si="1"/>
        <v>0</v>
      </c>
      <c r="F17" s="17">
        <f t="shared" si="1"/>
        <v>10312</v>
      </c>
      <c r="G17" s="17">
        <f t="shared" si="1"/>
        <v>20545</v>
      </c>
      <c r="H17" s="17">
        <f t="shared" si="1"/>
        <v>0</v>
      </c>
      <c r="I17" s="17">
        <f t="shared" si="1"/>
        <v>8587</v>
      </c>
      <c r="J17" s="17">
        <f t="shared" si="1"/>
        <v>12726</v>
      </c>
      <c r="K17" s="17">
        <f t="shared" si="1"/>
        <v>0</v>
      </c>
      <c r="L17" s="17">
        <f t="shared" si="1"/>
        <v>10039</v>
      </c>
      <c r="M17" s="17">
        <f t="shared" si="1"/>
        <v>15291</v>
      </c>
      <c r="N17" s="17">
        <f t="shared" si="1"/>
        <v>0</v>
      </c>
      <c r="O17" s="17">
        <f t="shared" si="1"/>
        <v>9027</v>
      </c>
      <c r="P17" s="17">
        <f t="shared" si="1"/>
        <v>12898</v>
      </c>
      <c r="Q17" s="17">
        <f t="shared" si="1"/>
        <v>20724</v>
      </c>
      <c r="R17" s="17">
        <f t="shared" si="1"/>
        <v>54491</v>
      </c>
      <c r="S17" s="17">
        <f t="shared" si="1"/>
        <v>80251</v>
      </c>
      <c r="T17" s="17">
        <f t="shared" si="1"/>
        <v>79988</v>
      </c>
      <c r="U17" s="17">
        <f t="shared" si="1"/>
        <v>112158</v>
      </c>
      <c r="V17" s="17">
        <f t="shared" si="1"/>
        <v>137347</v>
      </c>
    </row>
    <row r="18" spans="1:22" s="19" customFormat="1" ht="9.75">
      <c r="A18" s="19" t="s">
        <v>81</v>
      </c>
      <c r="B18" s="17">
        <f aca="true" t="shared" si="2" ref="B18:V18">B17+B12</f>
        <v>39951</v>
      </c>
      <c r="C18" s="17">
        <f t="shared" si="2"/>
        <v>47759</v>
      </c>
      <c r="D18" s="17">
        <f t="shared" si="2"/>
        <v>56906</v>
      </c>
      <c r="E18" s="17">
        <f t="shared" si="2"/>
        <v>39504</v>
      </c>
      <c r="F18" s="17">
        <f t="shared" si="2"/>
        <v>48922</v>
      </c>
      <c r="G18" s="17">
        <f t="shared" si="2"/>
        <v>59358</v>
      </c>
      <c r="H18" s="17">
        <f t="shared" si="2"/>
        <v>38610</v>
      </c>
      <c r="I18" s="17">
        <f t="shared" si="2"/>
        <v>46579</v>
      </c>
      <c r="J18" s="17">
        <f t="shared" si="2"/>
        <v>50250</v>
      </c>
      <c r="K18" s="17">
        <f t="shared" si="2"/>
        <v>37181</v>
      </c>
      <c r="L18" s="17">
        <f t="shared" si="2"/>
        <v>46906</v>
      </c>
      <c r="M18" s="17">
        <f t="shared" si="2"/>
        <v>51951</v>
      </c>
      <c r="N18" s="17">
        <f t="shared" si="2"/>
        <v>36564</v>
      </c>
      <c r="O18" s="17">
        <f t="shared" si="2"/>
        <v>45502</v>
      </c>
      <c r="P18" s="17">
        <f t="shared" si="2"/>
        <v>49384</v>
      </c>
      <c r="Q18" s="17">
        <f t="shared" si="2"/>
        <v>57309</v>
      </c>
      <c r="R18" s="17">
        <f t="shared" si="2"/>
        <v>91171</v>
      </c>
      <c r="S18" s="17">
        <f t="shared" si="2"/>
        <v>117192</v>
      </c>
      <c r="T18" s="17">
        <f t="shared" si="2"/>
        <v>117433</v>
      </c>
      <c r="U18" s="17">
        <f t="shared" si="2"/>
        <v>149918</v>
      </c>
      <c r="V18" s="17">
        <f t="shared" si="2"/>
        <v>154319</v>
      </c>
    </row>
    <row r="19" ht="9.75">
      <c r="A19" s="8" t="s">
        <v>82</v>
      </c>
    </row>
    <row r="20" spans="1:22" ht="9.75">
      <c r="A20" s="39" t="s">
        <v>83</v>
      </c>
      <c r="B20" s="14">
        <v>394920</v>
      </c>
      <c r="C20" s="14">
        <v>394920</v>
      </c>
      <c r="D20" s="14">
        <v>394920</v>
      </c>
      <c r="E20" s="14">
        <v>394920</v>
      </c>
      <c r="F20" s="14">
        <v>394920</v>
      </c>
      <c r="G20" s="14">
        <v>394920</v>
      </c>
      <c r="H20" s="14">
        <v>394920</v>
      </c>
      <c r="I20" s="14">
        <v>394920</v>
      </c>
      <c r="J20" s="14">
        <v>394920</v>
      </c>
      <c r="K20" s="14">
        <v>394920</v>
      </c>
      <c r="L20" s="14">
        <v>394920</v>
      </c>
      <c r="M20" s="14">
        <v>394920</v>
      </c>
      <c r="N20" s="14">
        <v>394920</v>
      </c>
      <c r="O20" s="14">
        <v>394920</v>
      </c>
      <c r="P20" s="14">
        <v>394920</v>
      </c>
      <c r="Q20" s="14">
        <v>394920</v>
      </c>
      <c r="R20" s="14">
        <v>394920</v>
      </c>
      <c r="S20" s="14">
        <v>394920</v>
      </c>
      <c r="T20" s="14">
        <v>394920</v>
      </c>
      <c r="U20" s="14">
        <v>394920</v>
      </c>
      <c r="V20" s="14">
        <v>394920</v>
      </c>
    </row>
    <row r="21" spans="1:22" ht="9.75">
      <c r="A21" s="39" t="s">
        <v>84</v>
      </c>
      <c r="B21" s="26">
        <v>-3824</v>
      </c>
      <c r="C21" s="26">
        <v>-26765</v>
      </c>
      <c r="D21" s="26">
        <v>-49707</v>
      </c>
      <c r="E21" s="26">
        <v>-72649</v>
      </c>
      <c r="F21" s="26">
        <v>-95590</v>
      </c>
      <c r="G21" s="26">
        <v>-118532</v>
      </c>
      <c r="H21" s="26">
        <v>-141474</v>
      </c>
      <c r="I21" s="26">
        <v>-164416</v>
      </c>
      <c r="J21" s="26">
        <v>-186581</v>
      </c>
      <c r="K21" s="26">
        <v>-204863</v>
      </c>
      <c r="L21" s="26">
        <v>-223145</v>
      </c>
      <c r="M21" s="26">
        <v>-241428</v>
      </c>
      <c r="N21" s="26">
        <v>-259543</v>
      </c>
      <c r="O21" s="26">
        <v>-276825</v>
      </c>
      <c r="P21" s="26">
        <v>-294108</v>
      </c>
      <c r="Q21" s="26">
        <v>-311389</v>
      </c>
      <c r="R21" s="26">
        <v>-328672</v>
      </c>
      <c r="S21" s="26">
        <v>-345955</v>
      </c>
      <c r="T21" s="26">
        <v>-363236</v>
      </c>
      <c r="U21" s="26">
        <v>-380518</v>
      </c>
      <c r="V21" s="26">
        <v>-394920</v>
      </c>
    </row>
    <row r="22" spans="1:22" ht="9.75">
      <c r="A22" s="39" t="s">
        <v>85</v>
      </c>
      <c r="B22" s="14">
        <f aca="true" t="shared" si="3" ref="B22:V22">B21+B20</f>
        <v>391096</v>
      </c>
      <c r="C22" s="14">
        <f t="shared" si="3"/>
        <v>368155</v>
      </c>
      <c r="D22" s="14">
        <f t="shared" si="3"/>
        <v>345213</v>
      </c>
      <c r="E22" s="14">
        <f t="shared" si="3"/>
        <v>322271</v>
      </c>
      <c r="F22" s="14">
        <f t="shared" si="3"/>
        <v>299330</v>
      </c>
      <c r="G22" s="14">
        <f t="shared" si="3"/>
        <v>276388</v>
      </c>
      <c r="H22" s="14">
        <f t="shared" si="3"/>
        <v>253446</v>
      </c>
      <c r="I22" s="14">
        <f t="shared" si="3"/>
        <v>230504</v>
      </c>
      <c r="J22" s="14">
        <f t="shared" si="3"/>
        <v>208339</v>
      </c>
      <c r="K22" s="14">
        <f t="shared" si="3"/>
        <v>190057</v>
      </c>
      <c r="L22" s="14">
        <f t="shared" si="3"/>
        <v>171775</v>
      </c>
      <c r="M22" s="14">
        <f t="shared" si="3"/>
        <v>153492</v>
      </c>
      <c r="N22" s="14">
        <f t="shared" si="3"/>
        <v>135377</v>
      </c>
      <c r="O22" s="14">
        <f t="shared" si="3"/>
        <v>118095</v>
      </c>
      <c r="P22" s="14">
        <f t="shared" si="3"/>
        <v>100812</v>
      </c>
      <c r="Q22" s="14">
        <f t="shared" si="3"/>
        <v>83531</v>
      </c>
      <c r="R22" s="14">
        <f t="shared" si="3"/>
        <v>66248</v>
      </c>
      <c r="S22" s="14">
        <f t="shared" si="3"/>
        <v>48965</v>
      </c>
      <c r="T22" s="14">
        <f t="shared" si="3"/>
        <v>31684</v>
      </c>
      <c r="U22" s="14">
        <f t="shared" si="3"/>
        <v>14402</v>
      </c>
      <c r="V22" s="14">
        <f t="shared" si="3"/>
        <v>0</v>
      </c>
    </row>
    <row r="23" spans="1:22" s="22" customFormat="1" ht="9.75">
      <c r="A23" s="22" t="s">
        <v>86</v>
      </c>
      <c r="B23" s="23">
        <f aca="true" t="shared" si="4" ref="B23:V23">B22+B18</f>
        <v>431047</v>
      </c>
      <c r="C23" s="23">
        <f t="shared" si="4"/>
        <v>415914</v>
      </c>
      <c r="D23" s="23">
        <f t="shared" si="4"/>
        <v>402119</v>
      </c>
      <c r="E23" s="23">
        <f t="shared" si="4"/>
        <v>361775</v>
      </c>
      <c r="F23" s="23">
        <f t="shared" si="4"/>
        <v>348252</v>
      </c>
      <c r="G23" s="23">
        <f t="shared" si="4"/>
        <v>335746</v>
      </c>
      <c r="H23" s="23">
        <f t="shared" si="4"/>
        <v>292056</v>
      </c>
      <c r="I23" s="23">
        <f t="shared" si="4"/>
        <v>277083</v>
      </c>
      <c r="J23" s="23">
        <f t="shared" si="4"/>
        <v>258589</v>
      </c>
      <c r="K23" s="23">
        <f t="shared" si="4"/>
        <v>227238</v>
      </c>
      <c r="L23" s="23">
        <f t="shared" si="4"/>
        <v>218681</v>
      </c>
      <c r="M23" s="23">
        <f t="shared" si="4"/>
        <v>205443</v>
      </c>
      <c r="N23" s="23">
        <f t="shared" si="4"/>
        <v>171941</v>
      </c>
      <c r="O23" s="23">
        <f t="shared" si="4"/>
        <v>163597</v>
      </c>
      <c r="P23" s="23">
        <f t="shared" si="4"/>
        <v>150196</v>
      </c>
      <c r="Q23" s="23">
        <f t="shared" si="4"/>
        <v>140840</v>
      </c>
      <c r="R23" s="23">
        <f t="shared" si="4"/>
        <v>157419</v>
      </c>
      <c r="S23" s="23">
        <f t="shared" si="4"/>
        <v>166157</v>
      </c>
      <c r="T23" s="23">
        <f t="shared" si="4"/>
        <v>149117</v>
      </c>
      <c r="U23" s="23">
        <f t="shared" si="4"/>
        <v>164320</v>
      </c>
      <c r="V23" s="23">
        <f t="shared" si="4"/>
        <v>154319</v>
      </c>
    </row>
    <row r="24" ht="9.75">
      <c r="A24" s="33" t="s">
        <v>87</v>
      </c>
    </row>
    <row r="25" ht="9.75">
      <c r="A25" s="8" t="s">
        <v>88</v>
      </c>
    </row>
    <row r="26" spans="1:22" ht="9.75">
      <c r="A26" s="36" t="s">
        <v>89</v>
      </c>
      <c r="B26" s="14">
        <v>17570</v>
      </c>
      <c r="C26" s="14">
        <v>17758</v>
      </c>
      <c r="D26" s="14">
        <v>17976</v>
      </c>
      <c r="E26" s="14">
        <v>18259</v>
      </c>
      <c r="F26" s="14">
        <v>18595</v>
      </c>
      <c r="G26" s="14">
        <v>18941</v>
      </c>
      <c r="H26" s="14">
        <v>19334</v>
      </c>
      <c r="I26" s="14">
        <v>19720</v>
      </c>
      <c r="J26" s="14">
        <v>20106</v>
      </c>
      <c r="K26" s="17">
        <v>20524</v>
      </c>
      <c r="L26" s="14">
        <v>20929</v>
      </c>
      <c r="M26" s="14">
        <v>21315</v>
      </c>
      <c r="N26" s="14">
        <v>21742</v>
      </c>
      <c r="O26" s="17">
        <v>22171</v>
      </c>
      <c r="P26" s="14">
        <v>22606</v>
      </c>
      <c r="Q26" s="14">
        <v>23069</v>
      </c>
      <c r="R26" s="14">
        <v>23509</v>
      </c>
      <c r="S26" s="17">
        <v>23963</v>
      </c>
      <c r="T26" s="14">
        <v>24439</v>
      </c>
      <c r="U26" s="14">
        <v>24642</v>
      </c>
      <c r="V26" s="14">
        <v>8221</v>
      </c>
    </row>
    <row r="27" spans="1:22" ht="9.75">
      <c r="A27" s="36" t="s">
        <v>90</v>
      </c>
      <c r="B27" s="8">
        <v>968</v>
      </c>
      <c r="C27" s="8">
        <v>984</v>
      </c>
      <c r="D27" s="8">
        <v>976</v>
      </c>
      <c r="E27" s="8">
        <v>921</v>
      </c>
      <c r="F27" s="8">
        <v>913</v>
      </c>
      <c r="G27" s="8">
        <v>936</v>
      </c>
      <c r="H27" s="8">
        <v>958</v>
      </c>
      <c r="I27" s="8">
        <v>982</v>
      </c>
      <c r="J27" s="14">
        <v>1007</v>
      </c>
      <c r="K27" s="14">
        <v>1032</v>
      </c>
      <c r="L27" s="17">
        <v>1057</v>
      </c>
      <c r="M27" s="14">
        <v>1085</v>
      </c>
      <c r="N27" s="14">
        <v>1111</v>
      </c>
      <c r="O27" s="14">
        <v>1139</v>
      </c>
      <c r="P27" s="14">
        <v>1168</v>
      </c>
      <c r="Q27" s="14">
        <v>1197</v>
      </c>
      <c r="R27" s="17">
        <v>1226</v>
      </c>
      <c r="S27" s="17">
        <v>1258</v>
      </c>
      <c r="T27" s="14">
        <v>1289</v>
      </c>
      <c r="U27" s="14">
        <v>1384</v>
      </c>
      <c r="V27" s="8">
        <v>475</v>
      </c>
    </row>
    <row r="28" spans="1:22" s="19" customFormat="1" ht="9.75">
      <c r="A28" s="37" t="s">
        <v>91</v>
      </c>
      <c r="B28" s="17">
        <f aca="true" t="shared" si="5" ref="B28:V28">B27+B26</f>
        <v>18538</v>
      </c>
      <c r="C28" s="17">
        <f t="shared" si="5"/>
        <v>18742</v>
      </c>
      <c r="D28" s="17">
        <f t="shared" si="5"/>
        <v>18952</v>
      </c>
      <c r="E28" s="17">
        <f t="shared" si="5"/>
        <v>19180</v>
      </c>
      <c r="F28" s="17">
        <f t="shared" si="5"/>
        <v>19508</v>
      </c>
      <c r="G28" s="17">
        <f t="shared" si="5"/>
        <v>19877</v>
      </c>
      <c r="H28" s="17">
        <f t="shared" si="5"/>
        <v>20292</v>
      </c>
      <c r="I28" s="17">
        <f t="shared" si="5"/>
        <v>20702</v>
      </c>
      <c r="J28" s="17">
        <f t="shared" si="5"/>
        <v>21113</v>
      </c>
      <c r="K28" s="17">
        <f>K27+K26</f>
        <v>21556</v>
      </c>
      <c r="L28" s="17">
        <f t="shared" si="5"/>
        <v>21986</v>
      </c>
      <c r="M28" s="17">
        <f t="shared" si="5"/>
        <v>22400</v>
      </c>
      <c r="N28" s="17">
        <f t="shared" si="5"/>
        <v>22853</v>
      </c>
      <c r="O28" s="17">
        <f t="shared" si="5"/>
        <v>23310</v>
      </c>
      <c r="P28" s="17">
        <f t="shared" si="5"/>
        <v>23774</v>
      </c>
      <c r="Q28" s="17">
        <f t="shared" si="5"/>
        <v>24266</v>
      </c>
      <c r="R28" s="17">
        <f t="shared" si="5"/>
        <v>24735</v>
      </c>
      <c r="S28" s="17">
        <f t="shared" si="5"/>
        <v>25221</v>
      </c>
      <c r="T28" s="17">
        <f t="shared" si="5"/>
        <v>25728</v>
      </c>
      <c r="U28" s="17">
        <f t="shared" si="5"/>
        <v>26026</v>
      </c>
      <c r="V28" s="17">
        <f t="shared" si="5"/>
        <v>8696</v>
      </c>
    </row>
    <row r="29" spans="1:15" s="22" customFormat="1" ht="9.75">
      <c r="A29" s="22" t="s">
        <v>92</v>
      </c>
      <c r="B29" s="23">
        <v>302763</v>
      </c>
      <c r="C29" s="23">
        <v>286556</v>
      </c>
      <c r="D29" s="23">
        <v>261858</v>
      </c>
      <c r="E29" s="23">
        <v>236996</v>
      </c>
      <c r="F29" s="23">
        <v>211637</v>
      </c>
      <c r="G29" s="23">
        <v>186774</v>
      </c>
      <c r="H29" s="23">
        <v>160353</v>
      </c>
      <c r="I29" s="23">
        <v>133535</v>
      </c>
      <c r="J29" s="23">
        <v>107213</v>
      </c>
      <c r="K29" s="23">
        <v>83528</v>
      </c>
      <c r="L29" s="23">
        <v>61954</v>
      </c>
      <c r="M29" s="23">
        <v>41122</v>
      </c>
      <c r="N29" s="23">
        <v>20787</v>
      </c>
      <c r="O29" s="23">
        <v>3971</v>
      </c>
    </row>
    <row r="30" ht="9.75">
      <c r="A30" s="8" t="s">
        <v>93</v>
      </c>
    </row>
    <row r="31" spans="1:22" ht="9.75">
      <c r="A31" s="36" t="s">
        <v>94</v>
      </c>
      <c r="B31" s="14">
        <v>100000</v>
      </c>
      <c r="C31" s="14">
        <v>100000</v>
      </c>
      <c r="D31" s="14">
        <v>100000</v>
      </c>
      <c r="E31" s="14">
        <v>100000</v>
      </c>
      <c r="F31" s="14">
        <v>100000</v>
      </c>
      <c r="G31" s="14">
        <v>100000</v>
      </c>
      <c r="H31" s="14">
        <v>100000</v>
      </c>
      <c r="I31" s="14">
        <v>100000</v>
      </c>
      <c r="J31" s="14">
        <v>100000</v>
      </c>
      <c r="K31" s="14">
        <v>100000</v>
      </c>
      <c r="L31" s="14">
        <v>100000</v>
      </c>
      <c r="M31" s="14">
        <v>100000</v>
      </c>
      <c r="N31" s="14">
        <v>100000</v>
      </c>
      <c r="O31" s="14">
        <v>100000</v>
      </c>
      <c r="P31" s="14">
        <v>100000</v>
      </c>
      <c r="Q31" s="14">
        <v>100000</v>
      </c>
      <c r="R31" s="14">
        <v>100000</v>
      </c>
      <c r="S31" s="14">
        <v>100000</v>
      </c>
      <c r="T31" s="14">
        <v>100000</v>
      </c>
      <c r="U31" s="14">
        <v>100000</v>
      </c>
      <c r="V31" s="14">
        <v>100000</v>
      </c>
    </row>
    <row r="32" spans="1:22" ht="9.75">
      <c r="A32" s="36" t="s">
        <v>95</v>
      </c>
      <c r="B32" s="14">
        <v>9746</v>
      </c>
      <c r="C32" s="14">
        <v>10616</v>
      </c>
      <c r="D32" s="14">
        <v>21309</v>
      </c>
      <c r="E32" s="14">
        <v>5599</v>
      </c>
      <c r="F32" s="14">
        <v>17107</v>
      </c>
      <c r="G32" s="14">
        <v>29095</v>
      </c>
      <c r="H32" s="14">
        <v>11411</v>
      </c>
      <c r="I32" s="14">
        <v>22846</v>
      </c>
      <c r="J32" s="14">
        <v>30263</v>
      </c>
      <c r="K32" s="14">
        <v>22154</v>
      </c>
      <c r="L32" s="14">
        <v>34741</v>
      </c>
      <c r="M32" s="14">
        <v>41921</v>
      </c>
      <c r="N32" s="14">
        <v>28301</v>
      </c>
      <c r="O32" s="14">
        <v>36316</v>
      </c>
      <c r="P32" s="14">
        <v>26422</v>
      </c>
      <c r="Q32" s="14">
        <v>16574</v>
      </c>
      <c r="R32" s="14">
        <v>32684</v>
      </c>
      <c r="S32" s="14">
        <v>40936</v>
      </c>
      <c r="T32" s="14">
        <v>23389</v>
      </c>
      <c r="U32" s="14">
        <v>38294</v>
      </c>
      <c r="V32" s="14">
        <v>45623</v>
      </c>
    </row>
    <row r="33" spans="1:22" s="22" customFormat="1" ht="9.75">
      <c r="A33" s="38" t="s">
        <v>102</v>
      </c>
      <c r="B33" s="23">
        <f aca="true" t="shared" si="6" ref="B33:V33">B32+B31</f>
        <v>109746</v>
      </c>
      <c r="C33" s="23">
        <f t="shared" si="6"/>
        <v>110616</v>
      </c>
      <c r="D33" s="23">
        <f t="shared" si="6"/>
        <v>121309</v>
      </c>
      <c r="E33" s="23">
        <f t="shared" si="6"/>
        <v>105599</v>
      </c>
      <c r="F33" s="23">
        <f t="shared" si="6"/>
        <v>117107</v>
      </c>
      <c r="G33" s="23">
        <f t="shared" si="6"/>
        <v>129095</v>
      </c>
      <c r="H33" s="23">
        <f t="shared" si="6"/>
        <v>111411</v>
      </c>
      <c r="I33" s="23">
        <f t="shared" si="6"/>
        <v>122846</v>
      </c>
      <c r="J33" s="23">
        <f t="shared" si="6"/>
        <v>130263</v>
      </c>
      <c r="K33" s="23">
        <f t="shared" si="6"/>
        <v>122154</v>
      </c>
      <c r="L33" s="23">
        <f t="shared" si="6"/>
        <v>134741</v>
      </c>
      <c r="M33" s="23">
        <f t="shared" si="6"/>
        <v>141921</v>
      </c>
      <c r="N33" s="23">
        <f t="shared" si="6"/>
        <v>128301</v>
      </c>
      <c r="O33" s="23">
        <f t="shared" si="6"/>
        <v>136316</v>
      </c>
      <c r="P33" s="23">
        <f t="shared" si="6"/>
        <v>126422</v>
      </c>
      <c r="Q33" s="23">
        <f t="shared" si="6"/>
        <v>116574</v>
      </c>
      <c r="R33" s="23">
        <f t="shared" si="6"/>
        <v>132684</v>
      </c>
      <c r="S33" s="23">
        <f t="shared" si="6"/>
        <v>140936</v>
      </c>
      <c r="T33" s="23">
        <f t="shared" si="6"/>
        <v>123389</v>
      </c>
      <c r="U33" s="23">
        <f t="shared" si="6"/>
        <v>138294</v>
      </c>
      <c r="V33" s="23">
        <f t="shared" si="6"/>
        <v>145623</v>
      </c>
    </row>
    <row r="34" spans="1:22" s="22" customFormat="1" ht="9.75">
      <c r="A34" s="22" t="s">
        <v>96</v>
      </c>
      <c r="B34" s="23">
        <f aca="true" t="shared" si="7" ref="B34:V34">B33+B29+B28</f>
        <v>431047</v>
      </c>
      <c r="C34" s="23">
        <f t="shared" si="7"/>
        <v>415914</v>
      </c>
      <c r="D34" s="23">
        <f t="shared" si="7"/>
        <v>402119</v>
      </c>
      <c r="E34" s="23">
        <f t="shared" si="7"/>
        <v>361775</v>
      </c>
      <c r="F34" s="23">
        <f t="shared" si="7"/>
        <v>348252</v>
      </c>
      <c r="G34" s="23">
        <f t="shared" si="7"/>
        <v>335746</v>
      </c>
      <c r="H34" s="23">
        <f t="shared" si="7"/>
        <v>292056</v>
      </c>
      <c r="I34" s="23">
        <f t="shared" si="7"/>
        <v>277083</v>
      </c>
      <c r="J34" s="23">
        <f t="shared" si="7"/>
        <v>258589</v>
      </c>
      <c r="K34" s="23">
        <f t="shared" si="7"/>
        <v>227238</v>
      </c>
      <c r="L34" s="23">
        <f t="shared" si="7"/>
        <v>218681</v>
      </c>
      <c r="M34" s="23">
        <f t="shared" si="7"/>
        <v>205443</v>
      </c>
      <c r="N34" s="23">
        <f t="shared" si="7"/>
        <v>171941</v>
      </c>
      <c r="O34" s="23">
        <f t="shared" si="7"/>
        <v>163597</v>
      </c>
      <c r="P34" s="23">
        <f t="shared" si="7"/>
        <v>150196</v>
      </c>
      <c r="Q34" s="23">
        <f t="shared" si="7"/>
        <v>140840</v>
      </c>
      <c r="R34" s="23">
        <f t="shared" si="7"/>
        <v>157419</v>
      </c>
      <c r="S34" s="23">
        <f t="shared" si="7"/>
        <v>166157</v>
      </c>
      <c r="T34" s="23">
        <f t="shared" si="7"/>
        <v>149117</v>
      </c>
      <c r="U34" s="23">
        <f t="shared" si="7"/>
        <v>164320</v>
      </c>
      <c r="V34" s="23">
        <f t="shared" si="7"/>
        <v>154319</v>
      </c>
    </row>
    <row r="36" spans="1:22" ht="9.75">
      <c r="A36" s="8" t="s">
        <v>99</v>
      </c>
      <c r="B36" s="8">
        <v>2.16</v>
      </c>
      <c r="C36" s="8">
        <v>2.55</v>
      </c>
      <c r="D36" s="28">
        <v>3</v>
      </c>
      <c r="E36" s="8">
        <v>2.06</v>
      </c>
      <c r="F36" s="8">
        <v>2.51</v>
      </c>
      <c r="G36" s="8">
        <v>2.99</v>
      </c>
      <c r="H36" s="8">
        <v>1.9</v>
      </c>
      <c r="I36" s="8">
        <v>2.25</v>
      </c>
      <c r="J36" s="8">
        <v>2.38</v>
      </c>
      <c r="K36" s="8">
        <v>1.72</v>
      </c>
      <c r="L36" s="8">
        <v>2.13</v>
      </c>
      <c r="M36" s="8">
        <v>2.32</v>
      </c>
      <c r="N36" s="8">
        <v>1.6</v>
      </c>
      <c r="O36" s="8">
        <v>1.95</v>
      </c>
      <c r="P36" s="8">
        <v>2.08</v>
      </c>
      <c r="Q36" s="8">
        <v>2.36</v>
      </c>
      <c r="R36" s="8">
        <v>3.69</v>
      </c>
      <c r="S36" s="8">
        <v>4.65</v>
      </c>
      <c r="T36" s="8">
        <v>4.56</v>
      </c>
      <c r="U36" s="8">
        <v>5.76</v>
      </c>
      <c r="V36" s="8">
        <v>17.74</v>
      </c>
    </row>
    <row r="37" spans="1:15" ht="9.75">
      <c r="A37" s="8" t="s">
        <v>98</v>
      </c>
      <c r="B37" s="8">
        <v>2.76</v>
      </c>
      <c r="C37" s="8">
        <v>2.59</v>
      </c>
      <c r="D37" s="8">
        <v>2.16</v>
      </c>
      <c r="E37" s="8">
        <v>2.24</v>
      </c>
      <c r="F37" s="8">
        <v>1.81</v>
      </c>
      <c r="G37" s="8">
        <v>1.45</v>
      </c>
      <c r="H37" s="8">
        <v>1.44</v>
      </c>
      <c r="I37" s="8">
        <v>1.09</v>
      </c>
      <c r="J37" s="8">
        <v>0.82</v>
      </c>
      <c r="K37" s="8">
        <v>0.68</v>
      </c>
      <c r="L37" s="8">
        <v>0.46</v>
      </c>
      <c r="M37" s="8">
        <v>0.29</v>
      </c>
      <c r="N37" s="8">
        <v>0.16</v>
      </c>
      <c r="O37" s="8">
        <v>0.03</v>
      </c>
    </row>
    <row r="38" spans="1:22" s="22" customFormat="1" ht="9.75">
      <c r="A38" s="22" t="s">
        <v>97</v>
      </c>
      <c r="B38" s="22">
        <v>2.93</v>
      </c>
      <c r="C38" s="22">
        <v>2.76</v>
      </c>
      <c r="D38" s="22">
        <v>2.31</v>
      </c>
      <c r="E38" s="22">
        <v>2.43</v>
      </c>
      <c r="F38" s="22">
        <v>1.97</v>
      </c>
      <c r="G38" s="22">
        <v>1.6</v>
      </c>
      <c r="H38" s="22">
        <v>1.62</v>
      </c>
      <c r="I38" s="22">
        <v>1.26</v>
      </c>
      <c r="J38" s="22">
        <v>0.99</v>
      </c>
      <c r="K38" s="22">
        <v>0.86</v>
      </c>
      <c r="L38" s="22">
        <v>0.62</v>
      </c>
      <c r="M38" s="22">
        <v>0.45</v>
      </c>
      <c r="N38" s="22">
        <v>0.34</v>
      </c>
      <c r="O38" s="22">
        <v>0.2</v>
      </c>
      <c r="P38" s="22">
        <v>0.19</v>
      </c>
      <c r="Q38" s="22">
        <v>0.21</v>
      </c>
      <c r="R38" s="22">
        <v>0.19</v>
      </c>
      <c r="S38" s="22">
        <v>0.18</v>
      </c>
      <c r="T38" s="22">
        <v>0.21</v>
      </c>
      <c r="U38" s="22">
        <v>0.19</v>
      </c>
      <c r="V38" s="22">
        <v>0.06</v>
      </c>
    </row>
    <row r="39" spans="1:2" ht="9.75">
      <c r="A39" s="8" t="s">
        <v>100</v>
      </c>
      <c r="B39" s="8">
        <v>1.35</v>
      </c>
    </row>
    <row r="40" spans="1:2" ht="9.75">
      <c r="A40" s="8" t="s">
        <v>101</v>
      </c>
      <c r="B40" s="8">
        <v>1.51</v>
      </c>
    </row>
    <row r="43" spans="2:22" ht="9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5" spans="1:23" ht="9.75">
      <c r="A45" s="8" t="s">
        <v>124</v>
      </c>
      <c r="B45" s="14">
        <f>B9</f>
        <v>33403</v>
      </c>
      <c r="C45" s="14">
        <f>C9-B9</f>
        <v>241</v>
      </c>
      <c r="D45" s="14">
        <f aca="true" t="shared" si="8" ref="D45:V45">D9-C9</f>
        <v>45</v>
      </c>
      <c r="E45" s="14">
        <f t="shared" si="8"/>
        <v>-733</v>
      </c>
      <c r="F45" s="14">
        <f t="shared" si="8"/>
        <v>-894</v>
      </c>
      <c r="G45" s="14">
        <f t="shared" si="8"/>
        <v>203</v>
      </c>
      <c r="H45" s="14">
        <f t="shared" si="8"/>
        <v>-203</v>
      </c>
      <c r="I45" s="14">
        <f t="shared" si="8"/>
        <v>-618</v>
      </c>
      <c r="J45" s="14">
        <f t="shared" si="8"/>
        <v>-468</v>
      </c>
      <c r="K45" s="14">
        <f t="shared" si="8"/>
        <v>-343</v>
      </c>
      <c r="L45" s="14">
        <f t="shared" si="8"/>
        <v>-314</v>
      </c>
      <c r="M45" s="14">
        <f t="shared" si="8"/>
        <v>-207</v>
      </c>
      <c r="N45" s="14">
        <f t="shared" si="8"/>
        <v>-96</v>
      </c>
      <c r="O45" s="14">
        <f t="shared" si="8"/>
        <v>-89</v>
      </c>
      <c r="P45" s="14">
        <f t="shared" si="8"/>
        <v>11</v>
      </c>
      <c r="Q45" s="14">
        <f t="shared" si="8"/>
        <v>99</v>
      </c>
      <c r="R45" s="14">
        <f t="shared" si="8"/>
        <v>95</v>
      </c>
      <c r="S45" s="14">
        <f t="shared" si="8"/>
        <v>261</v>
      </c>
      <c r="T45" s="14">
        <f t="shared" si="8"/>
        <v>504</v>
      </c>
      <c r="U45" s="14">
        <f t="shared" si="8"/>
        <v>315</v>
      </c>
      <c r="V45" s="14">
        <f t="shared" si="8"/>
        <v>-20788</v>
      </c>
      <c r="W45" s="14">
        <f>W9-V9</f>
        <v>-10424</v>
      </c>
    </row>
    <row r="46" spans="1:23" ht="9.75">
      <c r="A46" s="8" t="s">
        <v>125</v>
      </c>
      <c r="B46" s="14">
        <f>SUM(B26:B27)</f>
        <v>18538</v>
      </c>
      <c r="C46" s="14">
        <f>SUM(C26:C27)-SUM(B26:B27)</f>
        <v>204</v>
      </c>
      <c r="D46" s="14">
        <f aca="true" t="shared" si="9" ref="D46:W46">SUM(D26:D27)-SUM(C26:C27)</f>
        <v>210</v>
      </c>
      <c r="E46" s="14">
        <f t="shared" si="9"/>
        <v>228</v>
      </c>
      <c r="F46" s="14">
        <f t="shared" si="9"/>
        <v>328</v>
      </c>
      <c r="G46" s="14">
        <f t="shared" si="9"/>
        <v>369</v>
      </c>
      <c r="H46" s="14">
        <f t="shared" si="9"/>
        <v>415</v>
      </c>
      <c r="I46" s="14">
        <f t="shared" si="9"/>
        <v>410</v>
      </c>
      <c r="J46" s="14">
        <f t="shared" si="9"/>
        <v>411</v>
      </c>
      <c r="K46" s="14">
        <f t="shared" si="9"/>
        <v>443</v>
      </c>
      <c r="L46" s="14">
        <f t="shared" si="9"/>
        <v>430</v>
      </c>
      <c r="M46" s="14">
        <f t="shared" si="9"/>
        <v>414</v>
      </c>
      <c r="N46" s="14">
        <f t="shared" si="9"/>
        <v>453</v>
      </c>
      <c r="O46" s="14">
        <f t="shared" si="9"/>
        <v>457</v>
      </c>
      <c r="P46" s="14">
        <f t="shared" si="9"/>
        <v>464</v>
      </c>
      <c r="Q46" s="14">
        <f t="shared" si="9"/>
        <v>492</v>
      </c>
      <c r="R46" s="14">
        <f t="shared" si="9"/>
        <v>469</v>
      </c>
      <c r="S46" s="14">
        <f t="shared" si="9"/>
        <v>486</v>
      </c>
      <c r="T46" s="14">
        <f t="shared" si="9"/>
        <v>507</v>
      </c>
      <c r="U46" s="14">
        <f t="shared" si="9"/>
        <v>298</v>
      </c>
      <c r="V46" s="14">
        <f t="shared" si="9"/>
        <v>-17330</v>
      </c>
      <c r="W46" s="14">
        <f t="shared" si="9"/>
        <v>-8696</v>
      </c>
    </row>
    <row r="47" spans="1:23" ht="9.75">
      <c r="A47" s="8" t="s">
        <v>126</v>
      </c>
      <c r="B47" s="8">
        <f>B14+B16</f>
        <v>0</v>
      </c>
      <c r="C47" s="14">
        <f>C14-B14+C16-B16</f>
        <v>7567</v>
      </c>
      <c r="D47" s="14">
        <f aca="true" t="shared" si="10" ref="D47:W47">D14-C14+D16-C16</f>
        <v>9102</v>
      </c>
      <c r="E47" s="14">
        <f t="shared" si="10"/>
        <v>-16669</v>
      </c>
      <c r="F47" s="14">
        <f t="shared" si="10"/>
        <v>10312</v>
      </c>
      <c r="G47" s="14">
        <f t="shared" si="10"/>
        <v>10233</v>
      </c>
      <c r="H47" s="14">
        <f t="shared" si="10"/>
        <v>-20545</v>
      </c>
      <c r="I47" s="14">
        <f t="shared" si="10"/>
        <v>8587</v>
      </c>
      <c r="J47" s="14">
        <f t="shared" si="10"/>
        <v>4139</v>
      </c>
      <c r="K47" s="14">
        <f t="shared" si="10"/>
        <v>-12726</v>
      </c>
      <c r="L47" s="14">
        <f t="shared" si="10"/>
        <v>10039</v>
      </c>
      <c r="M47" s="14">
        <f t="shared" si="10"/>
        <v>5252</v>
      </c>
      <c r="N47" s="14">
        <f t="shared" si="10"/>
        <v>-15291</v>
      </c>
      <c r="O47" s="14">
        <f t="shared" si="10"/>
        <v>9027</v>
      </c>
      <c r="P47" s="14">
        <f t="shared" si="10"/>
        <v>3871</v>
      </c>
      <c r="Q47" s="14">
        <f t="shared" si="10"/>
        <v>-8643</v>
      </c>
      <c r="R47" s="14">
        <f t="shared" si="10"/>
        <v>16484</v>
      </c>
      <c r="S47" s="14">
        <f t="shared" si="10"/>
        <v>8478</v>
      </c>
      <c r="T47" s="14">
        <f t="shared" si="10"/>
        <v>-17545</v>
      </c>
      <c r="U47" s="14">
        <f t="shared" si="10"/>
        <v>14888</v>
      </c>
      <c r="V47" s="14">
        <f t="shared" si="10"/>
        <v>10787</v>
      </c>
      <c r="W47" s="14">
        <f t="shared" si="10"/>
        <v>-37347</v>
      </c>
    </row>
    <row r="48" spans="1:23" ht="9.75">
      <c r="A48" s="8" t="s">
        <v>127</v>
      </c>
      <c r="B48" s="14">
        <f>B45-B46+B47</f>
        <v>14865</v>
      </c>
      <c r="C48" s="14">
        <f aca="true" t="shared" si="11" ref="C48:W48">C45-C46+C47</f>
        <v>7604</v>
      </c>
      <c r="D48" s="14">
        <f t="shared" si="11"/>
        <v>8937</v>
      </c>
      <c r="E48" s="14">
        <f t="shared" si="11"/>
        <v>-17630</v>
      </c>
      <c r="F48" s="14">
        <f t="shared" si="11"/>
        <v>9090</v>
      </c>
      <c r="G48" s="14">
        <f t="shared" si="11"/>
        <v>10067</v>
      </c>
      <c r="H48" s="14">
        <f t="shared" si="11"/>
        <v>-21163</v>
      </c>
      <c r="I48" s="14">
        <f t="shared" si="11"/>
        <v>7559</v>
      </c>
      <c r="J48" s="14">
        <f t="shared" si="11"/>
        <v>3260</v>
      </c>
      <c r="K48" s="14">
        <f t="shared" si="11"/>
        <v>-13512</v>
      </c>
      <c r="L48" s="14">
        <f t="shared" si="11"/>
        <v>9295</v>
      </c>
      <c r="M48" s="14">
        <f t="shared" si="11"/>
        <v>4631</v>
      </c>
      <c r="N48" s="14">
        <f t="shared" si="11"/>
        <v>-15840</v>
      </c>
      <c r="O48" s="14">
        <f t="shared" si="11"/>
        <v>8481</v>
      </c>
      <c r="P48" s="14">
        <f t="shared" si="11"/>
        <v>3418</v>
      </c>
      <c r="Q48" s="14">
        <f t="shared" si="11"/>
        <v>-9036</v>
      </c>
      <c r="R48" s="14">
        <f t="shared" si="11"/>
        <v>16110</v>
      </c>
      <c r="S48" s="14">
        <f t="shared" si="11"/>
        <v>8253</v>
      </c>
      <c r="T48" s="14">
        <f t="shared" si="11"/>
        <v>-17548</v>
      </c>
      <c r="U48" s="14">
        <f t="shared" si="11"/>
        <v>14905</v>
      </c>
      <c r="V48" s="14">
        <f t="shared" si="11"/>
        <v>7329</v>
      </c>
      <c r="W48" s="14">
        <f t="shared" si="11"/>
        <v>-39075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1" sqref="A21"/>
    </sheetView>
  </sheetViews>
  <sheetFormatPr defaultColWidth="9.140625" defaultRowHeight="12.75"/>
  <cols>
    <col min="1" max="1" width="26.7109375" style="1" bestFit="1" customWidth="1"/>
    <col min="2" max="22" width="7.57421875" style="2" customWidth="1"/>
    <col min="23" max="16384" width="9.140625" style="1" customWidth="1"/>
  </cols>
  <sheetData>
    <row r="1" spans="1:22" ht="9.75">
      <c r="A1" s="1" t="s">
        <v>1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</row>
    <row r="2" spans="1:22" ht="9.75">
      <c r="A2" s="1" t="s">
        <v>0</v>
      </c>
      <c r="B2" s="1"/>
      <c r="C2" s="1">
        <v>2005</v>
      </c>
      <c r="D2" s="1">
        <v>2006</v>
      </c>
      <c r="E2" s="1">
        <v>2007</v>
      </c>
      <c r="F2" s="1">
        <v>2008</v>
      </c>
      <c r="G2" s="1">
        <v>2009</v>
      </c>
      <c r="H2" s="1">
        <v>2010</v>
      </c>
      <c r="I2" s="1">
        <v>2011</v>
      </c>
      <c r="J2" s="1">
        <v>2012</v>
      </c>
      <c r="K2" s="1">
        <v>2013</v>
      </c>
      <c r="L2" s="1">
        <v>2014</v>
      </c>
      <c r="M2" s="1">
        <v>2015</v>
      </c>
      <c r="N2" s="1">
        <v>2016</v>
      </c>
      <c r="O2" s="1">
        <v>2017</v>
      </c>
      <c r="P2" s="1">
        <v>2018</v>
      </c>
      <c r="Q2" s="1">
        <v>2019</v>
      </c>
      <c r="R2" s="1">
        <v>2020</v>
      </c>
      <c r="S2" s="1">
        <v>2021</v>
      </c>
      <c r="T2" s="1">
        <v>2022</v>
      </c>
      <c r="U2" s="1">
        <v>2023</v>
      </c>
      <c r="V2" s="1">
        <v>2024</v>
      </c>
    </row>
    <row r="3" spans="1:22" ht="9.75">
      <c r="A3" s="1" t="s">
        <v>2</v>
      </c>
      <c r="B3" s="2">
        <v>33403</v>
      </c>
      <c r="C3" s="2">
        <v>200779</v>
      </c>
      <c r="D3" s="2">
        <v>202477</v>
      </c>
      <c r="E3" s="2">
        <v>200865</v>
      </c>
      <c r="F3" s="2">
        <v>194827</v>
      </c>
      <c r="G3" s="2">
        <v>191448</v>
      </c>
      <c r="H3" s="2">
        <v>194357</v>
      </c>
      <c r="I3" s="2">
        <v>190455</v>
      </c>
      <c r="J3" s="2">
        <v>187069</v>
      </c>
      <c r="K3" s="2">
        <v>184734</v>
      </c>
      <c r="L3" s="2">
        <v>182861</v>
      </c>
      <c r="M3" s="2">
        <v>181126</v>
      </c>
      <c r="N3" s="2">
        <v>180299</v>
      </c>
      <c r="O3" s="2">
        <v>179859</v>
      </c>
      <c r="P3" s="2">
        <v>179430</v>
      </c>
      <c r="Q3" s="2">
        <v>179873</v>
      </c>
      <c r="R3" s="2">
        <v>180538</v>
      </c>
      <c r="S3" s="2">
        <v>181312</v>
      </c>
      <c r="T3" s="2">
        <v>183634</v>
      </c>
      <c r="U3" s="2">
        <v>186731</v>
      </c>
      <c r="V3" s="2">
        <v>156359</v>
      </c>
    </row>
    <row r="4" ht="9.75">
      <c r="A4" s="1" t="s">
        <v>3</v>
      </c>
    </row>
    <row r="5" spans="1:22" ht="9.75">
      <c r="A5" s="3" t="s">
        <v>4</v>
      </c>
      <c r="B5" s="2">
        <v>968</v>
      </c>
      <c r="C5" s="2">
        <v>5829</v>
      </c>
      <c r="D5" s="2">
        <v>5927</v>
      </c>
      <c r="E5" s="2">
        <v>5738</v>
      </c>
      <c r="F5" s="2">
        <v>5409</v>
      </c>
      <c r="G5" s="2">
        <v>5544</v>
      </c>
      <c r="H5" s="2">
        <v>5682</v>
      </c>
      <c r="I5" s="2">
        <v>5819</v>
      </c>
      <c r="J5" s="2">
        <v>5966</v>
      </c>
      <c r="K5" s="2">
        <v>6119</v>
      </c>
      <c r="L5" s="2">
        <v>6267</v>
      </c>
      <c r="M5" s="2">
        <v>6425</v>
      </c>
      <c r="N5" s="2">
        <v>6589</v>
      </c>
      <c r="O5" s="2">
        <v>6749</v>
      </c>
      <c r="P5" s="2">
        <v>6919</v>
      </c>
      <c r="Q5" s="2">
        <v>7096</v>
      </c>
      <c r="R5" s="2">
        <v>7268</v>
      </c>
      <c r="S5" s="2">
        <v>7451</v>
      </c>
      <c r="T5" s="2">
        <v>7641</v>
      </c>
      <c r="U5" s="2">
        <v>7921</v>
      </c>
      <c r="V5" s="2">
        <v>7130</v>
      </c>
    </row>
    <row r="6" spans="1:22" ht="9.75">
      <c r="A6" s="3" t="s">
        <v>7</v>
      </c>
      <c r="C6" s="2">
        <v>4535</v>
      </c>
      <c r="D6" s="2">
        <v>3000</v>
      </c>
      <c r="E6" s="2">
        <v>28771</v>
      </c>
      <c r="F6" s="2">
        <v>3152</v>
      </c>
      <c r="G6" s="2">
        <v>3231</v>
      </c>
      <c r="H6" s="2">
        <v>34009</v>
      </c>
      <c r="I6" s="2">
        <v>454</v>
      </c>
      <c r="J6" s="2">
        <v>4900</v>
      </c>
      <c r="K6" s="2">
        <v>21767</v>
      </c>
      <c r="L6" s="2">
        <v>489</v>
      </c>
      <c r="M6" s="2">
        <v>5277</v>
      </c>
      <c r="N6" s="2">
        <v>25819</v>
      </c>
      <c r="O6" s="2">
        <v>527</v>
      </c>
      <c r="P6" s="2">
        <v>5683</v>
      </c>
      <c r="Q6" s="2">
        <v>22451</v>
      </c>
      <c r="R6" s="2">
        <v>567</v>
      </c>
      <c r="S6" s="2">
        <v>6120</v>
      </c>
      <c r="T6" s="2">
        <v>31807</v>
      </c>
      <c r="U6" s="2">
        <v>611</v>
      </c>
      <c r="V6" s="2">
        <v>6469</v>
      </c>
    </row>
    <row r="7" spans="1:22" ht="9.75">
      <c r="A7" s="3" t="s">
        <v>5</v>
      </c>
      <c r="B7" s="2">
        <v>17570</v>
      </c>
      <c r="C7" s="2">
        <v>105703</v>
      </c>
      <c r="D7" s="2">
        <v>107298</v>
      </c>
      <c r="E7" s="2">
        <v>108556</v>
      </c>
      <c r="F7" s="2">
        <v>110555</v>
      </c>
      <c r="G7" s="2">
        <v>112594</v>
      </c>
      <c r="H7" s="2">
        <v>114759</v>
      </c>
      <c r="I7" s="2">
        <v>117208</v>
      </c>
      <c r="J7" s="2">
        <v>119458</v>
      </c>
      <c r="K7" s="2">
        <v>121852</v>
      </c>
      <c r="L7" s="2">
        <v>124396</v>
      </c>
      <c r="M7" s="2">
        <v>126739</v>
      </c>
      <c r="N7" s="2">
        <v>129109</v>
      </c>
      <c r="O7" s="2">
        <v>131769</v>
      </c>
      <c r="P7" s="2">
        <v>134307</v>
      </c>
      <c r="Q7" s="4">
        <v>136996</v>
      </c>
      <c r="R7" s="2">
        <v>139784</v>
      </c>
      <c r="S7" s="2">
        <v>142368</v>
      </c>
      <c r="T7" s="2">
        <v>145200</v>
      </c>
      <c r="U7" s="2">
        <v>147657</v>
      </c>
      <c r="V7" s="2">
        <v>123322</v>
      </c>
    </row>
    <row r="8" spans="1:22" ht="9.75">
      <c r="A8" s="1" t="s">
        <v>6</v>
      </c>
      <c r="B8" s="2">
        <f>B7+B6+B5</f>
        <v>18538</v>
      </c>
      <c r="C8" s="2">
        <f aca="true" t="shared" si="0" ref="C8:V8">C7+C6+C5</f>
        <v>116067</v>
      </c>
      <c r="D8" s="2">
        <f t="shared" si="0"/>
        <v>116225</v>
      </c>
      <c r="E8" s="2">
        <f t="shared" si="0"/>
        <v>143065</v>
      </c>
      <c r="F8" s="2">
        <f t="shared" si="0"/>
        <v>119116</v>
      </c>
      <c r="G8" s="2">
        <f t="shared" si="0"/>
        <v>121369</v>
      </c>
      <c r="H8" s="2">
        <f t="shared" si="0"/>
        <v>154450</v>
      </c>
      <c r="I8" s="2">
        <f t="shared" si="0"/>
        <v>123481</v>
      </c>
      <c r="J8" s="2">
        <f t="shared" si="0"/>
        <v>130324</v>
      </c>
      <c r="K8" s="2">
        <f t="shared" si="0"/>
        <v>149738</v>
      </c>
      <c r="L8" s="2">
        <f t="shared" si="0"/>
        <v>131152</v>
      </c>
      <c r="M8" s="2">
        <f t="shared" si="0"/>
        <v>138441</v>
      </c>
      <c r="N8" s="2">
        <f t="shared" si="0"/>
        <v>161517</v>
      </c>
      <c r="O8" s="2">
        <f t="shared" si="0"/>
        <v>139045</v>
      </c>
      <c r="P8" s="2">
        <f t="shared" si="0"/>
        <v>146909</v>
      </c>
      <c r="Q8" s="2">
        <f t="shared" si="0"/>
        <v>166543</v>
      </c>
      <c r="R8" s="2">
        <f t="shared" si="0"/>
        <v>147619</v>
      </c>
      <c r="S8" s="2">
        <f t="shared" si="0"/>
        <v>155939</v>
      </c>
      <c r="T8" s="2">
        <f t="shared" si="0"/>
        <v>184648</v>
      </c>
      <c r="U8" s="2">
        <f t="shared" si="0"/>
        <v>156189</v>
      </c>
      <c r="V8" s="2">
        <f t="shared" si="0"/>
        <v>136921</v>
      </c>
    </row>
    <row r="9" spans="1:22" ht="9.75">
      <c r="A9" s="1" t="s">
        <v>8</v>
      </c>
      <c r="C9" s="2">
        <v>693</v>
      </c>
      <c r="D9" s="2">
        <v>454</v>
      </c>
      <c r="E9" s="2">
        <v>443</v>
      </c>
      <c r="F9" s="2">
        <v>433</v>
      </c>
      <c r="G9" s="2">
        <v>417</v>
      </c>
      <c r="H9" s="2">
        <v>416</v>
      </c>
      <c r="I9" s="2">
        <v>403</v>
      </c>
      <c r="J9" s="2">
        <v>387</v>
      </c>
      <c r="K9" s="2">
        <v>357</v>
      </c>
      <c r="L9" s="2">
        <v>341</v>
      </c>
      <c r="M9" s="2">
        <v>326</v>
      </c>
      <c r="N9" s="2">
        <v>315</v>
      </c>
      <c r="O9" s="2">
        <v>269</v>
      </c>
      <c r="P9" s="2">
        <v>213</v>
      </c>
      <c r="Q9" s="2">
        <v>200</v>
      </c>
      <c r="R9" s="2">
        <v>200</v>
      </c>
      <c r="S9" s="2">
        <v>200</v>
      </c>
      <c r="T9" s="2">
        <v>200</v>
      </c>
      <c r="U9" s="2">
        <v>200</v>
      </c>
      <c r="V9" s="2">
        <v>200</v>
      </c>
    </row>
    <row r="10" spans="1:22" ht="9.75">
      <c r="A10" s="1" t="s">
        <v>9</v>
      </c>
      <c r="B10" s="2">
        <f>B3-B8-B9</f>
        <v>14865</v>
      </c>
      <c r="C10" s="2">
        <f aca="true" t="shared" si="1" ref="C10:V10">C3-C8-C9</f>
        <v>84019</v>
      </c>
      <c r="D10" s="2">
        <f t="shared" si="1"/>
        <v>85798</v>
      </c>
      <c r="E10" s="2">
        <f t="shared" si="1"/>
        <v>57357</v>
      </c>
      <c r="F10" s="2">
        <f t="shared" si="1"/>
        <v>75278</v>
      </c>
      <c r="G10" s="2">
        <f t="shared" si="1"/>
        <v>69662</v>
      </c>
      <c r="H10" s="2">
        <f t="shared" si="1"/>
        <v>39491</v>
      </c>
      <c r="I10" s="2">
        <f t="shared" si="1"/>
        <v>66571</v>
      </c>
      <c r="J10" s="2">
        <f t="shared" si="1"/>
        <v>56358</v>
      </c>
      <c r="K10" s="2">
        <f t="shared" si="1"/>
        <v>34639</v>
      </c>
      <c r="L10" s="2">
        <f t="shared" si="1"/>
        <v>51368</v>
      </c>
      <c r="M10" s="2">
        <f t="shared" si="1"/>
        <v>42359</v>
      </c>
      <c r="N10" s="2">
        <f t="shared" si="1"/>
        <v>18467</v>
      </c>
      <c r="O10" s="2">
        <f t="shared" si="1"/>
        <v>40545</v>
      </c>
      <c r="P10" s="2">
        <f t="shared" si="1"/>
        <v>32308</v>
      </c>
      <c r="Q10" s="2">
        <f t="shared" si="1"/>
        <v>13130</v>
      </c>
      <c r="R10" s="2">
        <f t="shared" si="1"/>
        <v>32719</v>
      </c>
      <c r="S10" s="2">
        <f t="shared" si="1"/>
        <v>25173</v>
      </c>
      <c r="T10" s="2">
        <f t="shared" si="1"/>
        <v>-1214</v>
      </c>
      <c r="U10" s="2">
        <f t="shared" si="1"/>
        <v>30342</v>
      </c>
      <c r="V10" s="2">
        <f t="shared" si="1"/>
        <v>19238</v>
      </c>
    </row>
    <row r="11" spans="1:22" ht="9.75">
      <c r="A11" s="1" t="s">
        <v>10</v>
      </c>
      <c r="B11" s="2">
        <v>3824</v>
      </c>
      <c r="C11" s="2">
        <v>22942</v>
      </c>
      <c r="D11" s="2">
        <v>22942</v>
      </c>
      <c r="E11" s="2">
        <v>22942</v>
      </c>
      <c r="F11" s="2">
        <v>22942</v>
      </c>
      <c r="G11" s="2">
        <v>22942</v>
      </c>
      <c r="H11" s="2">
        <v>22942</v>
      </c>
      <c r="I11" s="2">
        <v>22942</v>
      </c>
      <c r="J11" s="2">
        <v>22165</v>
      </c>
      <c r="K11" s="2">
        <v>18282</v>
      </c>
      <c r="L11" s="2">
        <v>18282</v>
      </c>
      <c r="M11" s="2">
        <v>18282</v>
      </c>
      <c r="N11" s="2">
        <v>18116</v>
      </c>
      <c r="O11" s="2">
        <v>17282</v>
      </c>
      <c r="P11" s="2">
        <v>17282</v>
      </c>
      <c r="Q11" s="2">
        <v>17282</v>
      </c>
      <c r="R11" s="2">
        <v>17282</v>
      </c>
      <c r="S11" s="2">
        <v>17282</v>
      </c>
      <c r="T11" s="2">
        <v>17282</v>
      </c>
      <c r="U11" s="2">
        <v>17282</v>
      </c>
      <c r="V11" s="2">
        <v>14402</v>
      </c>
    </row>
    <row r="12" spans="1:22" ht="9.75">
      <c r="A12" s="1" t="s">
        <v>11</v>
      </c>
      <c r="B12" s="2">
        <f>B10-B11</f>
        <v>11041</v>
      </c>
      <c r="C12" s="2">
        <f aca="true" t="shared" si="2" ref="C12:V12">C10-C11</f>
        <v>61077</v>
      </c>
      <c r="D12" s="2">
        <f t="shared" si="2"/>
        <v>62856</v>
      </c>
      <c r="E12" s="2">
        <f t="shared" si="2"/>
        <v>34415</v>
      </c>
      <c r="F12" s="2">
        <f t="shared" si="2"/>
        <v>52336</v>
      </c>
      <c r="G12" s="2">
        <f t="shared" si="2"/>
        <v>46720</v>
      </c>
      <c r="H12" s="2">
        <f t="shared" si="2"/>
        <v>16549</v>
      </c>
      <c r="I12" s="2">
        <f t="shared" si="2"/>
        <v>43629</v>
      </c>
      <c r="J12" s="2">
        <f t="shared" si="2"/>
        <v>34193</v>
      </c>
      <c r="K12" s="2">
        <f t="shared" si="2"/>
        <v>16357</v>
      </c>
      <c r="L12" s="2">
        <f t="shared" si="2"/>
        <v>33086</v>
      </c>
      <c r="M12" s="2">
        <f t="shared" si="2"/>
        <v>24077</v>
      </c>
      <c r="N12" s="2">
        <f t="shared" si="2"/>
        <v>351</v>
      </c>
      <c r="O12" s="2">
        <f t="shared" si="2"/>
        <v>23263</v>
      </c>
      <c r="P12" s="2">
        <f t="shared" si="2"/>
        <v>15026</v>
      </c>
      <c r="Q12" s="2">
        <f t="shared" si="2"/>
        <v>-4152</v>
      </c>
      <c r="R12" s="2">
        <f t="shared" si="2"/>
        <v>15437</v>
      </c>
      <c r="S12" s="2">
        <f t="shared" si="2"/>
        <v>7891</v>
      </c>
      <c r="T12" s="2">
        <f t="shared" si="2"/>
        <v>-18496</v>
      </c>
      <c r="U12" s="2">
        <f t="shared" si="2"/>
        <v>13060</v>
      </c>
      <c r="V12" s="2">
        <f t="shared" si="2"/>
        <v>4836</v>
      </c>
    </row>
    <row r="13" spans="1:22" ht="9.75">
      <c r="A13" s="1" t="s">
        <v>12</v>
      </c>
      <c r="C13" s="2">
        <v>299</v>
      </c>
      <c r="D13" s="2">
        <v>242</v>
      </c>
      <c r="E13" s="2">
        <v>424</v>
      </c>
      <c r="F13" s="2">
        <v>101</v>
      </c>
      <c r="G13" s="2">
        <v>307</v>
      </c>
      <c r="H13" s="2">
        <v>512</v>
      </c>
      <c r="I13" s="2">
        <v>68</v>
      </c>
      <c r="J13" s="2">
        <v>240</v>
      </c>
      <c r="K13" s="2">
        <v>122</v>
      </c>
      <c r="L13" s="2">
        <v>79</v>
      </c>
      <c r="M13" s="2">
        <v>280</v>
      </c>
      <c r="N13" s="2">
        <v>385</v>
      </c>
      <c r="O13" s="2">
        <v>72</v>
      </c>
      <c r="P13" s="2">
        <v>252</v>
      </c>
      <c r="Q13" s="2">
        <v>457</v>
      </c>
      <c r="R13" s="2">
        <v>673</v>
      </c>
      <c r="S13" s="2">
        <v>1328</v>
      </c>
      <c r="T13" s="4">
        <v>1840</v>
      </c>
      <c r="U13" s="2">
        <v>1844</v>
      </c>
      <c r="V13" s="2">
        <v>2493</v>
      </c>
    </row>
    <row r="14" spans="1:16" ht="9.75">
      <c r="A14" s="1" t="s">
        <v>13</v>
      </c>
      <c r="C14" s="2">
        <v>33488</v>
      </c>
      <c r="D14" s="2">
        <v>26616</v>
      </c>
      <c r="E14" s="2">
        <v>24231</v>
      </c>
      <c r="F14" s="2">
        <v>21807</v>
      </c>
      <c r="G14" s="2">
        <v>19373</v>
      </c>
      <c r="H14" s="2">
        <v>16939</v>
      </c>
      <c r="I14" s="2">
        <v>14366</v>
      </c>
      <c r="J14" s="2">
        <v>11802</v>
      </c>
      <c r="K14" s="2">
        <v>9199</v>
      </c>
      <c r="L14" s="2">
        <v>7231</v>
      </c>
      <c r="M14" s="2">
        <v>5177</v>
      </c>
      <c r="N14" s="2">
        <v>3198</v>
      </c>
      <c r="O14" s="2">
        <v>1234</v>
      </c>
      <c r="P14" s="2">
        <v>87</v>
      </c>
    </row>
    <row r="15" spans="1:22" ht="9.75">
      <c r="A15" s="1" t="s">
        <v>14</v>
      </c>
      <c r="B15" s="2">
        <f>B12+B13-B14</f>
        <v>11041</v>
      </c>
      <c r="C15" s="2">
        <f aca="true" t="shared" si="3" ref="C15:V15">C12+C13-C14</f>
        <v>27888</v>
      </c>
      <c r="D15" s="2">
        <f t="shared" si="3"/>
        <v>36482</v>
      </c>
      <c r="E15" s="2">
        <f t="shared" si="3"/>
        <v>10608</v>
      </c>
      <c r="F15" s="2">
        <f t="shared" si="3"/>
        <v>30630</v>
      </c>
      <c r="G15" s="2">
        <f t="shared" si="3"/>
        <v>27654</v>
      </c>
      <c r="H15" s="2">
        <f t="shared" si="3"/>
        <v>122</v>
      </c>
      <c r="I15" s="2">
        <f t="shared" si="3"/>
        <v>29331</v>
      </c>
      <c r="J15" s="2">
        <f t="shared" si="3"/>
        <v>22631</v>
      </c>
      <c r="K15" s="2">
        <f t="shared" si="3"/>
        <v>7280</v>
      </c>
      <c r="L15" s="2">
        <f t="shared" si="3"/>
        <v>25934</v>
      </c>
      <c r="M15" s="2">
        <f t="shared" si="3"/>
        <v>19180</v>
      </c>
      <c r="N15" s="2">
        <f t="shared" si="3"/>
        <v>-2462</v>
      </c>
      <c r="O15" s="2">
        <f t="shared" si="3"/>
        <v>22101</v>
      </c>
      <c r="P15" s="2">
        <f t="shared" si="3"/>
        <v>15191</v>
      </c>
      <c r="Q15" s="2">
        <f t="shared" si="3"/>
        <v>-3695</v>
      </c>
      <c r="R15" s="2">
        <f t="shared" si="3"/>
        <v>16110</v>
      </c>
      <c r="S15" s="2">
        <f t="shared" si="3"/>
        <v>9219</v>
      </c>
      <c r="T15" s="2">
        <f t="shared" si="3"/>
        <v>-16656</v>
      </c>
      <c r="U15" s="2">
        <f t="shared" si="3"/>
        <v>14904</v>
      </c>
      <c r="V15" s="2">
        <f t="shared" si="3"/>
        <v>7329</v>
      </c>
    </row>
    <row r="16" spans="1:20" ht="9.75">
      <c r="A16" s="1" t="s">
        <v>15</v>
      </c>
      <c r="J16" s="2">
        <v>147</v>
      </c>
      <c r="K16" s="2">
        <v>2212</v>
      </c>
      <c r="L16" s="2">
        <v>1109</v>
      </c>
      <c r="M16" s="2">
        <v>1918</v>
      </c>
      <c r="N16" s="2">
        <v>1760</v>
      </c>
      <c r="O16" s="2">
        <v>204</v>
      </c>
      <c r="P16" s="2">
        <v>1592</v>
      </c>
      <c r="Q16" s="2">
        <v>1357</v>
      </c>
      <c r="S16" s="2">
        <v>968</v>
      </c>
      <c r="T16" s="2">
        <v>891</v>
      </c>
    </row>
    <row r="17" spans="1:22" ht="9.75">
      <c r="A17" s="1" t="s">
        <v>16</v>
      </c>
      <c r="B17" s="2">
        <f>B15-B16</f>
        <v>11041</v>
      </c>
      <c r="C17" s="2">
        <f aca="true" t="shared" si="4" ref="C17:V17">C15-C16</f>
        <v>27888</v>
      </c>
      <c r="D17" s="2">
        <f t="shared" si="4"/>
        <v>36482</v>
      </c>
      <c r="E17" s="2">
        <f t="shared" si="4"/>
        <v>10608</v>
      </c>
      <c r="F17" s="2">
        <f t="shared" si="4"/>
        <v>30630</v>
      </c>
      <c r="G17" s="2">
        <f t="shared" si="4"/>
        <v>27654</v>
      </c>
      <c r="H17" s="2">
        <f t="shared" si="4"/>
        <v>122</v>
      </c>
      <c r="I17" s="2">
        <f t="shared" si="4"/>
        <v>29331</v>
      </c>
      <c r="J17" s="2">
        <f t="shared" si="4"/>
        <v>22484</v>
      </c>
      <c r="K17" s="2">
        <f t="shared" si="4"/>
        <v>5068</v>
      </c>
      <c r="L17" s="2">
        <f t="shared" si="4"/>
        <v>24825</v>
      </c>
      <c r="M17" s="2">
        <f t="shared" si="4"/>
        <v>17262</v>
      </c>
      <c r="N17" s="2">
        <f t="shared" si="4"/>
        <v>-4222</v>
      </c>
      <c r="O17" s="2">
        <f t="shared" si="4"/>
        <v>21897</v>
      </c>
      <c r="P17" s="2">
        <f t="shared" si="4"/>
        <v>13599</v>
      </c>
      <c r="Q17" s="2">
        <f t="shared" si="4"/>
        <v>-5052</v>
      </c>
      <c r="R17" s="2">
        <f t="shared" si="4"/>
        <v>16110</v>
      </c>
      <c r="S17" s="2">
        <f t="shared" si="4"/>
        <v>8251</v>
      </c>
      <c r="T17" s="2">
        <f t="shared" si="4"/>
        <v>-17547</v>
      </c>
      <c r="U17" s="2">
        <f t="shared" si="4"/>
        <v>14904</v>
      </c>
      <c r="V17" s="2">
        <f t="shared" si="4"/>
        <v>7329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selection activeCell="V17" sqref="V17"/>
    </sheetView>
  </sheetViews>
  <sheetFormatPr defaultColWidth="9.140625" defaultRowHeight="12.75"/>
  <cols>
    <col min="1" max="1" width="24.00390625" style="5" customWidth="1"/>
    <col min="2" max="22" width="7.8515625" style="5" customWidth="1"/>
    <col min="23" max="23" width="9.140625" style="8" customWidth="1"/>
    <col min="24" max="16384" width="9.140625" style="5" customWidth="1"/>
  </cols>
  <sheetData>
    <row r="1" ht="9.75">
      <c r="A1" s="5" t="s">
        <v>33</v>
      </c>
    </row>
    <row r="2" spans="9:10" ht="9.75">
      <c r="I2" s="6" t="s">
        <v>34</v>
      </c>
      <c r="J2" s="6"/>
    </row>
    <row r="3" spans="9:10" ht="9.75">
      <c r="I3" s="6" t="s">
        <v>35</v>
      </c>
      <c r="J3" s="6"/>
    </row>
    <row r="4" spans="9:10" ht="9.75">
      <c r="I4" s="6" t="s">
        <v>36</v>
      </c>
      <c r="J4" s="6"/>
    </row>
    <row r="5" spans="1:22" ht="9.75">
      <c r="A5" s="7" t="s">
        <v>37</v>
      </c>
      <c r="B5" s="8">
        <v>0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8">
        <v>16</v>
      </c>
      <c r="S5" s="8">
        <v>17</v>
      </c>
      <c r="T5" s="8">
        <v>18</v>
      </c>
      <c r="U5" s="8">
        <v>19</v>
      </c>
      <c r="V5" s="8">
        <v>20</v>
      </c>
    </row>
    <row r="6" spans="1:22" ht="9.75">
      <c r="A6" s="9" t="s">
        <v>38</v>
      </c>
      <c r="B6" s="10"/>
      <c r="C6" s="10">
        <v>2005</v>
      </c>
      <c r="D6" s="10">
        <v>2006</v>
      </c>
      <c r="E6" s="10">
        <v>2007</v>
      </c>
      <c r="F6" s="10">
        <v>2008</v>
      </c>
      <c r="G6" s="10">
        <v>2009</v>
      </c>
      <c r="H6" s="10">
        <v>2010</v>
      </c>
      <c r="I6" s="10">
        <v>2011</v>
      </c>
      <c r="J6" s="10">
        <v>2012</v>
      </c>
      <c r="K6" s="10">
        <v>2013</v>
      </c>
      <c r="L6" s="10">
        <v>2014</v>
      </c>
      <c r="M6" s="10">
        <v>2015</v>
      </c>
      <c r="N6" s="10">
        <v>2016</v>
      </c>
      <c r="O6" s="10">
        <v>2017</v>
      </c>
      <c r="P6" s="10">
        <v>2018</v>
      </c>
      <c r="Q6" s="10">
        <v>2019</v>
      </c>
      <c r="R6" s="10">
        <v>2020</v>
      </c>
      <c r="S6" s="10">
        <v>2021</v>
      </c>
      <c r="T6" s="10">
        <v>2022</v>
      </c>
      <c r="U6" s="10">
        <v>2023</v>
      </c>
      <c r="V6" s="10">
        <v>2024</v>
      </c>
    </row>
    <row r="7" spans="1:22" ht="9.75">
      <c r="A7" s="31" t="s">
        <v>39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9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9.75">
      <c r="A9" s="7" t="s">
        <v>40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9.75">
      <c r="A10" s="7" t="s">
        <v>41</v>
      </c>
      <c r="B10" s="14">
        <v>33403</v>
      </c>
      <c r="C10" s="14">
        <v>33644</v>
      </c>
      <c r="D10" s="14">
        <v>33689</v>
      </c>
      <c r="E10" s="14">
        <v>32956</v>
      </c>
      <c r="F10" s="14">
        <v>32062</v>
      </c>
      <c r="G10" s="14">
        <v>32265</v>
      </c>
      <c r="H10" s="14">
        <v>32062</v>
      </c>
      <c r="I10" s="14">
        <v>31444</v>
      </c>
      <c r="J10" s="14">
        <v>30976</v>
      </c>
      <c r="K10" s="14">
        <v>30633</v>
      </c>
      <c r="L10" s="14">
        <v>30319</v>
      </c>
      <c r="M10" s="14">
        <v>30112</v>
      </c>
      <c r="N10" s="14">
        <v>30016</v>
      </c>
      <c r="O10" s="14">
        <v>29927</v>
      </c>
      <c r="P10" s="14">
        <v>29938</v>
      </c>
      <c r="Q10" s="14">
        <v>30037</v>
      </c>
      <c r="R10" s="14">
        <v>30132</v>
      </c>
      <c r="S10" s="14">
        <v>30393</v>
      </c>
      <c r="T10" s="14">
        <v>30897</v>
      </c>
      <c r="U10" s="14">
        <v>31212</v>
      </c>
      <c r="V10" s="14">
        <v>10424</v>
      </c>
    </row>
    <row r="11" spans="1:22" ht="9.75">
      <c r="A11" s="7" t="s">
        <v>69</v>
      </c>
      <c r="B11" s="14">
        <v>4900</v>
      </c>
      <c r="C11" s="14">
        <v>4900</v>
      </c>
      <c r="D11" s="14">
        <v>4900</v>
      </c>
      <c r="E11" s="14">
        <v>4900</v>
      </c>
      <c r="F11" s="14">
        <v>4900</v>
      </c>
      <c r="G11" s="14">
        <v>4900</v>
      </c>
      <c r="H11" s="14">
        <v>4900</v>
      </c>
      <c r="I11" s="14">
        <v>4900</v>
      </c>
      <c r="J11" s="14">
        <v>4900</v>
      </c>
      <c r="K11" s="14">
        <v>4900</v>
      </c>
      <c r="L11" s="14">
        <v>4900</v>
      </c>
      <c r="M11" s="14">
        <v>4900</v>
      </c>
      <c r="N11" s="14">
        <v>4900</v>
      </c>
      <c r="O11" s="14">
        <v>4900</v>
      </c>
      <c r="P11" s="14">
        <v>4900</v>
      </c>
      <c r="Q11" s="14">
        <v>4900</v>
      </c>
      <c r="R11" s="14">
        <v>4900</v>
      </c>
      <c r="S11" s="14">
        <v>4900</v>
      </c>
      <c r="T11" s="14">
        <v>4900</v>
      </c>
      <c r="U11" s="14">
        <v>4900</v>
      </c>
      <c r="V11" s="14">
        <v>4900</v>
      </c>
    </row>
    <row r="12" spans="1:22" ht="9.75">
      <c r="A12" s="9" t="s">
        <v>42</v>
      </c>
      <c r="B12" s="15">
        <v>1648</v>
      </c>
      <c r="C12" s="15">
        <v>1648</v>
      </c>
      <c r="D12" s="15">
        <v>1648</v>
      </c>
      <c r="E12" s="15">
        <v>1648</v>
      </c>
      <c r="F12" s="15">
        <v>1648</v>
      </c>
      <c r="G12" s="15">
        <v>1648</v>
      </c>
      <c r="H12" s="15">
        <v>1648</v>
      </c>
      <c r="I12" s="15">
        <v>1648</v>
      </c>
      <c r="J12" s="15">
        <v>1648</v>
      </c>
      <c r="K12" s="15">
        <v>1648</v>
      </c>
      <c r="L12" s="15">
        <v>1648</v>
      </c>
      <c r="M12" s="15">
        <v>1648</v>
      </c>
      <c r="N12" s="15">
        <v>1648</v>
      </c>
      <c r="O12" s="15">
        <v>1648</v>
      </c>
      <c r="P12" s="15">
        <v>1648</v>
      </c>
      <c r="Q12" s="15">
        <v>1648</v>
      </c>
      <c r="R12" s="15">
        <v>1648</v>
      </c>
      <c r="S12" s="15">
        <v>1648</v>
      </c>
      <c r="T12" s="15">
        <v>1648</v>
      </c>
      <c r="U12" s="15">
        <v>1648</v>
      </c>
      <c r="V12" s="15">
        <v>1648</v>
      </c>
    </row>
    <row r="13" spans="1:23" s="18" customFormat="1" ht="9.75">
      <c r="A13" s="16" t="s">
        <v>43</v>
      </c>
      <c r="B13" s="17">
        <f>SUM(B10:B12)</f>
        <v>39951</v>
      </c>
      <c r="C13" s="17">
        <f aca="true" t="shared" si="0" ref="C13:V13">SUM(C10:C12)</f>
        <v>40192</v>
      </c>
      <c r="D13" s="17">
        <f t="shared" si="0"/>
        <v>40237</v>
      </c>
      <c r="E13" s="17">
        <f t="shared" si="0"/>
        <v>39504</v>
      </c>
      <c r="F13" s="17">
        <f t="shared" si="0"/>
        <v>38610</v>
      </c>
      <c r="G13" s="17">
        <f t="shared" si="0"/>
        <v>38813</v>
      </c>
      <c r="H13" s="17">
        <f t="shared" si="0"/>
        <v>38610</v>
      </c>
      <c r="I13" s="17">
        <f t="shared" si="0"/>
        <v>37992</v>
      </c>
      <c r="J13" s="17">
        <f t="shared" si="0"/>
        <v>37524</v>
      </c>
      <c r="K13" s="17">
        <f t="shared" si="0"/>
        <v>37181</v>
      </c>
      <c r="L13" s="17">
        <f t="shared" si="0"/>
        <v>36867</v>
      </c>
      <c r="M13" s="17">
        <f t="shared" si="0"/>
        <v>36660</v>
      </c>
      <c r="N13" s="17">
        <f t="shared" si="0"/>
        <v>36564</v>
      </c>
      <c r="O13" s="17">
        <f t="shared" si="0"/>
        <v>36475</v>
      </c>
      <c r="P13" s="17">
        <f t="shared" si="0"/>
        <v>36486</v>
      </c>
      <c r="Q13" s="17">
        <f t="shared" si="0"/>
        <v>36585</v>
      </c>
      <c r="R13" s="17">
        <f t="shared" si="0"/>
        <v>36680</v>
      </c>
      <c r="S13" s="17">
        <f t="shared" si="0"/>
        <v>36941</v>
      </c>
      <c r="T13" s="17">
        <f t="shared" si="0"/>
        <v>37445</v>
      </c>
      <c r="U13" s="17">
        <f t="shared" si="0"/>
        <v>37760</v>
      </c>
      <c r="V13" s="17">
        <f t="shared" si="0"/>
        <v>16972</v>
      </c>
      <c r="W13" s="19"/>
    </row>
    <row r="14" spans="1:23" s="18" customFormat="1" ht="9.75">
      <c r="A14" s="16"/>
      <c r="B14" s="19"/>
      <c r="C14" s="17"/>
      <c r="D14" s="17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2" ht="9.75">
      <c r="A15" s="20" t="s">
        <v>44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9.75">
      <c r="A16" s="7" t="s">
        <v>45</v>
      </c>
      <c r="B16" s="8"/>
      <c r="C16" s="14">
        <v>7567</v>
      </c>
      <c r="D16" s="14">
        <v>16669</v>
      </c>
      <c r="E16" s="8"/>
      <c r="F16" s="14">
        <v>10312</v>
      </c>
      <c r="G16" s="14">
        <v>20545</v>
      </c>
      <c r="H16" s="8"/>
      <c r="I16" s="14">
        <v>8587</v>
      </c>
      <c r="J16" s="14">
        <v>12726</v>
      </c>
      <c r="K16" s="8"/>
      <c r="L16" s="14">
        <v>10039</v>
      </c>
      <c r="M16" s="14">
        <v>15291</v>
      </c>
      <c r="N16" s="8"/>
      <c r="O16" s="14">
        <v>9027</v>
      </c>
      <c r="P16" s="14">
        <v>12898</v>
      </c>
      <c r="Q16" s="8"/>
      <c r="R16" s="14">
        <v>12264</v>
      </c>
      <c r="S16" s="14">
        <v>18976</v>
      </c>
      <c r="T16" s="8"/>
      <c r="U16" s="14">
        <v>2929</v>
      </c>
      <c r="V16" s="8"/>
    </row>
    <row r="17" spans="1:23" s="24" customFormat="1" ht="9.75">
      <c r="A17" s="21" t="s">
        <v>46</v>
      </c>
      <c r="B17" s="22"/>
      <c r="C17" s="22"/>
      <c r="D17" s="2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14">
        <v>16469</v>
      </c>
      <c r="R17" s="14">
        <v>33752</v>
      </c>
      <c r="S17" s="14">
        <v>51034</v>
      </c>
      <c r="T17" s="14">
        <v>68316</v>
      </c>
      <c r="U17" s="14">
        <v>85598</v>
      </c>
      <c r="V17" s="14">
        <v>100000</v>
      </c>
      <c r="W17" s="22"/>
    </row>
    <row r="18" spans="1:22" ht="9.75">
      <c r="A18" s="9" t="s">
        <v>47</v>
      </c>
      <c r="B18" s="10"/>
      <c r="C18" s="10"/>
      <c r="D18" s="1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25">
        <v>4255</v>
      </c>
      <c r="R18" s="25">
        <v>8475</v>
      </c>
      <c r="S18" s="25">
        <v>10241</v>
      </c>
      <c r="T18" s="25">
        <v>11672</v>
      </c>
      <c r="U18" s="25">
        <v>23631</v>
      </c>
      <c r="V18" s="25">
        <v>37347</v>
      </c>
    </row>
    <row r="19" spans="1:23" s="18" customFormat="1" ht="9.75">
      <c r="A19" s="16" t="s">
        <v>48</v>
      </c>
      <c r="B19" s="19"/>
      <c r="C19" s="17">
        <f>SUM(C15:C18)</f>
        <v>7567</v>
      </c>
      <c r="D19" s="17">
        <f aca="true" t="shared" si="1" ref="D19:V19">SUM(D15:D18)</f>
        <v>16669</v>
      </c>
      <c r="E19" s="17">
        <f t="shared" si="1"/>
        <v>0</v>
      </c>
      <c r="F19" s="17">
        <f t="shared" si="1"/>
        <v>10312</v>
      </c>
      <c r="G19" s="17">
        <f t="shared" si="1"/>
        <v>20545</v>
      </c>
      <c r="H19" s="17">
        <f t="shared" si="1"/>
        <v>0</v>
      </c>
      <c r="I19" s="17">
        <f t="shared" si="1"/>
        <v>8587</v>
      </c>
      <c r="J19" s="17">
        <f t="shared" si="1"/>
        <v>12726</v>
      </c>
      <c r="K19" s="17">
        <f t="shared" si="1"/>
        <v>0</v>
      </c>
      <c r="L19" s="17">
        <f t="shared" si="1"/>
        <v>10039</v>
      </c>
      <c r="M19" s="17">
        <f t="shared" si="1"/>
        <v>15291</v>
      </c>
      <c r="N19" s="17">
        <f t="shared" si="1"/>
        <v>0</v>
      </c>
      <c r="O19" s="17">
        <f t="shared" si="1"/>
        <v>9027</v>
      </c>
      <c r="P19" s="17">
        <f t="shared" si="1"/>
        <v>12898</v>
      </c>
      <c r="Q19" s="17">
        <f t="shared" si="1"/>
        <v>20724</v>
      </c>
      <c r="R19" s="17">
        <f t="shared" si="1"/>
        <v>54491</v>
      </c>
      <c r="S19" s="17">
        <f t="shared" si="1"/>
        <v>80251</v>
      </c>
      <c r="T19" s="17">
        <f t="shared" si="1"/>
        <v>79988</v>
      </c>
      <c r="U19" s="17">
        <f t="shared" si="1"/>
        <v>112158</v>
      </c>
      <c r="V19" s="17">
        <f t="shared" si="1"/>
        <v>137347</v>
      </c>
      <c r="W19" s="19"/>
    </row>
    <row r="20" spans="1:23" s="18" customFormat="1" ht="9.75">
      <c r="A20" s="16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V20" s="19"/>
      <c r="W20" s="19"/>
    </row>
    <row r="21" spans="1:23" s="18" customFormat="1" ht="9.75">
      <c r="A21" s="16" t="s">
        <v>49</v>
      </c>
      <c r="B21" s="17">
        <f>B19+B13</f>
        <v>39951</v>
      </c>
      <c r="C21" s="17">
        <f aca="true" t="shared" si="2" ref="C21:V21">C19+C13</f>
        <v>47759</v>
      </c>
      <c r="D21" s="17">
        <f t="shared" si="2"/>
        <v>56906</v>
      </c>
      <c r="E21" s="17">
        <f t="shared" si="2"/>
        <v>39504</v>
      </c>
      <c r="F21" s="17">
        <f t="shared" si="2"/>
        <v>48922</v>
      </c>
      <c r="G21" s="17">
        <f t="shared" si="2"/>
        <v>59358</v>
      </c>
      <c r="H21" s="17">
        <f t="shared" si="2"/>
        <v>38610</v>
      </c>
      <c r="I21" s="17">
        <f t="shared" si="2"/>
        <v>46579</v>
      </c>
      <c r="J21" s="17">
        <f t="shared" si="2"/>
        <v>50250</v>
      </c>
      <c r="K21" s="17">
        <f t="shared" si="2"/>
        <v>37181</v>
      </c>
      <c r="L21" s="17">
        <f t="shared" si="2"/>
        <v>46906</v>
      </c>
      <c r="M21" s="17">
        <f t="shared" si="2"/>
        <v>51951</v>
      </c>
      <c r="N21" s="17">
        <f t="shared" si="2"/>
        <v>36564</v>
      </c>
      <c r="O21" s="17">
        <f t="shared" si="2"/>
        <v>45502</v>
      </c>
      <c r="P21" s="17">
        <f t="shared" si="2"/>
        <v>49384</v>
      </c>
      <c r="Q21" s="17">
        <f t="shared" si="2"/>
        <v>57309</v>
      </c>
      <c r="R21" s="17">
        <f t="shared" si="2"/>
        <v>91171</v>
      </c>
      <c r="S21" s="17">
        <f t="shared" si="2"/>
        <v>117192</v>
      </c>
      <c r="T21" s="17">
        <f t="shared" si="2"/>
        <v>117433</v>
      </c>
      <c r="U21" s="17">
        <f t="shared" si="2"/>
        <v>149918</v>
      </c>
      <c r="V21" s="17">
        <f t="shared" si="2"/>
        <v>154319</v>
      </c>
      <c r="W21" s="19"/>
    </row>
    <row r="22" spans="1:23" s="18" customFormat="1" ht="9.75">
      <c r="A22" s="16"/>
      <c r="B22" s="1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2" ht="9.75">
      <c r="A23" s="7" t="s">
        <v>70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9.75">
      <c r="A24" s="7" t="s">
        <v>50</v>
      </c>
      <c r="B24" s="14">
        <v>394920</v>
      </c>
      <c r="C24" s="14">
        <v>394920</v>
      </c>
      <c r="D24" s="14">
        <v>394920</v>
      </c>
      <c r="E24" s="14">
        <v>394920</v>
      </c>
      <c r="F24" s="14">
        <v>394920</v>
      </c>
      <c r="G24" s="14">
        <v>394920</v>
      </c>
      <c r="H24" s="14">
        <v>394920</v>
      </c>
      <c r="I24" s="14">
        <v>394920</v>
      </c>
      <c r="J24" s="14">
        <v>394920</v>
      </c>
      <c r="K24" s="14">
        <v>394920</v>
      </c>
      <c r="L24" s="14">
        <v>394920</v>
      </c>
      <c r="M24" s="14">
        <v>394920</v>
      </c>
      <c r="N24" s="14">
        <v>394920</v>
      </c>
      <c r="O24" s="14">
        <v>394920</v>
      </c>
      <c r="P24" s="14">
        <v>394920</v>
      </c>
      <c r="Q24" s="14">
        <v>394920</v>
      </c>
      <c r="R24" s="14">
        <v>394920</v>
      </c>
      <c r="S24" s="14">
        <v>394920</v>
      </c>
      <c r="T24" s="14">
        <v>394920</v>
      </c>
      <c r="U24" s="14">
        <v>394920</v>
      </c>
      <c r="V24" s="14">
        <v>394920</v>
      </c>
    </row>
    <row r="25" spans="1:22" ht="9.75">
      <c r="A25" s="7" t="s">
        <v>51</v>
      </c>
      <c r="B25" s="26">
        <v>-3824</v>
      </c>
      <c r="C25" s="26">
        <v>-26765</v>
      </c>
      <c r="D25" s="26">
        <v>-49707</v>
      </c>
      <c r="E25" s="26">
        <v>-72649</v>
      </c>
      <c r="F25" s="26">
        <v>-95590</v>
      </c>
      <c r="G25" s="26">
        <v>-118532</v>
      </c>
      <c r="H25" s="26">
        <v>-141474</v>
      </c>
      <c r="I25" s="26">
        <v>-164416</v>
      </c>
      <c r="J25" s="26">
        <v>-186581</v>
      </c>
      <c r="K25" s="26">
        <v>-204863</v>
      </c>
      <c r="L25" s="26">
        <v>-223145</v>
      </c>
      <c r="M25" s="26">
        <v>-241428</v>
      </c>
      <c r="N25" s="26">
        <v>-259543</v>
      </c>
      <c r="O25" s="26">
        <v>-276825</v>
      </c>
      <c r="P25" s="26">
        <v>-294108</v>
      </c>
      <c r="Q25" s="26">
        <v>-311389</v>
      </c>
      <c r="R25" s="26">
        <v>-328672</v>
      </c>
      <c r="S25" s="26">
        <v>-345955</v>
      </c>
      <c r="T25" s="26">
        <v>-363236</v>
      </c>
      <c r="U25" s="26">
        <v>-380518</v>
      </c>
      <c r="V25" s="26">
        <v>-394920</v>
      </c>
    </row>
    <row r="26" spans="1:22" ht="9.75">
      <c r="A26" s="7"/>
      <c r="B26" s="14"/>
      <c r="C26" s="14"/>
      <c r="D26" s="14"/>
      <c r="E26" s="14"/>
      <c r="F26" s="14"/>
      <c r="G26" s="23"/>
      <c r="H26" s="17"/>
      <c r="I26" s="17"/>
      <c r="J26" s="17"/>
      <c r="K26" s="17"/>
      <c r="L26" s="17"/>
      <c r="M26" s="14"/>
      <c r="N26" s="17"/>
      <c r="O26" s="17"/>
      <c r="P26" s="17"/>
      <c r="Q26" s="17"/>
      <c r="R26" s="17"/>
      <c r="S26" s="17"/>
      <c r="T26" s="17"/>
      <c r="U26" s="17"/>
      <c r="V26" s="8"/>
    </row>
    <row r="27" spans="1:22" ht="9.75">
      <c r="A27" s="7" t="s">
        <v>52</v>
      </c>
      <c r="B27" s="14">
        <f>B25+B24</f>
        <v>391096</v>
      </c>
      <c r="C27" s="14">
        <f aca="true" t="shared" si="3" ref="C27:V27">C25+C24</f>
        <v>368155</v>
      </c>
      <c r="D27" s="14">
        <f t="shared" si="3"/>
        <v>345213</v>
      </c>
      <c r="E27" s="14">
        <f t="shared" si="3"/>
        <v>322271</v>
      </c>
      <c r="F27" s="14">
        <f t="shared" si="3"/>
        <v>299330</v>
      </c>
      <c r="G27" s="14">
        <f t="shared" si="3"/>
        <v>276388</v>
      </c>
      <c r="H27" s="14">
        <f t="shared" si="3"/>
        <v>253446</v>
      </c>
      <c r="I27" s="14">
        <f t="shared" si="3"/>
        <v>230504</v>
      </c>
      <c r="J27" s="14">
        <f t="shared" si="3"/>
        <v>208339</v>
      </c>
      <c r="K27" s="14">
        <f t="shared" si="3"/>
        <v>190057</v>
      </c>
      <c r="L27" s="14">
        <f t="shared" si="3"/>
        <v>171775</v>
      </c>
      <c r="M27" s="14">
        <f t="shared" si="3"/>
        <v>153492</v>
      </c>
      <c r="N27" s="14">
        <f t="shared" si="3"/>
        <v>135377</v>
      </c>
      <c r="O27" s="14">
        <f t="shared" si="3"/>
        <v>118095</v>
      </c>
      <c r="P27" s="14">
        <f t="shared" si="3"/>
        <v>100812</v>
      </c>
      <c r="Q27" s="14">
        <f t="shared" si="3"/>
        <v>83531</v>
      </c>
      <c r="R27" s="14">
        <f t="shared" si="3"/>
        <v>66248</v>
      </c>
      <c r="S27" s="14">
        <f t="shared" si="3"/>
        <v>48965</v>
      </c>
      <c r="T27" s="14">
        <f t="shared" si="3"/>
        <v>31684</v>
      </c>
      <c r="U27" s="14">
        <f t="shared" si="3"/>
        <v>14402</v>
      </c>
      <c r="V27" s="14">
        <f t="shared" si="3"/>
        <v>0</v>
      </c>
    </row>
    <row r="28" spans="1:22" ht="9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3" s="24" customFormat="1" ht="9.75">
      <c r="A29" s="27" t="s">
        <v>53</v>
      </c>
      <c r="B29" s="29">
        <f>B27+B21</f>
        <v>431047</v>
      </c>
      <c r="C29" s="29">
        <f aca="true" t="shared" si="4" ref="C29:V29">C27+C21</f>
        <v>415914</v>
      </c>
      <c r="D29" s="29">
        <f t="shared" si="4"/>
        <v>402119</v>
      </c>
      <c r="E29" s="29">
        <f t="shared" si="4"/>
        <v>361775</v>
      </c>
      <c r="F29" s="29">
        <f t="shared" si="4"/>
        <v>348252</v>
      </c>
      <c r="G29" s="29">
        <f t="shared" si="4"/>
        <v>335746</v>
      </c>
      <c r="H29" s="29">
        <f t="shared" si="4"/>
        <v>292056</v>
      </c>
      <c r="I29" s="29">
        <f t="shared" si="4"/>
        <v>277083</v>
      </c>
      <c r="J29" s="29">
        <f t="shared" si="4"/>
        <v>258589</v>
      </c>
      <c r="K29" s="29">
        <f t="shared" si="4"/>
        <v>227238</v>
      </c>
      <c r="L29" s="29">
        <f t="shared" si="4"/>
        <v>218681</v>
      </c>
      <c r="M29" s="29">
        <f t="shared" si="4"/>
        <v>205443</v>
      </c>
      <c r="N29" s="29">
        <f t="shared" si="4"/>
        <v>171941</v>
      </c>
      <c r="O29" s="29">
        <f t="shared" si="4"/>
        <v>163597</v>
      </c>
      <c r="P29" s="29">
        <f t="shared" si="4"/>
        <v>150196</v>
      </c>
      <c r="Q29" s="29">
        <f t="shared" si="4"/>
        <v>140840</v>
      </c>
      <c r="R29" s="29">
        <f t="shared" si="4"/>
        <v>157419</v>
      </c>
      <c r="S29" s="29">
        <f t="shared" si="4"/>
        <v>166157</v>
      </c>
      <c r="T29" s="29">
        <f t="shared" si="4"/>
        <v>149117</v>
      </c>
      <c r="U29" s="29">
        <f t="shared" si="4"/>
        <v>164320</v>
      </c>
      <c r="V29" s="29">
        <f t="shared" si="4"/>
        <v>154319</v>
      </c>
      <c r="W29" s="22"/>
    </row>
    <row r="30" spans="1:23" s="24" customFormat="1" ht="9.75">
      <c r="A30" s="2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2"/>
    </row>
    <row r="31" spans="1:22" ht="9.75">
      <c r="A31" s="31" t="s">
        <v>54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9.7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9.75">
      <c r="A33" s="7" t="s">
        <v>55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9.75">
      <c r="A34" s="7" t="s">
        <v>71</v>
      </c>
      <c r="B34" s="14">
        <v>17570</v>
      </c>
      <c r="C34" s="14">
        <v>17758</v>
      </c>
      <c r="D34" s="14">
        <v>17976</v>
      </c>
      <c r="E34" s="14">
        <v>18259</v>
      </c>
      <c r="F34" s="14">
        <v>18595</v>
      </c>
      <c r="G34" s="14">
        <v>18941</v>
      </c>
      <c r="H34" s="14">
        <v>19334</v>
      </c>
      <c r="I34" s="14">
        <v>19720</v>
      </c>
      <c r="J34" s="14">
        <v>20106</v>
      </c>
      <c r="K34" s="17">
        <v>20524</v>
      </c>
      <c r="L34" s="14">
        <v>20929</v>
      </c>
      <c r="M34" s="14">
        <v>21315</v>
      </c>
      <c r="N34" s="14">
        <v>21742</v>
      </c>
      <c r="O34" s="17">
        <v>22171</v>
      </c>
      <c r="P34" s="14">
        <v>22606</v>
      </c>
      <c r="Q34" s="14">
        <v>23069</v>
      </c>
      <c r="R34" s="14">
        <v>23509</v>
      </c>
      <c r="S34" s="17">
        <v>23963</v>
      </c>
      <c r="T34" s="14">
        <v>24439</v>
      </c>
      <c r="U34" s="14">
        <v>24642</v>
      </c>
      <c r="V34" s="14">
        <v>8221</v>
      </c>
    </row>
    <row r="35" spans="1:22" ht="9.75">
      <c r="A35" s="7" t="s">
        <v>56</v>
      </c>
      <c r="B35" s="8">
        <v>968</v>
      </c>
      <c r="C35" s="8">
        <v>984</v>
      </c>
      <c r="D35" s="8">
        <v>976</v>
      </c>
      <c r="E35" s="8">
        <v>921</v>
      </c>
      <c r="F35" s="8">
        <v>913</v>
      </c>
      <c r="G35" s="8">
        <v>936</v>
      </c>
      <c r="H35" s="8">
        <v>958</v>
      </c>
      <c r="I35" s="8">
        <v>982</v>
      </c>
      <c r="J35" s="14">
        <v>1007</v>
      </c>
      <c r="K35" s="14">
        <v>1032</v>
      </c>
      <c r="L35" s="17">
        <v>1057</v>
      </c>
      <c r="M35" s="14">
        <v>1085</v>
      </c>
      <c r="N35" s="14">
        <v>1111</v>
      </c>
      <c r="O35" s="14">
        <v>1139</v>
      </c>
      <c r="P35" s="14">
        <v>1168</v>
      </c>
      <c r="Q35" s="14">
        <v>1197</v>
      </c>
      <c r="R35" s="17">
        <v>1226</v>
      </c>
      <c r="S35" s="17">
        <v>1258</v>
      </c>
      <c r="T35" s="14">
        <v>1289</v>
      </c>
      <c r="U35" s="14">
        <v>1384</v>
      </c>
      <c r="V35" s="8">
        <v>475</v>
      </c>
    </row>
    <row r="36" spans="1:22" ht="9.75">
      <c r="A36" s="7"/>
      <c r="B36" s="8"/>
      <c r="C36" s="14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3" s="18" customFormat="1" ht="9.75">
      <c r="A37" s="16" t="s">
        <v>57</v>
      </c>
      <c r="B37" s="17">
        <f>B35+B34</f>
        <v>18538</v>
      </c>
      <c r="C37" s="17">
        <f aca="true" t="shared" si="5" ref="C37:V37">C35+C34</f>
        <v>18742</v>
      </c>
      <c r="D37" s="17">
        <f t="shared" si="5"/>
        <v>18952</v>
      </c>
      <c r="E37" s="17">
        <f t="shared" si="5"/>
        <v>19180</v>
      </c>
      <c r="F37" s="17">
        <f t="shared" si="5"/>
        <v>19508</v>
      </c>
      <c r="G37" s="17">
        <f t="shared" si="5"/>
        <v>19877</v>
      </c>
      <c r="H37" s="17">
        <f t="shared" si="5"/>
        <v>20292</v>
      </c>
      <c r="I37" s="17">
        <f t="shared" si="5"/>
        <v>20702</v>
      </c>
      <c r="J37" s="17">
        <f t="shared" si="5"/>
        <v>21113</v>
      </c>
      <c r="K37" s="17">
        <f t="shared" si="5"/>
        <v>21556</v>
      </c>
      <c r="L37" s="17">
        <f t="shared" si="5"/>
        <v>21986</v>
      </c>
      <c r="M37" s="17">
        <f t="shared" si="5"/>
        <v>22400</v>
      </c>
      <c r="N37" s="17">
        <f t="shared" si="5"/>
        <v>22853</v>
      </c>
      <c r="O37" s="17">
        <f t="shared" si="5"/>
        <v>23310</v>
      </c>
      <c r="P37" s="17">
        <f t="shared" si="5"/>
        <v>23774</v>
      </c>
      <c r="Q37" s="17">
        <f t="shared" si="5"/>
        <v>24266</v>
      </c>
      <c r="R37" s="17">
        <f t="shared" si="5"/>
        <v>24735</v>
      </c>
      <c r="S37" s="17">
        <f t="shared" si="5"/>
        <v>25221</v>
      </c>
      <c r="T37" s="17">
        <f t="shared" si="5"/>
        <v>25728</v>
      </c>
      <c r="U37" s="17">
        <f t="shared" si="5"/>
        <v>26026</v>
      </c>
      <c r="V37" s="17">
        <f t="shared" si="5"/>
        <v>8696</v>
      </c>
      <c r="W37" s="19"/>
    </row>
    <row r="38" spans="1:23" s="18" customFormat="1" ht="9.75">
      <c r="A38" s="16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3" s="24" customFormat="1" ht="9.75">
      <c r="A39" s="21" t="s">
        <v>58</v>
      </c>
      <c r="B39" s="23">
        <v>302763</v>
      </c>
      <c r="C39" s="23">
        <v>286556</v>
      </c>
      <c r="D39" s="23">
        <v>261858</v>
      </c>
      <c r="E39" s="23">
        <v>236996</v>
      </c>
      <c r="F39" s="23">
        <v>211637</v>
      </c>
      <c r="G39" s="23">
        <v>186774</v>
      </c>
      <c r="H39" s="23">
        <v>160353</v>
      </c>
      <c r="I39" s="23">
        <v>133535</v>
      </c>
      <c r="J39" s="23">
        <v>107213</v>
      </c>
      <c r="K39" s="23">
        <v>83528</v>
      </c>
      <c r="L39" s="23">
        <v>61954</v>
      </c>
      <c r="M39" s="23">
        <v>41122</v>
      </c>
      <c r="N39" s="23">
        <v>20787</v>
      </c>
      <c r="O39" s="23">
        <v>3971</v>
      </c>
      <c r="P39" s="22"/>
      <c r="Q39" s="22"/>
      <c r="R39" s="22"/>
      <c r="S39" s="22"/>
      <c r="T39" s="22"/>
      <c r="U39" s="22"/>
      <c r="V39" s="22"/>
      <c r="W39" s="22"/>
    </row>
    <row r="40" spans="1:22" ht="9.75">
      <c r="A40" s="7"/>
      <c r="B40" s="14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9.75">
      <c r="A41" s="7" t="s">
        <v>59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9.75">
      <c r="A42" s="7" t="s">
        <v>60</v>
      </c>
      <c r="B42" s="14">
        <v>100000</v>
      </c>
      <c r="C42" s="14">
        <v>100000</v>
      </c>
      <c r="D42" s="14">
        <v>100000</v>
      </c>
      <c r="E42" s="14">
        <v>100000</v>
      </c>
      <c r="F42" s="14">
        <v>100000</v>
      </c>
      <c r="G42" s="14">
        <v>100000</v>
      </c>
      <c r="H42" s="14">
        <v>100000</v>
      </c>
      <c r="I42" s="14">
        <v>100000</v>
      </c>
      <c r="J42" s="14">
        <v>100000</v>
      </c>
      <c r="K42" s="14">
        <v>100000</v>
      </c>
      <c r="L42" s="14">
        <v>100000</v>
      </c>
      <c r="M42" s="14">
        <v>100000</v>
      </c>
      <c r="N42" s="14">
        <v>100000</v>
      </c>
      <c r="O42" s="14">
        <v>100000</v>
      </c>
      <c r="P42" s="14">
        <v>100000</v>
      </c>
      <c r="Q42" s="14">
        <v>100000</v>
      </c>
      <c r="R42" s="14">
        <v>100000</v>
      </c>
      <c r="S42" s="14">
        <v>100000</v>
      </c>
      <c r="T42" s="14">
        <v>100000</v>
      </c>
      <c r="U42" s="14">
        <v>100000</v>
      </c>
      <c r="V42" s="14">
        <v>100000</v>
      </c>
    </row>
    <row r="43" spans="1:22" ht="9.75">
      <c r="A43" s="7" t="s">
        <v>61</v>
      </c>
      <c r="B43" s="14">
        <v>9746</v>
      </c>
      <c r="C43" s="14">
        <v>10616</v>
      </c>
      <c r="D43" s="14">
        <v>21309</v>
      </c>
      <c r="E43" s="14">
        <v>5599</v>
      </c>
      <c r="F43" s="14">
        <v>17107</v>
      </c>
      <c r="G43" s="14">
        <v>29095</v>
      </c>
      <c r="H43" s="14">
        <v>11411</v>
      </c>
      <c r="I43" s="14">
        <v>22846</v>
      </c>
      <c r="J43" s="14">
        <v>30263</v>
      </c>
      <c r="K43" s="14">
        <v>22154</v>
      </c>
      <c r="L43" s="14">
        <v>34741</v>
      </c>
      <c r="M43" s="14">
        <v>41921</v>
      </c>
      <c r="N43" s="14">
        <v>28301</v>
      </c>
      <c r="O43" s="14">
        <v>36316</v>
      </c>
      <c r="P43" s="14">
        <v>26422</v>
      </c>
      <c r="Q43" s="14">
        <v>16574</v>
      </c>
      <c r="R43" s="14">
        <v>32684</v>
      </c>
      <c r="S43" s="14">
        <v>40936</v>
      </c>
      <c r="T43" s="14">
        <v>23389</v>
      </c>
      <c r="U43" s="14">
        <v>38294</v>
      </c>
      <c r="V43" s="14">
        <v>45623</v>
      </c>
    </row>
    <row r="44" spans="1:22" ht="9.7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3" s="24" customFormat="1" ht="9.75">
      <c r="A45" s="21" t="s">
        <v>62</v>
      </c>
      <c r="B45" s="23">
        <f>B43+B42</f>
        <v>109746</v>
      </c>
      <c r="C45" s="23">
        <f aca="true" t="shared" si="6" ref="C45:V45">C43+C42</f>
        <v>110616</v>
      </c>
      <c r="D45" s="23">
        <f t="shared" si="6"/>
        <v>121309</v>
      </c>
      <c r="E45" s="23">
        <f t="shared" si="6"/>
        <v>105599</v>
      </c>
      <c r="F45" s="23">
        <f t="shared" si="6"/>
        <v>117107</v>
      </c>
      <c r="G45" s="23">
        <f t="shared" si="6"/>
        <v>129095</v>
      </c>
      <c r="H45" s="23">
        <f t="shared" si="6"/>
        <v>111411</v>
      </c>
      <c r="I45" s="23">
        <f t="shared" si="6"/>
        <v>122846</v>
      </c>
      <c r="J45" s="23">
        <f t="shared" si="6"/>
        <v>130263</v>
      </c>
      <c r="K45" s="23">
        <f t="shared" si="6"/>
        <v>122154</v>
      </c>
      <c r="L45" s="23">
        <f t="shared" si="6"/>
        <v>134741</v>
      </c>
      <c r="M45" s="23">
        <f t="shared" si="6"/>
        <v>141921</v>
      </c>
      <c r="N45" s="23">
        <f t="shared" si="6"/>
        <v>128301</v>
      </c>
      <c r="O45" s="23">
        <f t="shared" si="6"/>
        <v>136316</v>
      </c>
      <c r="P45" s="23">
        <f t="shared" si="6"/>
        <v>126422</v>
      </c>
      <c r="Q45" s="23">
        <f t="shared" si="6"/>
        <v>116574</v>
      </c>
      <c r="R45" s="23">
        <f t="shared" si="6"/>
        <v>132684</v>
      </c>
      <c r="S45" s="23">
        <f t="shared" si="6"/>
        <v>140936</v>
      </c>
      <c r="T45" s="23">
        <f t="shared" si="6"/>
        <v>123389</v>
      </c>
      <c r="U45" s="23">
        <f t="shared" si="6"/>
        <v>138294</v>
      </c>
      <c r="V45" s="23">
        <f t="shared" si="6"/>
        <v>145623</v>
      </c>
      <c r="W45" s="22"/>
    </row>
    <row r="46" spans="1:22" ht="9.7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3" s="24" customFormat="1" ht="9.75">
      <c r="A47" s="27" t="s">
        <v>63</v>
      </c>
      <c r="B47" s="29">
        <f>B45+B39+B37</f>
        <v>431047</v>
      </c>
      <c r="C47" s="29">
        <f aca="true" t="shared" si="7" ref="C47:V47">C45+C39+C37</f>
        <v>415914</v>
      </c>
      <c r="D47" s="29">
        <f t="shared" si="7"/>
        <v>402119</v>
      </c>
      <c r="E47" s="29">
        <f t="shared" si="7"/>
        <v>361775</v>
      </c>
      <c r="F47" s="29">
        <f t="shared" si="7"/>
        <v>348252</v>
      </c>
      <c r="G47" s="29">
        <f t="shared" si="7"/>
        <v>335746</v>
      </c>
      <c r="H47" s="29">
        <f t="shared" si="7"/>
        <v>292056</v>
      </c>
      <c r="I47" s="29">
        <f t="shared" si="7"/>
        <v>277083</v>
      </c>
      <c r="J47" s="29">
        <f t="shared" si="7"/>
        <v>258589</v>
      </c>
      <c r="K47" s="29">
        <f t="shared" si="7"/>
        <v>227238</v>
      </c>
      <c r="L47" s="29">
        <f t="shared" si="7"/>
        <v>218681</v>
      </c>
      <c r="M47" s="29">
        <f t="shared" si="7"/>
        <v>205443</v>
      </c>
      <c r="N47" s="29">
        <f t="shared" si="7"/>
        <v>171941</v>
      </c>
      <c r="O47" s="29">
        <f t="shared" si="7"/>
        <v>163597</v>
      </c>
      <c r="P47" s="29">
        <f t="shared" si="7"/>
        <v>150196</v>
      </c>
      <c r="Q47" s="29">
        <f t="shared" si="7"/>
        <v>140840</v>
      </c>
      <c r="R47" s="29">
        <f t="shared" si="7"/>
        <v>157419</v>
      </c>
      <c r="S47" s="29">
        <f t="shared" si="7"/>
        <v>166157</v>
      </c>
      <c r="T47" s="29">
        <f t="shared" si="7"/>
        <v>149117</v>
      </c>
      <c r="U47" s="29">
        <f t="shared" si="7"/>
        <v>164320</v>
      </c>
      <c r="V47" s="29">
        <f t="shared" si="7"/>
        <v>154319</v>
      </c>
      <c r="W47" s="22"/>
    </row>
    <row r="48" spans="1:22" ht="9.7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9.75">
      <c r="A49" s="7" t="s">
        <v>64</v>
      </c>
      <c r="B49" s="8">
        <v>2.16</v>
      </c>
      <c r="C49" s="8">
        <v>2.55</v>
      </c>
      <c r="D49" s="28">
        <v>3</v>
      </c>
      <c r="E49" s="8">
        <v>2.06</v>
      </c>
      <c r="F49" s="8">
        <v>2.51</v>
      </c>
      <c r="G49" s="8">
        <v>2.99</v>
      </c>
      <c r="H49" s="8">
        <v>1.9</v>
      </c>
      <c r="I49" s="8">
        <v>2.25</v>
      </c>
      <c r="J49" s="8">
        <v>2.38</v>
      </c>
      <c r="K49" s="8">
        <v>1.72</v>
      </c>
      <c r="L49" s="8">
        <v>2.13</v>
      </c>
      <c r="M49" s="8">
        <v>2.32</v>
      </c>
      <c r="N49" s="8">
        <v>1.6</v>
      </c>
      <c r="O49" s="8">
        <v>1.95</v>
      </c>
      <c r="P49" s="8">
        <v>2.08</v>
      </c>
      <c r="Q49" s="8">
        <v>2.36</v>
      </c>
      <c r="R49" s="8">
        <v>3.69</v>
      </c>
      <c r="S49" s="8">
        <v>4.65</v>
      </c>
      <c r="T49" s="8">
        <v>4.56</v>
      </c>
      <c r="U49" s="8">
        <v>5.76</v>
      </c>
      <c r="V49" s="8">
        <v>17.74</v>
      </c>
    </row>
    <row r="50" spans="1:22" ht="9.75">
      <c r="A50" s="7" t="s">
        <v>65</v>
      </c>
      <c r="B50" s="8">
        <v>2.76</v>
      </c>
      <c r="C50" s="8">
        <v>2.59</v>
      </c>
      <c r="D50" s="8">
        <v>2.16</v>
      </c>
      <c r="E50" s="8">
        <v>2.24</v>
      </c>
      <c r="F50" s="8">
        <v>1.81</v>
      </c>
      <c r="G50" s="8">
        <v>1.45</v>
      </c>
      <c r="H50" s="8">
        <v>1.44</v>
      </c>
      <c r="I50" s="8">
        <v>1.09</v>
      </c>
      <c r="J50" s="8">
        <v>0.82</v>
      </c>
      <c r="K50" s="8">
        <v>0.68</v>
      </c>
      <c r="L50" s="8">
        <v>0.46</v>
      </c>
      <c r="M50" s="8">
        <v>0.29</v>
      </c>
      <c r="N50" s="8">
        <v>0.16</v>
      </c>
      <c r="O50" s="8">
        <v>0.03</v>
      </c>
      <c r="P50" s="8"/>
      <c r="Q50" s="8"/>
      <c r="R50" s="8"/>
      <c r="S50" s="8"/>
      <c r="T50" s="8"/>
      <c r="U50" s="8"/>
      <c r="V50" s="8"/>
    </row>
    <row r="51" spans="1:23" s="24" customFormat="1" ht="9.75">
      <c r="A51" s="21" t="s">
        <v>66</v>
      </c>
      <c r="B51" s="22">
        <v>2.93</v>
      </c>
      <c r="C51" s="22">
        <v>2.76</v>
      </c>
      <c r="D51" s="22">
        <v>2.31</v>
      </c>
      <c r="E51" s="22">
        <v>2.43</v>
      </c>
      <c r="F51" s="22">
        <v>1.97</v>
      </c>
      <c r="G51" s="22">
        <v>1.6</v>
      </c>
      <c r="H51" s="22">
        <v>1.62</v>
      </c>
      <c r="I51" s="22">
        <v>1.26</v>
      </c>
      <c r="J51" s="22">
        <v>0.99</v>
      </c>
      <c r="K51" s="22">
        <v>0.86</v>
      </c>
      <c r="L51" s="22">
        <v>0.62</v>
      </c>
      <c r="M51" s="22">
        <v>0.45</v>
      </c>
      <c r="N51" s="22">
        <v>0.34</v>
      </c>
      <c r="O51" s="22">
        <v>0.2</v>
      </c>
      <c r="P51" s="22">
        <v>0.19</v>
      </c>
      <c r="Q51" s="22">
        <v>0.21</v>
      </c>
      <c r="R51" s="22">
        <v>0.19</v>
      </c>
      <c r="S51" s="22">
        <v>0.18</v>
      </c>
      <c r="T51" s="22">
        <v>0.21</v>
      </c>
      <c r="U51" s="22">
        <v>0.19</v>
      </c>
      <c r="V51" s="22">
        <v>0.06</v>
      </c>
      <c r="W51" s="22"/>
    </row>
    <row r="52" spans="1:2" ht="9.75">
      <c r="A52" s="12" t="s">
        <v>67</v>
      </c>
      <c r="B52" s="13">
        <v>1.35</v>
      </c>
    </row>
    <row r="53" spans="1:2" ht="9.75">
      <c r="A53" s="9" t="s">
        <v>68</v>
      </c>
      <c r="B53" s="11">
        <v>1.51</v>
      </c>
    </row>
    <row r="56" spans="2:22" ht="9.7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Xuan Thanh</dc:creator>
  <cp:keywords/>
  <dc:description/>
  <cp:lastModifiedBy>Truong Minh Hoa</cp:lastModifiedBy>
  <dcterms:created xsi:type="dcterms:W3CDTF">2007-01-28T07:49:14Z</dcterms:created>
  <dcterms:modified xsi:type="dcterms:W3CDTF">2015-06-26T02:05:02Z</dcterms:modified>
  <cp:category/>
  <cp:version/>
  <cp:contentType/>
  <cp:contentStatus/>
</cp:coreProperties>
</file>