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44" windowWidth="19428" windowHeight="8016" tabRatio="639"/>
  </bookViews>
  <sheets>
    <sheet name="Financial Model" sheetId="4" r:id="rId1"/>
    <sheet name="Phi bao hiem" sheetId="2" r:id="rId2"/>
    <sheet name="Gia NH3" sheetId="6" r:id="rId3"/>
    <sheet name="Gia khi" sheetId="7" r:id="rId4"/>
    <sheet name="Chi phi dau tu" sheetId="10" r:id="rId5"/>
    <sheet name="Economic Model" sheetId="5" r:id="rId6"/>
    <sheet name="Tong hop NL" sheetId="8" r:id="rId7"/>
    <sheet name="Phan phoi" sheetId="9" r:id="rId8"/>
  </sheets>
  <calcPr calcId="145621"/>
</workbook>
</file>

<file path=xl/calcChain.xml><?xml version="1.0" encoding="utf-8"?>
<calcChain xmlns="http://schemas.openxmlformats.org/spreadsheetml/2006/main">
  <c r="D187" i="4" l="1"/>
  <c r="E187" i="4"/>
  <c r="F187" i="4"/>
  <c r="D188" i="4"/>
  <c r="E188" i="4"/>
  <c r="F188" i="4"/>
  <c r="C188" i="4"/>
  <c r="D171" i="4"/>
  <c r="E171" i="4"/>
  <c r="F171" i="4"/>
  <c r="D172" i="4"/>
  <c r="E172" i="4"/>
  <c r="F172" i="4"/>
  <c r="C172" i="4"/>
  <c r="G271" i="4" l="1"/>
  <c r="H271" i="4"/>
  <c r="I271" i="4"/>
  <c r="J271" i="4"/>
  <c r="K271" i="4"/>
  <c r="L271" i="4"/>
  <c r="M271" i="4"/>
  <c r="N271" i="4"/>
  <c r="O271" i="4"/>
  <c r="P271" i="4"/>
  <c r="Q271" i="4"/>
  <c r="R271" i="4"/>
  <c r="S271" i="4"/>
  <c r="T271" i="4"/>
  <c r="U271" i="4"/>
  <c r="V271" i="4"/>
  <c r="W271" i="4"/>
  <c r="X271" i="4"/>
  <c r="Y271" i="4"/>
  <c r="Z271" i="4"/>
  <c r="AA271" i="4"/>
  <c r="B19" i="10"/>
  <c r="C50" i="10"/>
  <c r="D50" i="10"/>
  <c r="E50" i="10"/>
  <c r="F50" i="10"/>
  <c r="C51" i="10"/>
  <c r="D51" i="10"/>
  <c r="E51" i="10"/>
  <c r="F51" i="10"/>
  <c r="C53" i="10"/>
  <c r="D53" i="10"/>
  <c r="E53" i="10"/>
  <c r="F53" i="10"/>
  <c r="C54" i="10"/>
  <c r="D54" i="10"/>
  <c r="E54" i="10"/>
  <c r="F54" i="10"/>
  <c r="C55" i="10"/>
  <c r="D55" i="10"/>
  <c r="E55" i="10"/>
  <c r="F55" i="10"/>
  <c r="C56" i="10"/>
  <c r="D56" i="10"/>
  <c r="E56" i="10"/>
  <c r="F56" i="10"/>
  <c r="C66" i="10"/>
  <c r="D66" i="10"/>
  <c r="E66" i="10"/>
  <c r="F66" i="10"/>
  <c r="C67" i="10"/>
  <c r="D67" i="10"/>
  <c r="E67" i="10"/>
  <c r="F67" i="10"/>
  <c r="J34" i="2"/>
  <c r="B47" i="8"/>
  <c r="D23" i="9" s="1"/>
  <c r="C4" i="8"/>
  <c r="C3" i="8"/>
  <c r="D30" i="8"/>
  <c r="E30" i="8"/>
  <c r="F30" i="8"/>
  <c r="D32" i="8"/>
  <c r="E32" i="8"/>
  <c r="F32" i="8"/>
  <c r="D33" i="8"/>
  <c r="E33" i="8"/>
  <c r="F33" i="8"/>
  <c r="D34" i="8"/>
  <c r="E34" i="8"/>
  <c r="F34" i="8"/>
  <c r="D35" i="8"/>
  <c r="E35" i="8"/>
  <c r="F35" i="8"/>
  <c r="D36" i="8"/>
  <c r="E36" i="8"/>
  <c r="F36" i="8"/>
  <c r="D37" i="8"/>
  <c r="E37" i="8"/>
  <c r="F37" i="8"/>
  <c r="D38" i="8"/>
  <c r="E38" i="8"/>
  <c r="F38" i="8"/>
  <c r="D39" i="8"/>
  <c r="E39" i="8"/>
  <c r="F39" i="8"/>
  <c r="D40" i="8"/>
  <c r="E40" i="8"/>
  <c r="F40" i="8"/>
  <c r="D41" i="8"/>
  <c r="E41" i="8"/>
  <c r="F41" i="8"/>
  <c r="D42" i="8"/>
  <c r="E42" i="8"/>
  <c r="F42" i="8"/>
  <c r="D43" i="8"/>
  <c r="E43" i="8"/>
  <c r="F43" i="8"/>
  <c r="D44" i="8"/>
  <c r="E44" i="8"/>
  <c r="F44" i="8"/>
  <c r="D45" i="8"/>
  <c r="E45" i="8"/>
  <c r="F45" i="8"/>
  <c r="D46" i="8"/>
  <c r="E46" i="8"/>
  <c r="F46" i="8"/>
  <c r="G48" i="8"/>
  <c r="H48" i="8"/>
  <c r="I48" i="8"/>
  <c r="J48" i="8"/>
  <c r="K48" i="8"/>
  <c r="L48" i="8"/>
  <c r="M48" i="8"/>
  <c r="N48" i="8"/>
  <c r="O48" i="8"/>
  <c r="P48" i="8"/>
  <c r="Q48" i="8"/>
  <c r="R48" i="8"/>
  <c r="S48" i="8"/>
  <c r="T48" i="8"/>
  <c r="U48" i="8"/>
  <c r="V48" i="8"/>
  <c r="W48" i="8"/>
  <c r="X48" i="8"/>
  <c r="Y48" i="8"/>
  <c r="Z48" i="8"/>
  <c r="AA48" i="8"/>
  <c r="C39" i="8"/>
  <c r="C40" i="8"/>
  <c r="C41" i="8"/>
  <c r="C42" i="8"/>
  <c r="C43" i="8"/>
  <c r="C44" i="8"/>
  <c r="C45" i="8"/>
  <c r="C46" i="8"/>
  <c r="C38" i="8"/>
  <c r="C33" i="8"/>
  <c r="C34" i="8"/>
  <c r="C35" i="8"/>
  <c r="C36" i="8"/>
  <c r="C37" i="8"/>
  <c r="C32" i="8"/>
  <c r="C30" i="8"/>
  <c r="D4" i="8"/>
  <c r="E4" i="8" s="1"/>
  <c r="F4" i="8" s="1"/>
  <c r="G4" i="8" s="1"/>
  <c r="H4" i="8" s="1"/>
  <c r="I4" i="8" s="1"/>
  <c r="J4" i="8" s="1"/>
  <c r="K4" i="8" s="1"/>
  <c r="L4" i="8" s="1"/>
  <c r="M4" i="8" s="1"/>
  <c r="N4" i="8" s="1"/>
  <c r="O4" i="8" s="1"/>
  <c r="P4" i="8" s="1"/>
  <c r="Q4" i="8" s="1"/>
  <c r="R4" i="8" s="1"/>
  <c r="S4" i="8" s="1"/>
  <c r="T4" i="8" s="1"/>
  <c r="U4" i="8" s="1"/>
  <c r="V4" i="8" s="1"/>
  <c r="W4" i="8" s="1"/>
  <c r="X4" i="8" s="1"/>
  <c r="Y4" i="8" s="1"/>
  <c r="Z4" i="8" s="1"/>
  <c r="AA4" i="8" s="1"/>
  <c r="D3" i="8"/>
  <c r="E3" i="8" s="1"/>
  <c r="F3" i="8" s="1"/>
  <c r="G3" i="8" s="1"/>
  <c r="H3" i="8" s="1"/>
  <c r="I3" i="8" s="1"/>
  <c r="J3" i="8" s="1"/>
  <c r="K3" i="8" s="1"/>
  <c r="L3" i="8" s="1"/>
  <c r="M3" i="8" s="1"/>
  <c r="N3" i="8" s="1"/>
  <c r="O3" i="8" s="1"/>
  <c r="P3" i="8" s="1"/>
  <c r="Q3" i="8" s="1"/>
  <c r="R3" i="8" s="1"/>
  <c r="S3" i="8" s="1"/>
  <c r="T3" i="8" s="1"/>
  <c r="U3" i="8" s="1"/>
  <c r="V3" i="8" s="1"/>
  <c r="W3" i="8" s="1"/>
  <c r="X3" i="8" s="1"/>
  <c r="Y3" i="8" s="1"/>
  <c r="Z3" i="8" s="1"/>
  <c r="AA3" i="8" s="1"/>
  <c r="B67" i="10" l="1"/>
  <c r="B66" i="10"/>
  <c r="B56" i="10"/>
  <c r="B55" i="10"/>
  <c r="B54" i="10"/>
  <c r="B53" i="10"/>
  <c r="B51" i="10"/>
  <c r="B50" i="10"/>
  <c r="B17" i="10"/>
  <c r="B33" i="10"/>
  <c r="B23" i="6"/>
  <c r="B4" i="7"/>
  <c r="B3" i="7"/>
  <c r="J26" i="2"/>
  <c r="C35" i="2"/>
  <c r="C34" i="2" s="1"/>
  <c r="C31" i="2"/>
  <c r="C30" i="2" s="1"/>
  <c r="B31" i="2"/>
  <c r="B32" i="2" s="1"/>
  <c r="C27" i="2"/>
  <c r="C26" i="2" s="1"/>
  <c r="B27" i="2"/>
  <c r="B28" i="2" s="1"/>
  <c r="B86" i="10" l="1"/>
  <c r="B77" i="10"/>
  <c r="B23" i="2"/>
  <c r="B22" i="2"/>
  <c r="B9" i="2"/>
  <c r="B14" i="2"/>
  <c r="B13" i="2"/>
  <c r="B10" i="2" l="1"/>
  <c r="C14" i="2" s="1"/>
  <c r="H197" i="5"/>
  <c r="H39" i="8" s="1"/>
  <c r="I197" i="5"/>
  <c r="I39" i="8" s="1"/>
  <c r="J197" i="5"/>
  <c r="J39" i="8" s="1"/>
  <c r="K197" i="5"/>
  <c r="K39" i="8" s="1"/>
  <c r="L197" i="5"/>
  <c r="L39" i="8" s="1"/>
  <c r="M197" i="5"/>
  <c r="M39" i="8" s="1"/>
  <c r="N197" i="5"/>
  <c r="N39" i="8" s="1"/>
  <c r="O197" i="5"/>
  <c r="O39" i="8" s="1"/>
  <c r="P197" i="5"/>
  <c r="P39" i="8" s="1"/>
  <c r="Q197" i="5"/>
  <c r="Q39" i="8" s="1"/>
  <c r="R197" i="5"/>
  <c r="R39" i="8" s="1"/>
  <c r="S197" i="5"/>
  <c r="S39" i="8" s="1"/>
  <c r="T197" i="5"/>
  <c r="T39" i="8" s="1"/>
  <c r="U197" i="5"/>
  <c r="U39" i="8" s="1"/>
  <c r="V197" i="5"/>
  <c r="V39" i="8" s="1"/>
  <c r="W197" i="5"/>
  <c r="W39" i="8" s="1"/>
  <c r="X197" i="5"/>
  <c r="X39" i="8" s="1"/>
  <c r="Y197" i="5"/>
  <c r="Y39" i="8" s="1"/>
  <c r="Z197" i="5"/>
  <c r="Z39" i="8" s="1"/>
  <c r="AA197" i="5"/>
  <c r="AA39" i="8" s="1"/>
  <c r="G197" i="5"/>
  <c r="G39" i="8" s="1"/>
  <c r="AA194" i="5"/>
  <c r="AA37" i="8" s="1"/>
  <c r="Z194" i="5"/>
  <c r="Z37" i="8" s="1"/>
  <c r="Y194" i="5"/>
  <c r="Y37" i="8" s="1"/>
  <c r="X194" i="5"/>
  <c r="X37" i="8" s="1"/>
  <c r="W194" i="5"/>
  <c r="W37" i="8" s="1"/>
  <c r="V194" i="5"/>
  <c r="V37" i="8" s="1"/>
  <c r="U194" i="5"/>
  <c r="U37" i="8" s="1"/>
  <c r="T194" i="5"/>
  <c r="T37" i="8" s="1"/>
  <c r="S194" i="5"/>
  <c r="S37" i="8" s="1"/>
  <c r="R194" i="5"/>
  <c r="R37" i="8" s="1"/>
  <c r="Q194" i="5"/>
  <c r="Q37" i="8" s="1"/>
  <c r="P194" i="5"/>
  <c r="P37" i="8" s="1"/>
  <c r="O194" i="5"/>
  <c r="O37" i="8" s="1"/>
  <c r="N194" i="5"/>
  <c r="N37" i="8" s="1"/>
  <c r="M194" i="5"/>
  <c r="M37" i="8" s="1"/>
  <c r="L194" i="5"/>
  <c r="L37" i="8" s="1"/>
  <c r="K194" i="5"/>
  <c r="K37" i="8" s="1"/>
  <c r="J194" i="5"/>
  <c r="J37" i="8" s="1"/>
  <c r="I194" i="5"/>
  <c r="I37" i="8" s="1"/>
  <c r="H194" i="5"/>
  <c r="H37" i="8" s="1"/>
  <c r="G194" i="5"/>
  <c r="G37" i="8" s="1"/>
  <c r="J193" i="5"/>
  <c r="J36" i="8" s="1"/>
  <c r="I193" i="5"/>
  <c r="I36" i="8" s="1"/>
  <c r="H193" i="5"/>
  <c r="H36" i="8" s="1"/>
  <c r="J192" i="5"/>
  <c r="J35" i="8" s="1"/>
  <c r="I192" i="5"/>
  <c r="I35" i="8" s="1"/>
  <c r="H192" i="5"/>
  <c r="H35" i="8" s="1"/>
  <c r="G193" i="5"/>
  <c r="G36" i="8" s="1"/>
  <c r="G192" i="5"/>
  <c r="G35" i="8" s="1"/>
  <c r="J191" i="5"/>
  <c r="J34" i="8" s="1"/>
  <c r="I191" i="5"/>
  <c r="I34" i="8" s="1"/>
  <c r="H191" i="5"/>
  <c r="H34" i="8" s="1"/>
  <c r="G191" i="5"/>
  <c r="G34" i="8" s="1"/>
  <c r="AA186" i="5"/>
  <c r="Z186" i="5"/>
  <c r="Y186" i="5"/>
  <c r="X186" i="5"/>
  <c r="W186" i="5"/>
  <c r="V186" i="5"/>
  <c r="U186" i="5"/>
  <c r="T186" i="5"/>
  <c r="S186" i="5"/>
  <c r="R186" i="5"/>
  <c r="Q186" i="5"/>
  <c r="P186" i="5"/>
  <c r="O186" i="5"/>
  <c r="N186" i="5"/>
  <c r="M186" i="5"/>
  <c r="L186" i="5"/>
  <c r="K186" i="5"/>
  <c r="J186" i="5"/>
  <c r="I186" i="5"/>
  <c r="H186" i="5"/>
  <c r="G186" i="5"/>
  <c r="F167" i="5"/>
  <c r="F58" i="10" s="1"/>
  <c r="E167" i="5"/>
  <c r="E58" i="10" s="1"/>
  <c r="D167" i="5"/>
  <c r="D58" i="10" s="1"/>
  <c r="C167" i="5"/>
  <c r="C58" i="10" s="1"/>
  <c r="C168" i="5"/>
  <c r="C59" i="10" s="1"/>
  <c r="D168" i="5"/>
  <c r="D59" i="10" s="1"/>
  <c r="E168" i="5"/>
  <c r="E59" i="10" s="1"/>
  <c r="F168" i="5"/>
  <c r="F59" i="10" s="1"/>
  <c r="C170" i="5"/>
  <c r="C61" i="10" s="1"/>
  <c r="D170" i="5"/>
  <c r="D61" i="10" s="1"/>
  <c r="E170" i="5"/>
  <c r="E61" i="10" s="1"/>
  <c r="F170" i="5"/>
  <c r="F61" i="10" s="1"/>
  <c r="C171" i="5"/>
  <c r="C62" i="10" s="1"/>
  <c r="D171" i="5"/>
  <c r="D62" i="10" s="1"/>
  <c r="E171" i="5"/>
  <c r="E62" i="10" s="1"/>
  <c r="F171" i="5"/>
  <c r="F62" i="10" s="1"/>
  <c r="C172" i="5"/>
  <c r="C63" i="10" s="1"/>
  <c r="D172" i="5"/>
  <c r="D63" i="10" s="1"/>
  <c r="E172" i="5"/>
  <c r="E63" i="10" s="1"/>
  <c r="F172" i="5"/>
  <c r="F63" i="10" s="1"/>
  <c r="C173" i="5"/>
  <c r="C64" i="10" s="1"/>
  <c r="D173" i="5"/>
  <c r="D64" i="10" s="1"/>
  <c r="E173" i="5"/>
  <c r="E64" i="10" s="1"/>
  <c r="F173" i="5"/>
  <c r="F64" i="10" s="1"/>
  <c r="C174" i="5"/>
  <c r="C65" i="10" s="1"/>
  <c r="D174" i="5"/>
  <c r="D65" i="10" s="1"/>
  <c r="E174" i="5"/>
  <c r="E65" i="10" s="1"/>
  <c r="F174" i="5"/>
  <c r="F65" i="10" s="1"/>
  <c r="C177" i="5"/>
  <c r="C68" i="10" s="1"/>
  <c r="D177" i="5"/>
  <c r="D68" i="10" s="1"/>
  <c r="E177" i="5"/>
  <c r="E68" i="10" s="1"/>
  <c r="F177" i="5"/>
  <c r="F68" i="10" s="1"/>
  <c r="C149" i="5"/>
  <c r="C40" i="10" s="1"/>
  <c r="D149" i="5"/>
  <c r="D40" i="10" s="1"/>
  <c r="E149" i="5"/>
  <c r="E40" i="10" s="1"/>
  <c r="F149" i="5"/>
  <c r="F40" i="10" s="1"/>
  <c r="C150" i="5"/>
  <c r="C41" i="10" s="1"/>
  <c r="D150" i="5"/>
  <c r="D41" i="10" s="1"/>
  <c r="E150" i="5"/>
  <c r="E41" i="10" s="1"/>
  <c r="F150" i="5"/>
  <c r="F41" i="10" s="1"/>
  <c r="C151" i="5"/>
  <c r="C42" i="10" s="1"/>
  <c r="D151" i="5"/>
  <c r="D42" i="10" s="1"/>
  <c r="E151" i="5"/>
  <c r="E42" i="10" s="1"/>
  <c r="F151" i="5"/>
  <c r="F42" i="10" s="1"/>
  <c r="C152" i="5"/>
  <c r="C43" i="10" s="1"/>
  <c r="D152" i="5"/>
  <c r="D43" i="10" s="1"/>
  <c r="E152" i="5"/>
  <c r="E43" i="10" s="1"/>
  <c r="F152" i="5"/>
  <c r="F43" i="10" s="1"/>
  <c r="C154" i="5"/>
  <c r="C45" i="10" s="1"/>
  <c r="D154" i="5"/>
  <c r="D45" i="10" s="1"/>
  <c r="E154" i="5"/>
  <c r="E45" i="10" s="1"/>
  <c r="F154" i="5"/>
  <c r="F45" i="10" s="1"/>
  <c r="C155" i="5"/>
  <c r="C46" i="10" s="1"/>
  <c r="D155" i="5"/>
  <c r="D46" i="10" s="1"/>
  <c r="E155" i="5"/>
  <c r="E46" i="10" s="1"/>
  <c r="F155" i="5"/>
  <c r="F46" i="10" s="1"/>
  <c r="C156" i="5"/>
  <c r="C47" i="10" s="1"/>
  <c r="D156" i="5"/>
  <c r="D47" i="10" s="1"/>
  <c r="E156" i="5"/>
  <c r="E47" i="10" s="1"/>
  <c r="F156" i="5"/>
  <c r="F47" i="10" s="1"/>
  <c r="C157" i="5"/>
  <c r="C48" i="10" s="1"/>
  <c r="D157" i="5"/>
  <c r="D48" i="10" s="1"/>
  <c r="E157" i="5"/>
  <c r="E48" i="10" s="1"/>
  <c r="F157" i="5"/>
  <c r="F48" i="10" s="1"/>
  <c r="C158" i="5"/>
  <c r="C49" i="10" s="1"/>
  <c r="D158" i="5"/>
  <c r="D49" i="10" s="1"/>
  <c r="E158" i="5"/>
  <c r="E49" i="10" s="1"/>
  <c r="F158" i="5"/>
  <c r="F49" i="10" s="1"/>
  <c r="C161" i="5"/>
  <c r="C52" i="10" s="1"/>
  <c r="D161" i="5"/>
  <c r="D52" i="10" s="1"/>
  <c r="E161" i="5"/>
  <c r="E52" i="10" s="1"/>
  <c r="F161" i="5"/>
  <c r="F52" i="10" s="1"/>
  <c r="C15" i="2" l="1"/>
  <c r="B39" i="8"/>
  <c r="D15" i="9" s="1"/>
  <c r="B58" i="10"/>
  <c r="B52" i="10"/>
  <c r="B47" i="10"/>
  <c r="B45" i="10"/>
  <c r="B43" i="10"/>
  <c r="B41" i="10"/>
  <c r="B40" i="10"/>
  <c r="B68" i="10"/>
  <c r="B64" i="10"/>
  <c r="B63" i="10"/>
  <c r="B62" i="10"/>
  <c r="B61" i="10"/>
  <c r="B49" i="10"/>
  <c r="B48" i="10"/>
  <c r="B46" i="10"/>
  <c r="B42" i="10"/>
  <c r="B65" i="10"/>
  <c r="B59" i="10"/>
  <c r="B37" i="8"/>
  <c r="D13" i="9" s="1"/>
  <c r="C13" i="2"/>
  <c r="C12" i="2"/>
  <c r="D166" i="5"/>
  <c r="D57" i="10" s="1"/>
  <c r="F166" i="5"/>
  <c r="F57" i="10" s="1"/>
  <c r="E166" i="5"/>
  <c r="E57" i="10" s="1"/>
  <c r="C166" i="5"/>
  <c r="C57" i="10" s="1"/>
  <c r="B22" i="6"/>
  <c r="B20" i="6"/>
  <c r="D20" i="6" s="1"/>
  <c r="B18" i="6"/>
  <c r="B57" i="10" l="1"/>
  <c r="C18" i="6"/>
  <c r="B29" i="6" s="1"/>
  <c r="C22" i="6"/>
  <c r="B21" i="6"/>
  <c r="B19" i="6" s="1"/>
  <c r="B16" i="6" s="1"/>
  <c r="D18" i="6"/>
  <c r="E18" i="6" s="1"/>
  <c r="D22" i="6"/>
  <c r="E22" i="6" s="1"/>
  <c r="C20" i="6"/>
  <c r="E20" i="6" l="1"/>
  <c r="B30" i="6"/>
  <c r="J189" i="5"/>
  <c r="J32" i="8" s="1"/>
  <c r="I189" i="5"/>
  <c r="I32" i="8" s="1"/>
  <c r="H189" i="5"/>
  <c r="H32" i="8" s="1"/>
  <c r="G189" i="5"/>
  <c r="G32" i="8" s="1"/>
  <c r="J181" i="5"/>
  <c r="I181" i="5"/>
  <c r="H181" i="5"/>
  <c r="G181" i="5"/>
  <c r="B143" i="5"/>
  <c r="C142" i="5"/>
  <c r="C141" i="5"/>
  <c r="B123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B30" i="5"/>
  <c r="B27" i="5"/>
  <c r="B24" i="5"/>
  <c r="B14" i="5"/>
  <c r="B9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AA4" i="5"/>
  <c r="Z4" i="5"/>
  <c r="Y4" i="5"/>
  <c r="X4" i="5"/>
  <c r="W4" i="5"/>
  <c r="V4" i="5"/>
  <c r="U4" i="5"/>
  <c r="T4" i="5"/>
  <c r="S4" i="5"/>
  <c r="R4" i="5"/>
  <c r="Q4" i="5"/>
  <c r="P4" i="5"/>
  <c r="O4" i="5"/>
  <c r="N4" i="5"/>
  <c r="M4" i="5"/>
  <c r="L4" i="5"/>
  <c r="K4" i="5"/>
  <c r="J4" i="5"/>
  <c r="I4" i="5"/>
  <c r="H4" i="5"/>
  <c r="G4" i="5"/>
  <c r="F4" i="5"/>
  <c r="E4" i="5"/>
  <c r="D4" i="5"/>
  <c r="H198" i="5" l="1"/>
  <c r="H40" i="8" s="1"/>
  <c r="L198" i="5"/>
  <c r="L40" i="8" s="1"/>
  <c r="P198" i="5"/>
  <c r="P40" i="8" s="1"/>
  <c r="T198" i="5"/>
  <c r="T40" i="8" s="1"/>
  <c r="X198" i="5"/>
  <c r="X40" i="8" s="1"/>
  <c r="I198" i="5"/>
  <c r="I40" i="8" s="1"/>
  <c r="M198" i="5"/>
  <c r="M40" i="8" s="1"/>
  <c r="Q198" i="5"/>
  <c r="Q40" i="8" s="1"/>
  <c r="U198" i="5"/>
  <c r="U40" i="8" s="1"/>
  <c r="Y198" i="5"/>
  <c r="Y40" i="8" s="1"/>
  <c r="J198" i="5"/>
  <c r="J40" i="8" s="1"/>
  <c r="N198" i="5"/>
  <c r="N40" i="8" s="1"/>
  <c r="R198" i="5"/>
  <c r="R40" i="8" s="1"/>
  <c r="V198" i="5"/>
  <c r="V40" i="8" s="1"/>
  <c r="Z198" i="5"/>
  <c r="Z40" i="8" s="1"/>
  <c r="K198" i="5"/>
  <c r="K40" i="8" s="1"/>
  <c r="O198" i="5"/>
  <c r="O40" i="8" s="1"/>
  <c r="S198" i="5"/>
  <c r="S40" i="8" s="1"/>
  <c r="W198" i="5"/>
  <c r="W40" i="8" s="1"/>
  <c r="AA198" i="5"/>
  <c r="AA40" i="8" s="1"/>
  <c r="L191" i="5"/>
  <c r="L34" i="8" s="1"/>
  <c r="L193" i="5"/>
  <c r="L36" i="8" s="1"/>
  <c r="L192" i="5"/>
  <c r="L35" i="8" s="1"/>
  <c r="P191" i="5"/>
  <c r="P34" i="8" s="1"/>
  <c r="P193" i="5"/>
  <c r="P36" i="8" s="1"/>
  <c r="P192" i="5"/>
  <c r="P35" i="8" s="1"/>
  <c r="T191" i="5"/>
  <c r="T34" i="8" s="1"/>
  <c r="T193" i="5"/>
  <c r="T36" i="8" s="1"/>
  <c r="T192" i="5"/>
  <c r="T35" i="8" s="1"/>
  <c r="M192" i="5"/>
  <c r="M35" i="8" s="1"/>
  <c r="M193" i="5"/>
  <c r="M36" i="8" s="1"/>
  <c r="M191" i="5"/>
  <c r="M34" i="8" s="1"/>
  <c r="Q193" i="5"/>
  <c r="Q36" i="8" s="1"/>
  <c r="Q192" i="5"/>
  <c r="Q35" i="8" s="1"/>
  <c r="Q191" i="5"/>
  <c r="Q34" i="8" s="1"/>
  <c r="U192" i="5"/>
  <c r="U35" i="8" s="1"/>
  <c r="U193" i="5"/>
  <c r="U36" i="8" s="1"/>
  <c r="U191" i="5"/>
  <c r="U34" i="8" s="1"/>
  <c r="F148" i="5"/>
  <c r="F39" i="10" s="1"/>
  <c r="D148" i="5"/>
  <c r="D39" i="10" s="1"/>
  <c r="E148" i="5"/>
  <c r="E39" i="10" s="1"/>
  <c r="C148" i="5"/>
  <c r="C39" i="10" s="1"/>
  <c r="F169" i="5"/>
  <c r="F60" i="10" s="1"/>
  <c r="C169" i="5"/>
  <c r="C60" i="10" s="1"/>
  <c r="E169" i="5"/>
  <c r="E60" i="10" s="1"/>
  <c r="D169" i="5"/>
  <c r="D60" i="10" s="1"/>
  <c r="N193" i="5"/>
  <c r="N36" i="8" s="1"/>
  <c r="N192" i="5"/>
  <c r="N35" i="8" s="1"/>
  <c r="N191" i="5"/>
  <c r="N34" i="8" s="1"/>
  <c r="R193" i="5"/>
  <c r="R36" i="8" s="1"/>
  <c r="R192" i="5"/>
  <c r="R35" i="8" s="1"/>
  <c r="R191" i="5"/>
  <c r="R34" i="8" s="1"/>
  <c r="V193" i="5"/>
  <c r="V36" i="8" s="1"/>
  <c r="V192" i="5"/>
  <c r="V35" i="8" s="1"/>
  <c r="V191" i="5"/>
  <c r="V34" i="8" s="1"/>
  <c r="D141" i="5"/>
  <c r="E141" i="5" s="1"/>
  <c r="F153" i="5"/>
  <c r="F44" i="10" s="1"/>
  <c r="C153" i="5"/>
  <c r="C44" i="10" s="1"/>
  <c r="D153" i="5"/>
  <c r="D44" i="10" s="1"/>
  <c r="E153" i="5"/>
  <c r="E44" i="10" s="1"/>
  <c r="K191" i="5"/>
  <c r="K34" i="8" s="1"/>
  <c r="K193" i="5"/>
  <c r="K36" i="8" s="1"/>
  <c r="K192" i="5"/>
  <c r="K35" i="8" s="1"/>
  <c r="O191" i="5"/>
  <c r="O34" i="8" s="1"/>
  <c r="O193" i="5"/>
  <c r="O36" i="8" s="1"/>
  <c r="O192" i="5"/>
  <c r="O35" i="8" s="1"/>
  <c r="S191" i="5"/>
  <c r="S34" i="8" s="1"/>
  <c r="S193" i="5"/>
  <c r="S36" i="8" s="1"/>
  <c r="S192" i="5"/>
  <c r="S35" i="8" s="1"/>
  <c r="W191" i="5"/>
  <c r="W34" i="8" s="1"/>
  <c r="W192" i="5"/>
  <c r="W35" i="8" s="1"/>
  <c r="W193" i="5"/>
  <c r="W36" i="8" s="1"/>
  <c r="K181" i="5"/>
  <c r="O181" i="5"/>
  <c r="S181" i="5"/>
  <c r="W181" i="5"/>
  <c r="N189" i="5"/>
  <c r="N32" i="8" s="1"/>
  <c r="R189" i="5"/>
  <c r="R32" i="8" s="1"/>
  <c r="V189" i="5"/>
  <c r="V32" i="8" s="1"/>
  <c r="L181" i="5"/>
  <c r="P181" i="5"/>
  <c r="T181" i="5"/>
  <c r="X45" i="5"/>
  <c r="G198" i="5"/>
  <c r="G40" i="8" s="1"/>
  <c r="B40" i="8" s="1"/>
  <c r="D16" i="9" s="1"/>
  <c r="D142" i="5"/>
  <c r="K189" i="5"/>
  <c r="K32" i="8" s="1"/>
  <c r="O189" i="5"/>
  <c r="O32" i="8" s="1"/>
  <c r="S189" i="5"/>
  <c r="S32" i="8" s="1"/>
  <c r="W189" i="5"/>
  <c r="W32" i="8" s="1"/>
  <c r="M181" i="5"/>
  <c r="Q181" i="5"/>
  <c r="U181" i="5"/>
  <c r="C143" i="5"/>
  <c r="L189" i="5"/>
  <c r="L32" i="8" s="1"/>
  <c r="P189" i="5"/>
  <c r="P32" i="8" s="1"/>
  <c r="T189" i="5"/>
  <c r="T32" i="8" s="1"/>
  <c r="N181" i="5"/>
  <c r="R181" i="5"/>
  <c r="V181" i="5"/>
  <c r="M189" i="5"/>
  <c r="M32" i="8" s="1"/>
  <c r="Q189" i="5"/>
  <c r="Q32" i="8" s="1"/>
  <c r="U189" i="5"/>
  <c r="U32" i="8" s="1"/>
  <c r="X189" i="5" l="1"/>
  <c r="X32" i="8" s="1"/>
  <c r="B60" i="10"/>
  <c r="B44" i="10"/>
  <c r="E69" i="10"/>
  <c r="F69" i="10"/>
  <c r="B39" i="10"/>
  <c r="C69" i="10"/>
  <c r="D69" i="10"/>
  <c r="X191" i="5"/>
  <c r="X34" i="8" s="1"/>
  <c r="X193" i="5"/>
  <c r="X36" i="8" s="1"/>
  <c r="X192" i="5"/>
  <c r="X35" i="8" s="1"/>
  <c r="F178" i="5"/>
  <c r="C178" i="5"/>
  <c r="E178" i="5"/>
  <c r="D178" i="5"/>
  <c r="D143" i="5"/>
  <c r="X181" i="5"/>
  <c r="Y45" i="5"/>
  <c r="F141" i="5"/>
  <c r="E142" i="5"/>
  <c r="B333" i="4"/>
  <c r="B349" i="4"/>
  <c r="AA324" i="4"/>
  <c r="Z324" i="4"/>
  <c r="Y324" i="4"/>
  <c r="X324" i="4"/>
  <c r="W324" i="4"/>
  <c r="V324" i="4"/>
  <c r="U324" i="4"/>
  <c r="T324" i="4"/>
  <c r="S324" i="4"/>
  <c r="R324" i="4"/>
  <c r="Q324" i="4"/>
  <c r="P324" i="4"/>
  <c r="O324" i="4"/>
  <c r="N324" i="4"/>
  <c r="AA318" i="4"/>
  <c r="AA341" i="4" s="1"/>
  <c r="Z318" i="4"/>
  <c r="Z341" i="4" s="1"/>
  <c r="Y318" i="4"/>
  <c r="Y341" i="4" s="1"/>
  <c r="X318" i="4"/>
  <c r="X341" i="4" s="1"/>
  <c r="W318" i="4"/>
  <c r="W341" i="4" s="1"/>
  <c r="V318" i="4"/>
  <c r="V341" i="4" s="1"/>
  <c r="U318" i="4"/>
  <c r="U341" i="4" s="1"/>
  <c r="T318" i="4"/>
  <c r="T341" i="4" s="1"/>
  <c r="S318" i="4"/>
  <c r="S341" i="4" s="1"/>
  <c r="R318" i="4"/>
  <c r="R341" i="4" s="1"/>
  <c r="Q318" i="4"/>
  <c r="Q341" i="4" s="1"/>
  <c r="P318" i="4"/>
  <c r="P341" i="4" s="1"/>
  <c r="O318" i="4"/>
  <c r="O341" i="4" s="1"/>
  <c r="N318" i="4"/>
  <c r="N341" i="4" s="1"/>
  <c r="AA296" i="4"/>
  <c r="Z296" i="4"/>
  <c r="Y296" i="4"/>
  <c r="X296" i="4"/>
  <c r="W296" i="4"/>
  <c r="V296" i="4"/>
  <c r="U296" i="4"/>
  <c r="T296" i="4"/>
  <c r="S296" i="4"/>
  <c r="R296" i="4"/>
  <c r="Q296" i="4"/>
  <c r="P296" i="4"/>
  <c r="O296" i="4"/>
  <c r="N296" i="4"/>
  <c r="AA294" i="4"/>
  <c r="Z294" i="4"/>
  <c r="Y294" i="4"/>
  <c r="X294" i="4"/>
  <c r="W294" i="4"/>
  <c r="V294" i="4"/>
  <c r="U294" i="4"/>
  <c r="T294" i="4"/>
  <c r="S294" i="4"/>
  <c r="F272" i="4"/>
  <c r="J274" i="4"/>
  <c r="I274" i="4"/>
  <c r="H274" i="4"/>
  <c r="G274" i="4"/>
  <c r="J265" i="4"/>
  <c r="I265" i="4"/>
  <c r="H265" i="4"/>
  <c r="G265" i="4"/>
  <c r="C244" i="4"/>
  <c r="F243" i="4"/>
  <c r="F249" i="4" s="1"/>
  <c r="F318" i="4" s="1"/>
  <c r="F341" i="4" s="1"/>
  <c r="E243" i="4"/>
  <c r="E249" i="4" s="1"/>
  <c r="E318" i="4" s="1"/>
  <c r="E341" i="4" s="1"/>
  <c r="D243" i="4"/>
  <c r="D249" i="4" s="1"/>
  <c r="D318" i="4" s="1"/>
  <c r="D341" i="4" s="1"/>
  <c r="C243" i="4"/>
  <c r="C249" i="4" s="1"/>
  <c r="C318" i="4" s="1"/>
  <c r="F189" i="4"/>
  <c r="F34" i="10" s="1"/>
  <c r="E189" i="4"/>
  <c r="E34" i="10" s="1"/>
  <c r="D189" i="4"/>
  <c r="D34" i="10" s="1"/>
  <c r="C189" i="4"/>
  <c r="C34" i="10" s="1"/>
  <c r="F32" i="10"/>
  <c r="E32" i="10"/>
  <c r="D32" i="10"/>
  <c r="C187" i="4"/>
  <c r="C32" i="10" s="1"/>
  <c r="F186" i="4"/>
  <c r="F31" i="10" s="1"/>
  <c r="E186" i="4"/>
  <c r="E31" i="10" s="1"/>
  <c r="D186" i="4"/>
  <c r="D31" i="10" s="1"/>
  <c r="C186" i="4"/>
  <c r="C31" i="10" s="1"/>
  <c r="F185" i="4"/>
  <c r="F30" i="10" s="1"/>
  <c r="E185" i="4"/>
  <c r="E30" i="10" s="1"/>
  <c r="D185" i="4"/>
  <c r="D30" i="10" s="1"/>
  <c r="C185" i="4"/>
  <c r="C30" i="10" s="1"/>
  <c r="F184" i="4"/>
  <c r="F29" i="10" s="1"/>
  <c r="E184" i="4"/>
  <c r="E29" i="10" s="1"/>
  <c r="D184" i="4"/>
  <c r="D29" i="10" s="1"/>
  <c r="C184" i="4"/>
  <c r="C29" i="10" s="1"/>
  <c r="F183" i="4"/>
  <c r="F28" i="10" s="1"/>
  <c r="E183" i="4"/>
  <c r="E28" i="10" s="1"/>
  <c r="D183" i="4"/>
  <c r="D28" i="10" s="1"/>
  <c r="C183" i="4"/>
  <c r="C28" i="10" s="1"/>
  <c r="F182" i="4"/>
  <c r="F27" i="10" s="1"/>
  <c r="E182" i="4"/>
  <c r="E27" i="10" s="1"/>
  <c r="D182" i="4"/>
  <c r="D27" i="10" s="1"/>
  <c r="C182" i="4"/>
  <c r="C27" i="10" s="1"/>
  <c r="F180" i="4"/>
  <c r="F25" i="10" s="1"/>
  <c r="E180" i="4"/>
  <c r="E25" i="10" s="1"/>
  <c r="D180" i="4"/>
  <c r="D25" i="10" s="1"/>
  <c r="C180" i="4"/>
  <c r="C25" i="10" s="1"/>
  <c r="F179" i="4"/>
  <c r="F24" i="10" s="1"/>
  <c r="E179" i="4"/>
  <c r="E24" i="10" s="1"/>
  <c r="D179" i="4"/>
  <c r="D24" i="10" s="1"/>
  <c r="C179" i="4"/>
  <c r="C24" i="10" s="1"/>
  <c r="F177" i="4"/>
  <c r="F22" i="10" s="1"/>
  <c r="E177" i="4"/>
  <c r="E22" i="10" s="1"/>
  <c r="D177" i="4"/>
  <c r="D22" i="10" s="1"/>
  <c r="C177" i="4"/>
  <c r="C22" i="10" s="1"/>
  <c r="F176" i="4"/>
  <c r="F21" i="10" s="1"/>
  <c r="E176" i="4"/>
  <c r="E21" i="10" s="1"/>
  <c r="D176" i="4"/>
  <c r="D21" i="10" s="1"/>
  <c r="C176" i="4"/>
  <c r="C21" i="10" s="1"/>
  <c r="F173" i="4"/>
  <c r="F18" i="10" s="1"/>
  <c r="E173" i="4"/>
  <c r="E18" i="10" s="1"/>
  <c r="D173" i="4"/>
  <c r="D18" i="10" s="1"/>
  <c r="C173" i="4"/>
  <c r="C18" i="10" s="1"/>
  <c r="F16" i="10"/>
  <c r="E16" i="10"/>
  <c r="D16" i="10"/>
  <c r="C171" i="4"/>
  <c r="C16" i="10" s="1"/>
  <c r="F170" i="4"/>
  <c r="F15" i="10" s="1"/>
  <c r="E170" i="4"/>
  <c r="E15" i="10" s="1"/>
  <c r="D170" i="4"/>
  <c r="D15" i="10" s="1"/>
  <c r="C170" i="4"/>
  <c r="C15" i="10" s="1"/>
  <c r="B15" i="10" s="1"/>
  <c r="F169" i="4"/>
  <c r="F14" i="10" s="1"/>
  <c r="E169" i="4"/>
  <c r="E14" i="10" s="1"/>
  <c r="D169" i="4"/>
  <c r="D14" i="10" s="1"/>
  <c r="C169" i="4"/>
  <c r="F168" i="4"/>
  <c r="F13" i="10" s="1"/>
  <c r="E168" i="4"/>
  <c r="E13" i="10" s="1"/>
  <c r="D168" i="4"/>
  <c r="D13" i="10" s="1"/>
  <c r="C168" i="4"/>
  <c r="F167" i="4"/>
  <c r="F12" i="10" s="1"/>
  <c r="E167" i="4"/>
  <c r="E12" i="10" s="1"/>
  <c r="D167" i="4"/>
  <c r="D12" i="10" s="1"/>
  <c r="C167" i="4"/>
  <c r="F166" i="4"/>
  <c r="F11" i="10" s="1"/>
  <c r="E166" i="4"/>
  <c r="E11" i="10" s="1"/>
  <c r="D166" i="4"/>
  <c r="D11" i="10" s="1"/>
  <c r="C166" i="4"/>
  <c r="F164" i="4"/>
  <c r="F9" i="10" s="1"/>
  <c r="E164" i="4"/>
  <c r="E9" i="10" s="1"/>
  <c r="D164" i="4"/>
  <c r="D9" i="10" s="1"/>
  <c r="C164" i="4"/>
  <c r="F163" i="4"/>
  <c r="F8" i="10" s="1"/>
  <c r="E163" i="4"/>
  <c r="E8" i="10" s="1"/>
  <c r="D163" i="4"/>
  <c r="D8" i="10" s="1"/>
  <c r="C163" i="4"/>
  <c r="F162" i="4"/>
  <c r="F7" i="10" s="1"/>
  <c r="E162" i="4"/>
  <c r="E7" i="10" s="1"/>
  <c r="D162" i="4"/>
  <c r="D7" i="10" s="1"/>
  <c r="C162" i="4"/>
  <c r="F161" i="4"/>
  <c r="F6" i="10" s="1"/>
  <c r="E161" i="4"/>
  <c r="E6" i="10" s="1"/>
  <c r="D161" i="4"/>
  <c r="D6" i="10" s="1"/>
  <c r="C161" i="4"/>
  <c r="B155" i="4"/>
  <c r="C154" i="4"/>
  <c r="C153" i="4"/>
  <c r="B144" i="4"/>
  <c r="B130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B30" i="4"/>
  <c r="E181" i="4" s="1"/>
  <c r="E26" i="10" s="1"/>
  <c r="B27" i="4"/>
  <c r="E178" i="4" s="1"/>
  <c r="E23" i="10" s="1"/>
  <c r="B24" i="4"/>
  <c r="E175" i="4" s="1"/>
  <c r="E20" i="10" s="1"/>
  <c r="B14" i="4"/>
  <c r="E165" i="4" s="1"/>
  <c r="E10" i="10" s="1"/>
  <c r="B9" i="4"/>
  <c r="E160" i="4" s="1"/>
  <c r="E5" i="10" s="1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D154" i="4" s="1"/>
  <c r="AA4" i="4"/>
  <c r="Z4" i="4"/>
  <c r="Y4" i="4"/>
  <c r="X4" i="4"/>
  <c r="W4" i="4"/>
  <c r="V4" i="4"/>
  <c r="U4" i="4"/>
  <c r="T4" i="4"/>
  <c r="S4" i="4"/>
  <c r="R4" i="4"/>
  <c r="Q4" i="4"/>
  <c r="P4" i="4"/>
  <c r="O4" i="4"/>
  <c r="N4" i="4"/>
  <c r="M4" i="4"/>
  <c r="L4" i="4"/>
  <c r="K4" i="4"/>
  <c r="J4" i="4"/>
  <c r="I4" i="4"/>
  <c r="H4" i="4"/>
  <c r="G4" i="4"/>
  <c r="F4" i="4"/>
  <c r="E4" i="4"/>
  <c r="D4" i="4"/>
  <c r="B16" i="10" l="1"/>
  <c r="B76" i="10" s="1"/>
  <c r="B18" i="10"/>
  <c r="B78" i="10" s="1"/>
  <c r="B21" i="10"/>
  <c r="B22" i="10"/>
  <c r="B24" i="10"/>
  <c r="B82" i="10" s="1"/>
  <c r="I24" i="9" s="1"/>
  <c r="I25" i="9" s="1"/>
  <c r="B25" i="10"/>
  <c r="B83" i="10" s="1"/>
  <c r="B27" i="10"/>
  <c r="B28" i="10"/>
  <c r="B29" i="10"/>
  <c r="B30" i="10"/>
  <c r="B31" i="10"/>
  <c r="B32" i="10"/>
  <c r="B85" i="10" s="1"/>
  <c r="B34" i="10"/>
  <c r="B87" i="10" s="1"/>
  <c r="C195" i="4"/>
  <c r="C8" i="10"/>
  <c r="B8" i="10" s="1"/>
  <c r="C200" i="4"/>
  <c r="C13" i="10"/>
  <c r="B13" i="10" s="1"/>
  <c r="C196" i="4"/>
  <c r="C9" i="10"/>
  <c r="B9" i="10" s="1"/>
  <c r="B74" i="10" s="1"/>
  <c r="C198" i="4"/>
  <c r="C11" i="10"/>
  <c r="B11" i="10" s="1"/>
  <c r="Y187" i="5"/>
  <c r="U187" i="5"/>
  <c r="U190" i="5" s="1"/>
  <c r="Q187" i="5"/>
  <c r="Q190" i="5" s="1"/>
  <c r="M187" i="5"/>
  <c r="M190" i="5" s="1"/>
  <c r="I187" i="5"/>
  <c r="I190" i="5" s="1"/>
  <c r="X187" i="5"/>
  <c r="X190" i="5" s="1"/>
  <c r="T187" i="5"/>
  <c r="T190" i="5" s="1"/>
  <c r="P187" i="5"/>
  <c r="P190" i="5" s="1"/>
  <c r="L187" i="5"/>
  <c r="L190" i="5" s="1"/>
  <c r="H187" i="5"/>
  <c r="H190" i="5" s="1"/>
  <c r="AA187" i="5"/>
  <c r="W187" i="5"/>
  <c r="W190" i="5" s="1"/>
  <c r="S187" i="5"/>
  <c r="S190" i="5" s="1"/>
  <c r="O187" i="5"/>
  <c r="O190" i="5" s="1"/>
  <c r="K187" i="5"/>
  <c r="K190" i="5" s="1"/>
  <c r="G187" i="5"/>
  <c r="G190" i="5" s="1"/>
  <c r="V187" i="5"/>
  <c r="V190" i="5" s="1"/>
  <c r="R187" i="5"/>
  <c r="R190" i="5" s="1"/>
  <c r="N187" i="5"/>
  <c r="N190" i="5" s="1"/>
  <c r="J187" i="5"/>
  <c r="J190" i="5" s="1"/>
  <c r="Z187" i="5"/>
  <c r="B69" i="10"/>
  <c r="C194" i="4"/>
  <c r="C7" i="10"/>
  <c r="B7" i="10" s="1"/>
  <c r="C199" i="4"/>
  <c r="C12" i="10"/>
  <c r="B12" i="10" s="1"/>
  <c r="E154" i="4"/>
  <c r="D24" i="8"/>
  <c r="D10" i="8"/>
  <c r="D11" i="8"/>
  <c r="D12" i="8"/>
  <c r="D13" i="8"/>
  <c r="D14" i="8"/>
  <c r="D15" i="8"/>
  <c r="D16" i="8"/>
  <c r="D17" i="8"/>
  <c r="D21" i="8"/>
  <c r="D7" i="8"/>
  <c r="D9" i="8"/>
  <c r="D18" i="8"/>
  <c r="D19" i="8"/>
  <c r="D20" i="8"/>
  <c r="D22" i="8"/>
  <c r="D23" i="8"/>
  <c r="E35" i="10"/>
  <c r="Y190" i="5"/>
  <c r="C193" i="4"/>
  <c r="C6" i="10"/>
  <c r="B6" i="10" s="1"/>
  <c r="C201" i="4"/>
  <c r="C14" i="10"/>
  <c r="B14" i="10" s="1"/>
  <c r="X53" i="4"/>
  <c r="C24" i="8"/>
  <c r="C18" i="8"/>
  <c r="C22" i="8"/>
  <c r="C11" i="8"/>
  <c r="C9" i="8"/>
  <c r="C7" i="8"/>
  <c r="C23" i="8"/>
  <c r="C19" i="8"/>
  <c r="C12" i="8"/>
  <c r="C17" i="8"/>
  <c r="C14" i="8"/>
  <c r="C16" i="8"/>
  <c r="C20" i="8"/>
  <c r="C15" i="8"/>
  <c r="C13" i="8"/>
  <c r="C10" i="8"/>
  <c r="C21" i="8"/>
  <c r="Y193" i="5"/>
  <c r="Y36" i="8" s="1"/>
  <c r="Y192" i="5"/>
  <c r="Y35" i="8" s="1"/>
  <c r="Y191" i="5"/>
  <c r="Y34" i="8" s="1"/>
  <c r="C213" i="5"/>
  <c r="D213" i="5"/>
  <c r="F142" i="5"/>
  <c r="E143" i="5"/>
  <c r="G141" i="5"/>
  <c r="Y181" i="5"/>
  <c r="Z45" i="5"/>
  <c r="Z190" i="5" s="1"/>
  <c r="Y189" i="5"/>
  <c r="Y32" i="8" s="1"/>
  <c r="Y53" i="4"/>
  <c r="C202" i="4"/>
  <c r="C203" i="4"/>
  <c r="C204" i="4"/>
  <c r="C205" i="4"/>
  <c r="C208" i="4"/>
  <c r="C209" i="4"/>
  <c r="C211" i="4"/>
  <c r="C212" i="4"/>
  <c r="C214" i="4"/>
  <c r="C215" i="4"/>
  <c r="C216" i="4"/>
  <c r="C217" i="4"/>
  <c r="C218" i="4"/>
  <c r="C219" i="4"/>
  <c r="C220" i="4"/>
  <c r="C221" i="4"/>
  <c r="D153" i="4"/>
  <c r="E153" i="4" s="1"/>
  <c r="F153" i="4" s="1"/>
  <c r="G153" i="4" s="1"/>
  <c r="E192" i="4"/>
  <c r="E193" i="4"/>
  <c r="E194" i="4"/>
  <c r="E199" i="4"/>
  <c r="E197" i="4"/>
  <c r="D193" i="4"/>
  <c r="D194" i="4"/>
  <c r="D195" i="4"/>
  <c r="D196" i="4"/>
  <c r="D198" i="4"/>
  <c r="D199" i="4"/>
  <c r="D200" i="4"/>
  <c r="D201" i="4"/>
  <c r="D202" i="4"/>
  <c r="D203" i="4"/>
  <c r="D204" i="4"/>
  <c r="D205" i="4"/>
  <c r="F214" i="4"/>
  <c r="F216" i="4"/>
  <c r="F220" i="4"/>
  <c r="Y265" i="4"/>
  <c r="Z53" i="4"/>
  <c r="E195" i="4"/>
  <c r="E196" i="4"/>
  <c r="E198" i="4"/>
  <c r="E200" i="4"/>
  <c r="E201" i="4"/>
  <c r="E202" i="4"/>
  <c r="E203" i="4"/>
  <c r="E204" i="4"/>
  <c r="E205" i="4"/>
  <c r="E211" i="4"/>
  <c r="E214" i="4"/>
  <c r="E216" i="4"/>
  <c r="E220" i="4"/>
  <c r="K265" i="4"/>
  <c r="M265" i="4"/>
  <c r="O265" i="4"/>
  <c r="Q265" i="4"/>
  <c r="S265" i="4"/>
  <c r="U265" i="4"/>
  <c r="W265" i="4"/>
  <c r="C155" i="4"/>
  <c r="E155" i="4"/>
  <c r="D160" i="4"/>
  <c r="F160" i="4"/>
  <c r="D165" i="4"/>
  <c r="F165" i="4"/>
  <c r="D175" i="4"/>
  <c r="F175" i="4"/>
  <c r="D178" i="4"/>
  <c r="F178" i="4"/>
  <c r="D181" i="4"/>
  <c r="F181" i="4"/>
  <c r="K274" i="4"/>
  <c r="M274" i="4"/>
  <c r="O274" i="4"/>
  <c r="Q274" i="4"/>
  <c r="S274" i="4"/>
  <c r="U274" i="4"/>
  <c r="W274" i="4"/>
  <c r="Y274" i="4"/>
  <c r="L265" i="4"/>
  <c r="N265" i="4"/>
  <c r="P265" i="4"/>
  <c r="R265" i="4"/>
  <c r="T265" i="4"/>
  <c r="V265" i="4"/>
  <c r="X265" i="4"/>
  <c r="Z283" i="4"/>
  <c r="X283" i="4"/>
  <c r="V283" i="4"/>
  <c r="T283" i="4"/>
  <c r="R283" i="4"/>
  <c r="P283" i="4"/>
  <c r="N283" i="4"/>
  <c r="L283" i="4"/>
  <c r="J283" i="4"/>
  <c r="H283" i="4"/>
  <c r="AA283" i="4"/>
  <c r="Y283" i="4"/>
  <c r="W283" i="4"/>
  <c r="U283" i="4"/>
  <c r="S283" i="4"/>
  <c r="Q283" i="4"/>
  <c r="O283" i="4"/>
  <c r="M283" i="4"/>
  <c r="K283" i="4"/>
  <c r="I283" i="4"/>
  <c r="G283" i="4"/>
  <c r="C341" i="4"/>
  <c r="D155" i="4"/>
  <c r="C160" i="4"/>
  <c r="C165" i="4"/>
  <c r="C175" i="4"/>
  <c r="C178" i="4"/>
  <c r="C181" i="4"/>
  <c r="L274" i="4"/>
  <c r="N274" i="4"/>
  <c r="P274" i="4"/>
  <c r="R274" i="4"/>
  <c r="T274" i="4"/>
  <c r="V274" i="4"/>
  <c r="X274" i="4"/>
  <c r="Z274" i="4"/>
  <c r="G272" i="4"/>
  <c r="C247" i="4"/>
  <c r="D242" i="4" s="1"/>
  <c r="E218" i="4" l="1"/>
  <c r="F218" i="4"/>
  <c r="F208" i="4"/>
  <c r="F211" i="4"/>
  <c r="C210" i="4"/>
  <c r="C226" i="4" s="1"/>
  <c r="C23" i="10"/>
  <c r="C197" i="4"/>
  <c r="C10" i="10"/>
  <c r="C213" i="4"/>
  <c r="C229" i="4" s="1"/>
  <c r="C26" i="10"/>
  <c r="C192" i="4"/>
  <c r="C5" i="10"/>
  <c r="F213" i="4"/>
  <c r="F26" i="10"/>
  <c r="F207" i="4"/>
  <c r="F20" i="10"/>
  <c r="F5" i="10"/>
  <c r="C224" i="4"/>
  <c r="E221" i="4"/>
  <c r="E217" i="4"/>
  <c r="E212" i="4"/>
  <c r="D221" i="4"/>
  <c r="D219" i="4"/>
  <c r="D235" i="4" s="1"/>
  <c r="D217" i="4"/>
  <c r="D215" i="4"/>
  <c r="D212" i="4"/>
  <c r="D209" i="4"/>
  <c r="E208" i="4"/>
  <c r="F154" i="4"/>
  <c r="F192" i="4" s="1"/>
  <c r="E7" i="8"/>
  <c r="E9" i="8"/>
  <c r="E24" i="8"/>
  <c r="E17" i="8"/>
  <c r="E18" i="8"/>
  <c r="E19" i="8"/>
  <c r="E20" i="8"/>
  <c r="E21" i="8"/>
  <c r="E22" i="8"/>
  <c r="E23" i="8"/>
  <c r="E10" i="8"/>
  <c r="E11" i="8"/>
  <c r="E12" i="8"/>
  <c r="E13" i="8"/>
  <c r="E14" i="8"/>
  <c r="E15" i="8"/>
  <c r="E16" i="8"/>
  <c r="D207" i="4"/>
  <c r="D20" i="10"/>
  <c r="D213" i="4"/>
  <c r="D26" i="10"/>
  <c r="D192" i="4"/>
  <c r="D5" i="10"/>
  <c r="C207" i="4"/>
  <c r="C223" i="4" s="1"/>
  <c r="C20" i="10"/>
  <c r="F210" i="4"/>
  <c r="F23" i="10"/>
  <c r="F197" i="4"/>
  <c r="F10" i="10"/>
  <c r="E219" i="4"/>
  <c r="E235" i="4" s="1"/>
  <c r="E215" i="4"/>
  <c r="E209" i="4"/>
  <c r="D220" i="4"/>
  <c r="D236" i="4" s="1"/>
  <c r="D218" i="4"/>
  <c r="D216" i="4"/>
  <c r="D214" i="4"/>
  <c r="D211" i="4"/>
  <c r="D208" i="4"/>
  <c r="D210" i="4"/>
  <c r="D23" i="10"/>
  <c r="D197" i="4"/>
  <c r="D10" i="10"/>
  <c r="F221" i="4"/>
  <c r="F219" i="4"/>
  <c r="F217" i="4"/>
  <c r="F215" i="4"/>
  <c r="F212" i="4"/>
  <c r="F209" i="4"/>
  <c r="C214" i="5"/>
  <c r="C216" i="5" s="1"/>
  <c r="C48" i="8"/>
  <c r="D214" i="5"/>
  <c r="D216" i="5" s="1"/>
  <c r="D48" i="8"/>
  <c r="D49" i="8" s="1"/>
  <c r="F143" i="5"/>
  <c r="Z193" i="5"/>
  <c r="Z36" i="8" s="1"/>
  <c r="Z192" i="5"/>
  <c r="Z35" i="8" s="1"/>
  <c r="Z191" i="5"/>
  <c r="Z34" i="8" s="1"/>
  <c r="G142" i="5"/>
  <c r="G143" i="5" s="1"/>
  <c r="H141" i="5"/>
  <c r="Z181" i="5"/>
  <c r="AA45" i="5"/>
  <c r="AA190" i="5" s="1"/>
  <c r="Z189" i="5"/>
  <c r="Z32" i="8" s="1"/>
  <c r="H153" i="4"/>
  <c r="I153" i="4" s="1"/>
  <c r="E207" i="4"/>
  <c r="E210" i="4"/>
  <c r="E213" i="4"/>
  <c r="E229" i="4" s="1"/>
  <c r="H272" i="4"/>
  <c r="D244" i="4"/>
  <c r="D247" i="4" s="1"/>
  <c r="E242" i="4" s="1"/>
  <c r="Z265" i="4"/>
  <c r="AA53" i="4"/>
  <c r="E237" i="4"/>
  <c r="E236" i="4"/>
  <c r="E234" i="4"/>
  <c r="E233" i="4"/>
  <c r="E232" i="4"/>
  <c r="E231" i="4"/>
  <c r="E230" i="4"/>
  <c r="E228" i="4"/>
  <c r="E227" i="4"/>
  <c r="E225" i="4"/>
  <c r="E224" i="4"/>
  <c r="D229" i="4"/>
  <c r="D226" i="4"/>
  <c r="D223" i="4"/>
  <c r="C237" i="4"/>
  <c r="C236" i="4"/>
  <c r="C235" i="4"/>
  <c r="C239" i="4" s="1"/>
  <c r="C234" i="4"/>
  <c r="C233" i="4"/>
  <c r="C232" i="4"/>
  <c r="C231" i="4"/>
  <c r="C230" i="4"/>
  <c r="C228" i="4"/>
  <c r="C227" i="4"/>
  <c r="C225" i="4"/>
  <c r="E223" i="4"/>
  <c r="D237" i="4"/>
  <c r="D234" i="4"/>
  <c r="D233" i="4"/>
  <c r="D232" i="4"/>
  <c r="D231" i="4"/>
  <c r="D230" i="4"/>
  <c r="D228" i="4"/>
  <c r="D227" i="4"/>
  <c r="D225" i="4"/>
  <c r="D224" i="4"/>
  <c r="E226" i="4"/>
  <c r="B20" i="10" l="1"/>
  <c r="B80" i="10" s="1"/>
  <c r="N24" i="9" s="1"/>
  <c r="C311" i="4"/>
  <c r="C312" i="4" s="1"/>
  <c r="C316" i="4" s="1"/>
  <c r="C25" i="8"/>
  <c r="D35" i="10"/>
  <c r="F24" i="8"/>
  <c r="F10" i="8"/>
  <c r="F11" i="8"/>
  <c r="F12" i="8"/>
  <c r="F13" i="8"/>
  <c r="F14" i="8"/>
  <c r="F15" i="8"/>
  <c r="F16" i="8"/>
  <c r="F17" i="8"/>
  <c r="F22" i="8"/>
  <c r="F23" i="8"/>
  <c r="F7" i="8"/>
  <c r="F9" i="8"/>
  <c r="F21" i="8"/>
  <c r="F18" i="8"/>
  <c r="F19" i="8"/>
  <c r="F20" i="8"/>
  <c r="F194" i="4"/>
  <c r="F196" i="4"/>
  <c r="F199" i="4"/>
  <c r="F201" i="4"/>
  <c r="F203" i="4"/>
  <c r="F205" i="4"/>
  <c r="G154" i="4"/>
  <c r="F155" i="4"/>
  <c r="F193" i="4"/>
  <c r="F195" i="4"/>
  <c r="F198" i="4"/>
  <c r="F200" i="4"/>
  <c r="F202" i="4"/>
  <c r="F204" i="4"/>
  <c r="F35" i="10"/>
  <c r="B26" i="10"/>
  <c r="B84" i="10" s="1"/>
  <c r="B5" i="10"/>
  <c r="B73" i="10" s="1"/>
  <c r="C35" i="10"/>
  <c r="B10" i="10"/>
  <c r="B75" i="10" s="1"/>
  <c r="B23" i="10"/>
  <c r="B81" i="10" s="1"/>
  <c r="C49" i="8"/>
  <c r="AA191" i="5"/>
  <c r="AA34" i="8" s="1"/>
  <c r="B34" i="8" s="1"/>
  <c r="D10" i="9" s="1"/>
  <c r="AA193" i="5"/>
  <c r="AA36" i="8" s="1"/>
  <c r="B36" i="8" s="1"/>
  <c r="D12" i="9" s="1"/>
  <c r="AA192" i="5"/>
  <c r="AA35" i="8" s="1"/>
  <c r="B35" i="8" s="1"/>
  <c r="D11" i="9" s="1"/>
  <c r="E213" i="5"/>
  <c r="G33" i="8"/>
  <c r="AA181" i="5"/>
  <c r="AA189" i="5"/>
  <c r="AA32" i="8" s="1"/>
  <c r="B32" i="8" s="1"/>
  <c r="D8" i="9" s="1"/>
  <c r="I141" i="5"/>
  <c r="F213" i="5"/>
  <c r="H142" i="5"/>
  <c r="E239" i="4"/>
  <c r="C320" i="4"/>
  <c r="C339" i="4"/>
  <c r="J153" i="4"/>
  <c r="AA265" i="4"/>
  <c r="AA274" i="4"/>
  <c r="I272" i="4"/>
  <c r="D239" i="4"/>
  <c r="E244" i="4"/>
  <c r="D311" i="4" l="1"/>
  <c r="D312" i="4" s="1"/>
  <c r="D316" i="4" s="1"/>
  <c r="D25" i="8"/>
  <c r="D26" i="8" s="1"/>
  <c r="B72" i="10"/>
  <c r="O24" i="9"/>
  <c r="F226" i="4"/>
  <c r="F231" i="4"/>
  <c r="F223" i="4"/>
  <c r="F234" i="4"/>
  <c r="F230" i="4"/>
  <c r="F224" i="4"/>
  <c r="F237" i="4"/>
  <c r="F233" i="4"/>
  <c r="F228" i="4"/>
  <c r="F229" i="4"/>
  <c r="F236" i="4"/>
  <c r="F232" i="4"/>
  <c r="F227" i="4"/>
  <c r="B256" i="4" s="1"/>
  <c r="F235" i="4"/>
  <c r="F225" i="4"/>
  <c r="G266" i="4"/>
  <c r="G267" i="4" s="1"/>
  <c r="G25" i="8"/>
  <c r="G282" i="4"/>
  <c r="G16" i="8" s="1"/>
  <c r="G9" i="8"/>
  <c r="G278" i="4"/>
  <c r="G13" i="8" s="1"/>
  <c r="H154" i="4"/>
  <c r="G17" i="8"/>
  <c r="G155" i="4"/>
  <c r="G279" i="4"/>
  <c r="G14" i="8" s="1"/>
  <c r="G277" i="4"/>
  <c r="G12" i="8" s="1"/>
  <c r="C26" i="8"/>
  <c r="E311" i="4"/>
  <c r="E312" i="4" s="1"/>
  <c r="E316" i="4" s="1"/>
  <c r="E320" i="4" s="1"/>
  <c r="E343" i="4" s="1"/>
  <c r="E25" i="8"/>
  <c r="E26" i="8" s="1"/>
  <c r="B35" i="10"/>
  <c r="B88" i="10" s="1"/>
  <c r="F214" i="5"/>
  <c r="F216" i="5" s="1"/>
  <c r="F48" i="8"/>
  <c r="F49" i="8" s="1"/>
  <c r="E214" i="5"/>
  <c r="E216" i="5" s="1"/>
  <c r="E48" i="8"/>
  <c r="J141" i="5"/>
  <c r="I142" i="5"/>
  <c r="H143" i="5"/>
  <c r="E339" i="4"/>
  <c r="D339" i="4"/>
  <c r="D320" i="4"/>
  <c r="D343" i="4" s="1"/>
  <c r="J272" i="4"/>
  <c r="C343" i="4"/>
  <c r="E247" i="4"/>
  <c r="F242" i="4" s="1"/>
  <c r="K153" i="4"/>
  <c r="G276" i="4" l="1"/>
  <c r="G11" i="8" s="1"/>
  <c r="G275" i="4"/>
  <c r="G10" i="8" s="1"/>
  <c r="F239" i="4"/>
  <c r="B255" i="4"/>
  <c r="H266" i="4"/>
  <c r="H267" i="4" s="1"/>
  <c r="H25" i="8"/>
  <c r="H282" i="4"/>
  <c r="H16" i="8" s="1"/>
  <c r="H9" i="8"/>
  <c r="H17" i="8"/>
  <c r="H279" i="4"/>
  <c r="H14" i="8" s="1"/>
  <c r="H155" i="4"/>
  <c r="H277" i="4"/>
  <c r="H12" i="8" s="1"/>
  <c r="I154" i="4"/>
  <c r="H278" i="4"/>
  <c r="H13" i="8" s="1"/>
  <c r="N260" i="4"/>
  <c r="Q260" i="4"/>
  <c r="Q262" i="4" s="1"/>
  <c r="Q294" i="4" s="1"/>
  <c r="I260" i="4"/>
  <c r="L260" i="4"/>
  <c r="O260" i="4"/>
  <c r="O262" i="4" s="1"/>
  <c r="O294" i="4" s="1"/>
  <c r="P260" i="4"/>
  <c r="P262" i="4" s="1"/>
  <c r="P294" i="4" s="1"/>
  <c r="H260" i="4"/>
  <c r="K260" i="4"/>
  <c r="G260" i="4"/>
  <c r="R260" i="4"/>
  <c r="R262" i="4" s="1"/>
  <c r="R294" i="4" s="1"/>
  <c r="J260" i="4"/>
  <c r="M260" i="4"/>
  <c r="G306" i="4"/>
  <c r="G7" i="8" s="1"/>
  <c r="G268" i="4"/>
  <c r="G281" i="4" s="1"/>
  <c r="G292" i="4"/>
  <c r="E49" i="8"/>
  <c r="B48" i="8"/>
  <c r="D24" i="9" s="1"/>
  <c r="J142" i="5"/>
  <c r="I143" i="5"/>
  <c r="K141" i="5"/>
  <c r="H33" i="8"/>
  <c r="L153" i="4"/>
  <c r="K272" i="4"/>
  <c r="F244" i="4"/>
  <c r="B251" i="4" s="1"/>
  <c r="B257" i="4" s="1"/>
  <c r="G15" i="8" l="1"/>
  <c r="G196" i="5"/>
  <c r="G38" i="8" s="1"/>
  <c r="H275" i="4"/>
  <c r="H10" i="8" s="1"/>
  <c r="H276" i="4"/>
  <c r="H11" i="8" s="1"/>
  <c r="J259" i="4"/>
  <c r="I259" i="4"/>
  <c r="H259" i="4"/>
  <c r="G259" i="4"/>
  <c r="K259" i="4"/>
  <c r="L259" i="4"/>
  <c r="L262" i="4" s="1"/>
  <c r="L294" i="4" s="1"/>
  <c r="N259" i="4"/>
  <c r="N262" i="4" s="1"/>
  <c r="N294" i="4" s="1"/>
  <c r="M259" i="4"/>
  <c r="M262" i="4" s="1"/>
  <c r="M294" i="4" s="1"/>
  <c r="I266" i="4"/>
  <c r="I267" i="4" s="1"/>
  <c r="I25" i="8"/>
  <c r="I282" i="4"/>
  <c r="I16" i="8" s="1"/>
  <c r="I9" i="8"/>
  <c r="I17" i="8"/>
  <c r="I278" i="4"/>
  <c r="I13" i="8" s="1"/>
  <c r="J154" i="4"/>
  <c r="I279" i="4"/>
  <c r="I14" i="8" s="1"/>
  <c r="I277" i="4"/>
  <c r="I12" i="8" s="1"/>
  <c r="I155" i="4"/>
  <c r="H306" i="4"/>
  <c r="H7" i="8" s="1"/>
  <c r="H268" i="4"/>
  <c r="H281" i="4" s="1"/>
  <c r="H292" i="4"/>
  <c r="F311" i="4"/>
  <c r="F312" i="4" s="1"/>
  <c r="F316" i="4" s="1"/>
  <c r="F25" i="8"/>
  <c r="K142" i="5"/>
  <c r="K143" i="5" s="1"/>
  <c r="J143" i="5"/>
  <c r="L141" i="5"/>
  <c r="L272" i="4"/>
  <c r="F247" i="4"/>
  <c r="J261" i="4"/>
  <c r="J262" i="4" s="1"/>
  <c r="J294" i="4" s="1"/>
  <c r="H261" i="4"/>
  <c r="K261" i="4"/>
  <c r="K262" i="4" s="1"/>
  <c r="K294" i="4" s="1"/>
  <c r="I261" i="4"/>
  <c r="I262" i="4" s="1"/>
  <c r="I294" i="4" s="1"/>
  <c r="G261" i="4"/>
  <c r="G262" i="4" s="1"/>
  <c r="G294" i="4" s="1"/>
  <c r="B258" i="4"/>
  <c r="M153" i="4"/>
  <c r="F26" i="8" l="1"/>
  <c r="J266" i="4"/>
  <c r="J267" i="4" s="1"/>
  <c r="J25" i="8"/>
  <c r="J282" i="4"/>
  <c r="J16" i="8" s="1"/>
  <c r="J9" i="8"/>
  <c r="J17" i="8"/>
  <c r="J277" i="4"/>
  <c r="J12" i="8" s="1"/>
  <c r="J155" i="4"/>
  <c r="J279" i="4"/>
  <c r="J14" i="8" s="1"/>
  <c r="J278" i="4"/>
  <c r="J13" i="8" s="1"/>
  <c r="K154" i="4"/>
  <c r="F339" i="4"/>
  <c r="F320" i="4"/>
  <c r="F343" i="4" s="1"/>
  <c r="I276" i="4"/>
  <c r="I11" i="8" s="1"/>
  <c r="I275" i="4"/>
  <c r="I10" i="8" s="1"/>
  <c r="I306" i="4"/>
  <c r="I7" i="8" s="1"/>
  <c r="I268" i="4"/>
  <c r="I281" i="4" s="1"/>
  <c r="I292" i="4"/>
  <c r="B4" i="2"/>
  <c r="G285" i="4"/>
  <c r="G19" i="8" s="1"/>
  <c r="G286" i="4"/>
  <c r="G20" i="8" s="1"/>
  <c r="H199" i="5"/>
  <c r="H41" i="8" s="1"/>
  <c r="X199" i="5"/>
  <c r="X41" i="8" s="1"/>
  <c r="T200" i="5"/>
  <c r="T42" i="8" s="1"/>
  <c r="P201" i="5"/>
  <c r="P43" i="8" s="1"/>
  <c r="L202" i="5"/>
  <c r="L44" i="8" s="1"/>
  <c r="H203" i="5"/>
  <c r="H45" i="8" s="1"/>
  <c r="X203" i="5"/>
  <c r="X45" i="8" s="1"/>
  <c r="T204" i="5"/>
  <c r="T46" i="8" s="1"/>
  <c r="I199" i="5"/>
  <c r="I41" i="8" s="1"/>
  <c r="Y199" i="5"/>
  <c r="Y41" i="8" s="1"/>
  <c r="U200" i="5"/>
  <c r="U42" i="8" s="1"/>
  <c r="Q201" i="5"/>
  <c r="Q43" i="8" s="1"/>
  <c r="M202" i="5"/>
  <c r="M44" i="8" s="1"/>
  <c r="I203" i="5"/>
  <c r="I45" i="8" s="1"/>
  <c r="Y203" i="5"/>
  <c r="Y45" i="8" s="1"/>
  <c r="U204" i="5"/>
  <c r="U46" i="8" s="1"/>
  <c r="J199" i="5"/>
  <c r="J41" i="8" s="1"/>
  <c r="Z199" i="5"/>
  <c r="Z41" i="8" s="1"/>
  <c r="R201" i="5"/>
  <c r="R43" i="8" s="1"/>
  <c r="N202" i="5"/>
  <c r="N44" i="8" s="1"/>
  <c r="Z203" i="5"/>
  <c r="Z45" i="8" s="1"/>
  <c r="V204" i="5"/>
  <c r="V46" i="8" s="1"/>
  <c r="K200" i="5"/>
  <c r="K42" i="8" s="1"/>
  <c r="W201" i="5"/>
  <c r="W43" i="8" s="1"/>
  <c r="O203" i="5"/>
  <c r="O45" i="8" s="1"/>
  <c r="AA204" i="5"/>
  <c r="AA46" i="8" s="1"/>
  <c r="L199" i="5"/>
  <c r="L41" i="8" s="1"/>
  <c r="H200" i="5"/>
  <c r="H42" i="8" s="1"/>
  <c r="X200" i="5"/>
  <c r="X42" i="8" s="1"/>
  <c r="T201" i="5"/>
  <c r="T43" i="8" s="1"/>
  <c r="P202" i="5"/>
  <c r="P44" i="8" s="1"/>
  <c r="L203" i="5"/>
  <c r="L45" i="8" s="1"/>
  <c r="H204" i="5"/>
  <c r="H46" i="8" s="1"/>
  <c r="X204" i="5"/>
  <c r="X46" i="8" s="1"/>
  <c r="M199" i="5"/>
  <c r="M41" i="8" s="1"/>
  <c r="I200" i="5"/>
  <c r="I42" i="8" s="1"/>
  <c r="Y200" i="5"/>
  <c r="Y42" i="8" s="1"/>
  <c r="U201" i="5"/>
  <c r="U43" i="8" s="1"/>
  <c r="Q202" i="5"/>
  <c r="Q44" i="8" s="1"/>
  <c r="M203" i="5"/>
  <c r="M45" i="8" s="1"/>
  <c r="I204" i="5"/>
  <c r="I46" i="8" s="1"/>
  <c r="Y204" i="5"/>
  <c r="Y46" i="8" s="1"/>
  <c r="N199" i="5"/>
  <c r="N41" i="8" s="1"/>
  <c r="J200" i="5"/>
  <c r="J42" i="8" s="1"/>
  <c r="Z200" i="5"/>
  <c r="Z42" i="8" s="1"/>
  <c r="V201" i="5"/>
  <c r="V43" i="8" s="1"/>
  <c r="R202" i="5"/>
  <c r="R44" i="8" s="1"/>
  <c r="N203" i="5"/>
  <c r="N45" i="8" s="1"/>
  <c r="J204" i="5"/>
  <c r="J46" i="8" s="1"/>
  <c r="Z204" i="5"/>
  <c r="Z46" i="8" s="1"/>
  <c r="S199" i="5"/>
  <c r="S41" i="8" s="1"/>
  <c r="O200" i="5"/>
  <c r="O42" i="8" s="1"/>
  <c r="K201" i="5"/>
  <c r="K43" i="8" s="1"/>
  <c r="AA201" i="5"/>
  <c r="AA43" i="8" s="1"/>
  <c r="W202" i="5"/>
  <c r="W44" i="8" s="1"/>
  <c r="S203" i="5"/>
  <c r="S45" i="8" s="1"/>
  <c r="O204" i="5"/>
  <c r="O46" i="8" s="1"/>
  <c r="G201" i="5"/>
  <c r="G43" i="8" s="1"/>
  <c r="P199" i="5"/>
  <c r="P41" i="8" s="1"/>
  <c r="H201" i="5"/>
  <c r="H43" i="8" s="1"/>
  <c r="T202" i="5"/>
  <c r="T44" i="8" s="1"/>
  <c r="L204" i="5"/>
  <c r="L46" i="8" s="1"/>
  <c r="Q199" i="5"/>
  <c r="Q41" i="8" s="1"/>
  <c r="I201" i="5"/>
  <c r="I43" i="8" s="1"/>
  <c r="U202" i="5"/>
  <c r="U44" i="8" s="1"/>
  <c r="M204" i="5"/>
  <c r="M46" i="8" s="1"/>
  <c r="R199" i="5"/>
  <c r="R41" i="8" s="1"/>
  <c r="N200" i="5"/>
  <c r="N42" i="8" s="1"/>
  <c r="Z201" i="5"/>
  <c r="Z43" i="8" s="1"/>
  <c r="R203" i="5"/>
  <c r="R45" i="8" s="1"/>
  <c r="G202" i="5"/>
  <c r="G44" i="8" s="1"/>
  <c r="S200" i="5"/>
  <c r="S42" i="8" s="1"/>
  <c r="K202" i="5"/>
  <c r="K44" i="8" s="1"/>
  <c r="W203" i="5"/>
  <c r="W45" i="8" s="1"/>
  <c r="S204" i="5"/>
  <c r="S46" i="8" s="1"/>
  <c r="L200" i="5"/>
  <c r="L42" i="8" s="1"/>
  <c r="X201" i="5"/>
  <c r="X43" i="8" s="1"/>
  <c r="P203" i="5"/>
  <c r="P45" i="8" s="1"/>
  <c r="G204" i="5"/>
  <c r="G46" i="8" s="1"/>
  <c r="M200" i="5"/>
  <c r="M42" i="8" s="1"/>
  <c r="Y201" i="5"/>
  <c r="Y43" i="8" s="1"/>
  <c r="Q203" i="5"/>
  <c r="Q45" i="8" s="1"/>
  <c r="G203" i="5"/>
  <c r="G45" i="8" s="1"/>
  <c r="J201" i="5"/>
  <c r="J43" i="8" s="1"/>
  <c r="V202" i="5"/>
  <c r="V44" i="8" s="1"/>
  <c r="N204" i="5"/>
  <c r="N46" i="8" s="1"/>
  <c r="W199" i="5"/>
  <c r="W41" i="8" s="1"/>
  <c r="O201" i="5"/>
  <c r="O43" i="8" s="1"/>
  <c r="AA202" i="5"/>
  <c r="AA44" i="8" s="1"/>
  <c r="T199" i="5"/>
  <c r="T41" i="8" s="1"/>
  <c r="P200" i="5"/>
  <c r="P42" i="8" s="1"/>
  <c r="L201" i="5"/>
  <c r="L43" i="8" s="1"/>
  <c r="H202" i="5"/>
  <c r="H44" i="8" s="1"/>
  <c r="X202" i="5"/>
  <c r="X44" i="8" s="1"/>
  <c r="T203" i="5"/>
  <c r="T45" i="8" s="1"/>
  <c r="P204" i="5"/>
  <c r="P46" i="8" s="1"/>
  <c r="G200" i="5"/>
  <c r="G42" i="8" s="1"/>
  <c r="U199" i="5"/>
  <c r="U41" i="8" s="1"/>
  <c r="Q200" i="5"/>
  <c r="Q42" i="8" s="1"/>
  <c r="M201" i="5"/>
  <c r="M43" i="8" s="1"/>
  <c r="I202" i="5"/>
  <c r="I44" i="8" s="1"/>
  <c r="Y202" i="5"/>
  <c r="Y44" i="8" s="1"/>
  <c r="U203" i="5"/>
  <c r="U45" i="8" s="1"/>
  <c r="Q204" i="5"/>
  <c r="Q46" i="8" s="1"/>
  <c r="G199" i="5"/>
  <c r="V199" i="5"/>
  <c r="V41" i="8" s="1"/>
  <c r="R200" i="5"/>
  <c r="R42" i="8" s="1"/>
  <c r="N201" i="5"/>
  <c r="N43" i="8" s="1"/>
  <c r="J202" i="5"/>
  <c r="J44" i="8" s="1"/>
  <c r="Z202" i="5"/>
  <c r="Z44" i="8" s="1"/>
  <c r="V203" i="5"/>
  <c r="V45" i="8" s="1"/>
  <c r="R204" i="5"/>
  <c r="R46" i="8" s="1"/>
  <c r="K199" i="5"/>
  <c r="K41" i="8" s="1"/>
  <c r="AA199" i="5"/>
  <c r="AA41" i="8" s="1"/>
  <c r="W200" i="5"/>
  <c r="W42" i="8" s="1"/>
  <c r="S201" i="5"/>
  <c r="S43" i="8" s="1"/>
  <c r="O202" i="5"/>
  <c r="O44" i="8" s="1"/>
  <c r="K203" i="5"/>
  <c r="K45" i="8" s="1"/>
  <c r="AA203" i="5"/>
  <c r="AA45" i="8" s="1"/>
  <c r="W204" i="5"/>
  <c r="W46" i="8" s="1"/>
  <c r="V200" i="5"/>
  <c r="V42" i="8" s="1"/>
  <c r="J203" i="5"/>
  <c r="J45" i="8" s="1"/>
  <c r="O199" i="5"/>
  <c r="O41" i="8" s="1"/>
  <c r="AA200" i="5"/>
  <c r="AA42" i="8" s="1"/>
  <c r="S202" i="5"/>
  <c r="S44" i="8" s="1"/>
  <c r="K204" i="5"/>
  <c r="K46" i="8" s="1"/>
  <c r="H262" i="4"/>
  <c r="H294" i="4" s="1"/>
  <c r="H15" i="8"/>
  <c r="H196" i="5"/>
  <c r="K33" i="8"/>
  <c r="I33" i="8"/>
  <c r="L142" i="5"/>
  <c r="L143" i="5" s="1"/>
  <c r="M141" i="5"/>
  <c r="J289" i="4"/>
  <c r="J23" i="8" s="1"/>
  <c r="H289" i="4"/>
  <c r="H23" i="8" s="1"/>
  <c r="F325" i="4"/>
  <c r="K289" i="4"/>
  <c r="K23" i="8" s="1"/>
  <c r="I289" i="4"/>
  <c r="I23" i="8" s="1"/>
  <c r="G289" i="4"/>
  <c r="G23" i="8" s="1"/>
  <c r="K288" i="4"/>
  <c r="K22" i="8" s="1"/>
  <c r="I288" i="4"/>
  <c r="I22" i="8" s="1"/>
  <c r="G288" i="4"/>
  <c r="G22" i="8" s="1"/>
  <c r="J287" i="4"/>
  <c r="J21" i="8" s="1"/>
  <c r="H287" i="4"/>
  <c r="H21" i="8" s="1"/>
  <c r="K286" i="4"/>
  <c r="K20" i="8" s="1"/>
  <c r="I286" i="4"/>
  <c r="I20" i="8" s="1"/>
  <c r="J285" i="4"/>
  <c r="J19" i="8" s="1"/>
  <c r="H285" i="4"/>
  <c r="H19" i="8" s="1"/>
  <c r="K284" i="4"/>
  <c r="K18" i="8" s="1"/>
  <c r="I284" i="4"/>
  <c r="I18" i="8" s="1"/>
  <c r="G284" i="4"/>
  <c r="G18" i="8" s="1"/>
  <c r="J288" i="4"/>
  <c r="J22" i="8" s="1"/>
  <c r="H288" i="4"/>
  <c r="H22" i="8" s="1"/>
  <c r="K287" i="4"/>
  <c r="K21" i="8" s="1"/>
  <c r="I287" i="4"/>
  <c r="I21" i="8" s="1"/>
  <c r="G287" i="4"/>
  <c r="G21" i="8" s="1"/>
  <c r="J286" i="4"/>
  <c r="J20" i="8" s="1"/>
  <c r="H286" i="4"/>
  <c r="H20" i="8" s="1"/>
  <c r="K285" i="4"/>
  <c r="K19" i="8" s="1"/>
  <c r="I285" i="4"/>
  <c r="I19" i="8" s="1"/>
  <c r="J284" i="4"/>
  <c r="J18" i="8" s="1"/>
  <c r="H284" i="4"/>
  <c r="H18" i="8" s="1"/>
  <c r="F324" i="4"/>
  <c r="M246" i="4"/>
  <c r="K246" i="4"/>
  <c r="I246" i="4"/>
  <c r="G246" i="4"/>
  <c r="G242" i="4"/>
  <c r="L246" i="4"/>
  <c r="J246" i="4"/>
  <c r="H246" i="4"/>
  <c r="N153" i="4"/>
  <c r="M272" i="4"/>
  <c r="G41" i="8" l="1"/>
  <c r="B41" i="8" s="1"/>
  <c r="D17" i="9" s="1"/>
  <c r="G212" i="5"/>
  <c r="B42" i="8"/>
  <c r="D18" i="9" s="1"/>
  <c r="K266" i="4"/>
  <c r="K267" i="4" s="1"/>
  <c r="K25" i="8"/>
  <c r="K282" i="4"/>
  <c r="K16" i="8" s="1"/>
  <c r="K17" i="8"/>
  <c r="K9" i="8"/>
  <c r="K278" i="4"/>
  <c r="K13" i="8" s="1"/>
  <c r="K279" i="4"/>
  <c r="K14" i="8" s="1"/>
  <c r="L154" i="4"/>
  <c r="K155" i="4"/>
  <c r="K277" i="4"/>
  <c r="K12" i="8" s="1"/>
  <c r="J292" i="4"/>
  <c r="J268" i="4"/>
  <c r="J281" i="4" s="1"/>
  <c r="J306" i="4"/>
  <c r="J7" i="8" s="1"/>
  <c r="B45" i="8"/>
  <c r="D21" i="9" s="1"/>
  <c r="B46" i="8"/>
  <c r="D22" i="9" s="1"/>
  <c r="B44" i="8"/>
  <c r="D20" i="9" s="1"/>
  <c r="I15" i="8"/>
  <c r="I196" i="5"/>
  <c r="H38" i="8"/>
  <c r="H212" i="5"/>
  <c r="B43" i="8"/>
  <c r="D19" i="9" s="1"/>
  <c r="B18" i="2"/>
  <c r="J40" i="2"/>
  <c r="B35" i="2"/>
  <c r="J276" i="4"/>
  <c r="J11" i="8" s="1"/>
  <c r="J275" i="4"/>
  <c r="J10" i="8" s="1"/>
  <c r="J33" i="8"/>
  <c r="L33" i="8"/>
  <c r="M142" i="5"/>
  <c r="N141" i="5"/>
  <c r="G293" i="4"/>
  <c r="G309" i="4" s="1"/>
  <c r="F323" i="4"/>
  <c r="F326" i="4" s="1"/>
  <c r="G325" i="4"/>
  <c r="G247" i="4"/>
  <c r="G245" i="4"/>
  <c r="H293" i="4"/>
  <c r="N272" i="4"/>
  <c r="O153" i="4"/>
  <c r="I293" i="4"/>
  <c r="I38" i="8" l="1"/>
  <c r="I212" i="5"/>
  <c r="J15" i="8"/>
  <c r="J196" i="5"/>
  <c r="J36" i="2"/>
  <c r="B36" i="2"/>
  <c r="J28" i="2"/>
  <c r="J30" i="2" s="1"/>
  <c r="J31" i="2" s="1"/>
  <c r="K276" i="4"/>
  <c r="K11" i="8" s="1"/>
  <c r="K275" i="4"/>
  <c r="K306" i="4"/>
  <c r="K7" i="8" s="1"/>
  <c r="K268" i="4"/>
  <c r="K281" i="4" s="1"/>
  <c r="K292" i="4"/>
  <c r="L266" i="4"/>
  <c r="L267" i="4" s="1"/>
  <c r="L25" i="8"/>
  <c r="L282" i="4"/>
  <c r="L16" i="8" s="1"/>
  <c r="L17" i="8"/>
  <c r="L9" i="8"/>
  <c r="L155" i="4"/>
  <c r="L285" i="4"/>
  <c r="L19" i="8" s="1"/>
  <c r="L286" i="4"/>
  <c r="L20" i="8" s="1"/>
  <c r="L277" i="4"/>
  <c r="L12" i="8" s="1"/>
  <c r="L279" i="4"/>
  <c r="L14" i="8" s="1"/>
  <c r="L289" i="4"/>
  <c r="L23" i="8" s="1"/>
  <c r="L284" i="4"/>
  <c r="L18" i="8" s="1"/>
  <c r="L278" i="4"/>
  <c r="L13" i="8" s="1"/>
  <c r="L287" i="4"/>
  <c r="L21" i="8" s="1"/>
  <c r="M154" i="4"/>
  <c r="L288" i="4"/>
  <c r="L22" i="8" s="1"/>
  <c r="J293" i="4"/>
  <c r="B19" i="2"/>
  <c r="D23" i="2" s="1"/>
  <c r="N142" i="5"/>
  <c r="N143" i="5" s="1"/>
  <c r="M143" i="5"/>
  <c r="O141" i="5"/>
  <c r="F327" i="4"/>
  <c r="G324" i="4"/>
  <c r="G323" i="4" s="1"/>
  <c r="G326" i="4" s="1"/>
  <c r="H242" i="4"/>
  <c r="O272" i="4"/>
  <c r="G295" i="4"/>
  <c r="H309" i="4"/>
  <c r="H295" i="4"/>
  <c r="I309" i="4"/>
  <c r="I295" i="4"/>
  <c r="P153" i="4"/>
  <c r="H325" i="4"/>
  <c r="G296" i="4"/>
  <c r="G249" i="4"/>
  <c r="D22" i="2" l="1"/>
  <c r="D24" i="2"/>
  <c r="C21" i="2"/>
  <c r="C23" i="2"/>
  <c r="C24" i="2"/>
  <c r="D21" i="2"/>
  <c r="C22" i="2"/>
  <c r="J38" i="2"/>
  <c r="M36" i="2" s="1"/>
  <c r="M266" i="4"/>
  <c r="M267" i="4" s="1"/>
  <c r="M25" i="8"/>
  <c r="M282" i="4"/>
  <c r="M16" i="8" s="1"/>
  <c r="M17" i="8"/>
  <c r="M9" i="8"/>
  <c r="M279" i="4"/>
  <c r="M14" i="8" s="1"/>
  <c r="M155" i="4"/>
  <c r="M289" i="4"/>
  <c r="M23" i="8" s="1"/>
  <c r="M288" i="4"/>
  <c r="M22" i="8" s="1"/>
  <c r="N154" i="4"/>
  <c r="M285" i="4"/>
  <c r="M19" i="8" s="1"/>
  <c r="M278" i="4"/>
  <c r="M13" i="8" s="1"/>
  <c r="M277" i="4"/>
  <c r="M12" i="8" s="1"/>
  <c r="M287" i="4"/>
  <c r="M21" i="8" s="1"/>
  <c r="M286" i="4"/>
  <c r="M20" i="8" s="1"/>
  <c r="M284" i="4"/>
  <c r="M18" i="8" s="1"/>
  <c r="K15" i="8"/>
  <c r="K196" i="5"/>
  <c r="J295" i="4"/>
  <c r="J309" i="4"/>
  <c r="L276" i="4"/>
  <c r="L11" i="8" s="1"/>
  <c r="L275" i="4"/>
  <c r="L268" i="4"/>
  <c r="L281" i="4" s="1"/>
  <c r="L306" i="4"/>
  <c r="L7" i="8" s="1"/>
  <c r="L292" i="4"/>
  <c r="K10" i="8"/>
  <c r="K293" i="4"/>
  <c r="K309" i="4" s="1"/>
  <c r="J38" i="8"/>
  <c r="J212" i="5"/>
  <c r="N33" i="8"/>
  <c r="P141" i="5"/>
  <c r="O142" i="5"/>
  <c r="G327" i="4"/>
  <c r="G318" i="4"/>
  <c r="G341" i="4" s="1"/>
  <c r="I325" i="4"/>
  <c r="Q153" i="4"/>
  <c r="G297" i="4"/>
  <c r="P272" i="4"/>
  <c r="H247" i="4"/>
  <c r="H245" i="4"/>
  <c r="M268" i="4" l="1"/>
  <c r="M281" i="4" s="1"/>
  <c r="M306" i="4"/>
  <c r="M7" i="8" s="1"/>
  <c r="M292" i="4"/>
  <c r="M34" i="2"/>
  <c r="J41" i="2"/>
  <c r="M276" i="4"/>
  <c r="M11" i="8" s="1"/>
  <c r="M275" i="4"/>
  <c r="L10" i="8"/>
  <c r="L293" i="4"/>
  <c r="L309" i="4" s="1"/>
  <c r="L15" i="8"/>
  <c r="L196" i="5"/>
  <c r="K38" i="8"/>
  <c r="K212" i="5"/>
  <c r="N266" i="4"/>
  <c r="N267" i="4" s="1"/>
  <c r="N25" i="8"/>
  <c r="N282" i="4"/>
  <c r="N16" i="8" s="1"/>
  <c r="N9" i="8"/>
  <c r="N17" i="8"/>
  <c r="N155" i="4"/>
  <c r="N289" i="4"/>
  <c r="N23" i="8" s="1"/>
  <c r="O154" i="4"/>
  <c r="N279" i="4"/>
  <c r="N14" i="8" s="1"/>
  <c r="N287" i="4"/>
  <c r="N21" i="8" s="1"/>
  <c r="N285" i="4"/>
  <c r="N19" i="8" s="1"/>
  <c r="N288" i="4"/>
  <c r="N22" i="8" s="1"/>
  <c r="N278" i="4"/>
  <c r="N13" i="8" s="1"/>
  <c r="N284" i="4"/>
  <c r="N18" i="8" s="1"/>
  <c r="N277" i="4"/>
  <c r="N12" i="8" s="1"/>
  <c r="N286" i="4"/>
  <c r="N20" i="8" s="1"/>
  <c r="K295" i="4"/>
  <c r="M33" i="8"/>
  <c r="Q141" i="5"/>
  <c r="P142" i="5"/>
  <c r="P143" i="5" s="1"/>
  <c r="O143" i="5"/>
  <c r="Q272" i="4"/>
  <c r="J325" i="4"/>
  <c r="H324" i="4"/>
  <c r="H323" i="4" s="1"/>
  <c r="H326" i="4" s="1"/>
  <c r="I242" i="4"/>
  <c r="R153" i="4"/>
  <c r="H296" i="4"/>
  <c r="H297" i="4" s="1"/>
  <c r="H249" i="4"/>
  <c r="N292" i="4" l="1"/>
  <c r="N268" i="4"/>
  <c r="N281" i="4" s="1"/>
  <c r="N306" i="4"/>
  <c r="N7" i="8" s="1"/>
  <c r="M15" i="8"/>
  <c r="M196" i="5"/>
  <c r="O266" i="4"/>
  <c r="O267" i="4" s="1"/>
  <c r="O25" i="8"/>
  <c r="O282" i="4"/>
  <c r="O16" i="8" s="1"/>
  <c r="O17" i="8"/>
  <c r="O9" i="8"/>
  <c r="O155" i="4"/>
  <c r="O277" i="4"/>
  <c r="O12" i="8" s="1"/>
  <c r="O287" i="4"/>
  <c r="O21" i="8" s="1"/>
  <c r="O279" i="4"/>
  <c r="O14" i="8" s="1"/>
  <c r="O288" i="4"/>
  <c r="O22" i="8" s="1"/>
  <c r="O285" i="4"/>
  <c r="O19" i="8" s="1"/>
  <c r="O278" i="4"/>
  <c r="O13" i="8" s="1"/>
  <c r="O289" i="4"/>
  <c r="O23" i="8" s="1"/>
  <c r="O284" i="4"/>
  <c r="O18" i="8" s="1"/>
  <c r="P154" i="4"/>
  <c r="O286" i="4"/>
  <c r="O20" i="8" s="1"/>
  <c r="N276" i="4"/>
  <c r="N11" i="8" s="1"/>
  <c r="N275" i="4"/>
  <c r="L38" i="8"/>
  <c r="L212" i="5"/>
  <c r="M10" i="8"/>
  <c r="M293" i="4"/>
  <c r="M309" i="4" s="1"/>
  <c r="L295" i="4"/>
  <c r="R141" i="5"/>
  <c r="Q142" i="5"/>
  <c r="S153" i="4"/>
  <c r="I247" i="4"/>
  <c r="I245" i="4"/>
  <c r="K325" i="4"/>
  <c r="R272" i="4"/>
  <c r="H318" i="4"/>
  <c r="H341" i="4" s="1"/>
  <c r="H327" i="4"/>
  <c r="O276" i="4" l="1"/>
  <c r="O11" i="8" s="1"/>
  <c r="O275" i="4"/>
  <c r="M38" i="8"/>
  <c r="M212" i="5"/>
  <c r="M295" i="4"/>
  <c r="O292" i="4"/>
  <c r="O268" i="4"/>
  <c r="O281" i="4" s="1"/>
  <c r="O306" i="4"/>
  <c r="O7" i="8" s="1"/>
  <c r="N10" i="8"/>
  <c r="N293" i="4"/>
  <c r="N309" i="4" s="1"/>
  <c r="P266" i="4"/>
  <c r="P267" i="4" s="1"/>
  <c r="P25" i="8"/>
  <c r="P282" i="4"/>
  <c r="P16" i="8" s="1"/>
  <c r="P9" i="8"/>
  <c r="P17" i="8"/>
  <c r="P155" i="4"/>
  <c r="P278" i="4"/>
  <c r="P13" i="8" s="1"/>
  <c r="P287" i="4"/>
  <c r="P21" i="8" s="1"/>
  <c r="P289" i="4"/>
  <c r="P23" i="8" s="1"/>
  <c r="P288" i="4"/>
  <c r="P22" i="8" s="1"/>
  <c r="Q154" i="4"/>
  <c r="P285" i="4"/>
  <c r="P19" i="8" s="1"/>
  <c r="P284" i="4"/>
  <c r="P18" i="8" s="1"/>
  <c r="P277" i="4"/>
  <c r="P12" i="8" s="1"/>
  <c r="P286" i="4"/>
  <c r="P20" i="8" s="1"/>
  <c r="P279" i="4"/>
  <c r="P14" i="8" s="1"/>
  <c r="N15" i="8"/>
  <c r="N196" i="5"/>
  <c r="P33" i="8"/>
  <c r="O33" i="8"/>
  <c r="R142" i="5"/>
  <c r="R143" i="5" s="1"/>
  <c r="S141" i="5"/>
  <c r="Q143" i="5"/>
  <c r="L325" i="4"/>
  <c r="I296" i="4"/>
  <c r="I297" i="4" s="1"/>
  <c r="I249" i="4"/>
  <c r="S272" i="4"/>
  <c r="I324" i="4"/>
  <c r="I323" i="4" s="1"/>
  <c r="I326" i="4" s="1"/>
  <c r="J242" i="4"/>
  <c r="T153" i="4"/>
  <c r="N295" i="4" l="1"/>
  <c r="N297" i="4" s="1"/>
  <c r="Q266" i="4"/>
  <c r="Q267" i="4" s="1"/>
  <c r="Q25" i="8"/>
  <c r="Q282" i="4"/>
  <c r="Q16" i="8" s="1"/>
  <c r="Q9" i="8"/>
  <c r="Q17" i="8"/>
  <c r="Q286" i="4"/>
  <c r="Q20" i="8" s="1"/>
  <c r="Q278" i="4"/>
  <c r="Q13" i="8" s="1"/>
  <c r="Q289" i="4"/>
  <c r="Q23" i="8" s="1"/>
  <c r="Q279" i="4"/>
  <c r="Q14" i="8" s="1"/>
  <c r="R154" i="4"/>
  <c r="Q284" i="4"/>
  <c r="Q18" i="8" s="1"/>
  <c r="Q287" i="4"/>
  <c r="Q21" i="8" s="1"/>
  <c r="Q277" i="4"/>
  <c r="Q12" i="8" s="1"/>
  <c r="Q285" i="4"/>
  <c r="Q19" i="8" s="1"/>
  <c r="Q288" i="4"/>
  <c r="Q22" i="8" s="1"/>
  <c r="Q155" i="4"/>
  <c r="O15" i="8"/>
  <c r="O196" i="5"/>
  <c r="N38" i="8"/>
  <c r="N212" i="5"/>
  <c r="P276" i="4"/>
  <c r="P11" i="8" s="1"/>
  <c r="P275" i="4"/>
  <c r="P292" i="4"/>
  <c r="P268" i="4"/>
  <c r="P281" i="4" s="1"/>
  <c r="P306" i="4"/>
  <c r="P7" i="8" s="1"/>
  <c r="O10" i="8"/>
  <c r="O293" i="4"/>
  <c r="O309" i="4" s="1"/>
  <c r="R33" i="8"/>
  <c r="T141" i="5"/>
  <c r="S142" i="5"/>
  <c r="S143" i="5" s="1"/>
  <c r="I327" i="4"/>
  <c r="T272" i="4"/>
  <c r="U153" i="4"/>
  <c r="J247" i="4"/>
  <c r="J245" i="4"/>
  <c r="I318" i="4"/>
  <c r="I341" i="4" s="1"/>
  <c r="M325" i="4"/>
  <c r="P10" i="8" l="1"/>
  <c r="P293" i="4"/>
  <c r="P309" i="4" s="1"/>
  <c r="P15" i="8"/>
  <c r="P196" i="5"/>
  <c r="O38" i="8"/>
  <c r="O212" i="5"/>
  <c r="R266" i="4"/>
  <c r="R267" i="4" s="1"/>
  <c r="R25" i="8"/>
  <c r="R282" i="4"/>
  <c r="R16" i="8" s="1"/>
  <c r="R9" i="8"/>
  <c r="R17" i="8"/>
  <c r="R277" i="4"/>
  <c r="R12" i="8" s="1"/>
  <c r="R279" i="4"/>
  <c r="R14" i="8" s="1"/>
  <c r="R287" i="4"/>
  <c r="R21" i="8" s="1"/>
  <c r="R285" i="4"/>
  <c r="R19" i="8" s="1"/>
  <c r="R155" i="4"/>
  <c r="S154" i="4"/>
  <c r="R288" i="4"/>
  <c r="R22" i="8" s="1"/>
  <c r="R289" i="4"/>
  <c r="R23" i="8" s="1"/>
  <c r="R286" i="4"/>
  <c r="R20" i="8" s="1"/>
  <c r="R278" i="4"/>
  <c r="R13" i="8" s="1"/>
  <c r="R284" i="4"/>
  <c r="R18" i="8" s="1"/>
  <c r="Q306" i="4"/>
  <c r="Q7" i="8" s="1"/>
  <c r="Q292" i="4"/>
  <c r="Q268" i="4"/>
  <c r="Q281" i="4" s="1"/>
  <c r="P295" i="4"/>
  <c r="P297" i="4" s="1"/>
  <c r="O295" i="4"/>
  <c r="O297" i="4" s="1"/>
  <c r="Q276" i="4"/>
  <c r="Q11" i="8" s="1"/>
  <c r="Q275" i="4"/>
  <c r="Q33" i="8"/>
  <c r="T142" i="5"/>
  <c r="T143" i="5" s="1"/>
  <c r="U141" i="5"/>
  <c r="N325" i="4"/>
  <c r="J296" i="4"/>
  <c r="J297" i="4" s="1"/>
  <c r="J249" i="4"/>
  <c r="U272" i="4"/>
  <c r="J324" i="4"/>
  <c r="J323" i="4" s="1"/>
  <c r="J326" i="4" s="1"/>
  <c r="K242" i="4"/>
  <c r="V153" i="4"/>
  <c r="R276" i="4" l="1"/>
  <c r="R11" i="8" s="1"/>
  <c r="R275" i="4"/>
  <c r="P38" i="8"/>
  <c r="P212" i="5"/>
  <c r="Q15" i="8"/>
  <c r="Q196" i="5"/>
  <c r="Q10" i="8"/>
  <c r="Q293" i="4"/>
  <c r="Q309" i="4" s="1"/>
  <c r="R268" i="4"/>
  <c r="R281" i="4" s="1"/>
  <c r="R306" i="4"/>
  <c r="R7" i="8" s="1"/>
  <c r="R292" i="4"/>
  <c r="S266" i="4"/>
  <c r="S267" i="4" s="1"/>
  <c r="S25" i="8"/>
  <c r="S282" i="4"/>
  <c r="S16" i="8" s="1"/>
  <c r="S9" i="8"/>
  <c r="S17" i="8"/>
  <c r="S155" i="4"/>
  <c r="T154" i="4"/>
  <c r="S286" i="4"/>
  <c r="S20" i="8" s="1"/>
  <c r="S285" i="4"/>
  <c r="S19" i="8" s="1"/>
  <c r="S287" i="4"/>
  <c r="S21" i="8" s="1"/>
  <c r="S284" i="4"/>
  <c r="S18" i="8" s="1"/>
  <c r="S277" i="4"/>
  <c r="S12" i="8" s="1"/>
  <c r="S289" i="4"/>
  <c r="S23" i="8" s="1"/>
  <c r="S278" i="4"/>
  <c r="S13" i="8" s="1"/>
  <c r="S288" i="4"/>
  <c r="S22" i="8" s="1"/>
  <c r="S279" i="4"/>
  <c r="S14" i="8" s="1"/>
  <c r="T33" i="8"/>
  <c r="S33" i="8"/>
  <c r="V141" i="5"/>
  <c r="U142" i="5"/>
  <c r="U143" i="5" s="1"/>
  <c r="J327" i="4"/>
  <c r="W153" i="4"/>
  <c r="K247" i="4"/>
  <c r="K245" i="4"/>
  <c r="V272" i="4"/>
  <c r="J318" i="4"/>
  <c r="J341" i="4" s="1"/>
  <c r="O325" i="4"/>
  <c r="N323" i="4"/>
  <c r="N326" i="4" s="1"/>
  <c r="N327" i="4" s="1"/>
  <c r="S276" i="4" l="1"/>
  <c r="S11" i="8" s="1"/>
  <c r="S275" i="4"/>
  <c r="R15" i="8"/>
  <c r="R196" i="5"/>
  <c r="S306" i="4"/>
  <c r="S7" i="8" s="1"/>
  <c r="S268" i="4"/>
  <c r="S281" i="4" s="1"/>
  <c r="S292" i="4"/>
  <c r="Q295" i="4"/>
  <c r="Q297" i="4" s="1"/>
  <c r="T266" i="4"/>
  <c r="T267" i="4" s="1"/>
  <c r="T25" i="8"/>
  <c r="T282" i="4"/>
  <c r="T16" i="8" s="1"/>
  <c r="T9" i="8"/>
  <c r="T17" i="8"/>
  <c r="T279" i="4"/>
  <c r="T14" i="8" s="1"/>
  <c r="T289" i="4"/>
  <c r="T23" i="8" s="1"/>
  <c r="U154" i="4"/>
  <c r="T288" i="4"/>
  <c r="T22" i="8" s="1"/>
  <c r="T284" i="4"/>
  <c r="T18" i="8" s="1"/>
  <c r="T285" i="4"/>
  <c r="T19" i="8" s="1"/>
  <c r="T286" i="4"/>
  <c r="T20" i="8" s="1"/>
  <c r="T287" i="4"/>
  <c r="T21" i="8" s="1"/>
  <c r="T155" i="4"/>
  <c r="T277" i="4"/>
  <c r="T12" i="8" s="1"/>
  <c r="T278" i="4"/>
  <c r="T13" i="8" s="1"/>
  <c r="Q38" i="8"/>
  <c r="Q212" i="5"/>
  <c r="R10" i="8"/>
  <c r="R293" i="4"/>
  <c r="R309" i="4" s="1"/>
  <c r="U33" i="8"/>
  <c r="W141" i="5"/>
  <c r="V142" i="5"/>
  <c r="V143" i="5" s="1"/>
  <c r="K324" i="4"/>
  <c r="K323" i="4" s="1"/>
  <c r="K326" i="4" s="1"/>
  <c r="K327" i="4" s="1"/>
  <c r="L242" i="4"/>
  <c r="X153" i="4"/>
  <c r="O323" i="4"/>
  <c r="O326" i="4" s="1"/>
  <c r="O327" i="4" s="1"/>
  <c r="P325" i="4"/>
  <c r="W272" i="4"/>
  <c r="K296" i="4"/>
  <c r="K297" i="4" s="1"/>
  <c r="K249" i="4"/>
  <c r="K318" i="4" s="1"/>
  <c r="K341" i="4" s="1"/>
  <c r="T306" i="4" l="1"/>
  <c r="T7" i="8" s="1"/>
  <c r="T292" i="4"/>
  <c r="T268" i="4"/>
  <c r="T281" i="4" s="1"/>
  <c r="R38" i="8"/>
  <c r="R212" i="5"/>
  <c r="U266" i="4"/>
  <c r="U267" i="4" s="1"/>
  <c r="U25" i="8"/>
  <c r="U282" i="4"/>
  <c r="U16" i="8" s="1"/>
  <c r="U9" i="8"/>
  <c r="U17" i="8"/>
  <c r="U155" i="4"/>
  <c r="U277" i="4"/>
  <c r="U12" i="8" s="1"/>
  <c r="U279" i="4"/>
  <c r="U14" i="8" s="1"/>
  <c r="U288" i="4"/>
  <c r="U22" i="8" s="1"/>
  <c r="U286" i="4"/>
  <c r="U20" i="8" s="1"/>
  <c r="U284" i="4"/>
  <c r="U18" i="8" s="1"/>
  <c r="U285" i="4"/>
  <c r="U19" i="8" s="1"/>
  <c r="U278" i="4"/>
  <c r="U13" i="8" s="1"/>
  <c r="V154" i="4"/>
  <c r="U287" i="4"/>
  <c r="U21" i="8" s="1"/>
  <c r="U289" i="4"/>
  <c r="U23" i="8" s="1"/>
  <c r="R295" i="4"/>
  <c r="R297" i="4" s="1"/>
  <c r="S15" i="8"/>
  <c r="S196" i="5"/>
  <c r="S10" i="8"/>
  <c r="S293" i="4"/>
  <c r="S309" i="4" s="1"/>
  <c r="T276" i="4"/>
  <c r="T11" i="8" s="1"/>
  <c r="T275" i="4"/>
  <c r="V33" i="8"/>
  <c r="W142" i="5"/>
  <c r="W143" i="5" s="1"/>
  <c r="X141" i="5"/>
  <c r="X272" i="4"/>
  <c r="Q325" i="4"/>
  <c r="P323" i="4"/>
  <c r="P326" i="4" s="1"/>
  <c r="P327" i="4" s="1"/>
  <c r="Y153" i="4"/>
  <c r="L247" i="4"/>
  <c r="L245" i="4"/>
  <c r="S295" i="4" l="1"/>
  <c r="S297" i="4" s="1"/>
  <c r="T10" i="8"/>
  <c r="T293" i="4"/>
  <c r="T309" i="4" s="1"/>
  <c r="S38" i="8"/>
  <c r="S212" i="5"/>
  <c r="V266" i="4"/>
  <c r="V267" i="4" s="1"/>
  <c r="V25" i="8"/>
  <c r="V282" i="4"/>
  <c r="V16" i="8" s="1"/>
  <c r="V9" i="8"/>
  <c r="V17" i="8"/>
  <c r="V279" i="4"/>
  <c r="V14" i="8" s="1"/>
  <c r="V287" i="4"/>
  <c r="V21" i="8" s="1"/>
  <c r="V285" i="4"/>
  <c r="V19" i="8" s="1"/>
  <c r="W154" i="4"/>
  <c r="V284" i="4"/>
  <c r="V18" i="8" s="1"/>
  <c r="V289" i="4"/>
  <c r="V23" i="8" s="1"/>
  <c r="V155" i="4"/>
  <c r="V277" i="4"/>
  <c r="V12" i="8" s="1"/>
  <c r="V288" i="4"/>
  <c r="V22" i="8" s="1"/>
  <c r="V286" i="4"/>
  <c r="V20" i="8" s="1"/>
  <c r="V278" i="4"/>
  <c r="V13" i="8" s="1"/>
  <c r="U276" i="4"/>
  <c r="U11" i="8" s="1"/>
  <c r="U275" i="4"/>
  <c r="T15" i="8"/>
  <c r="T196" i="5"/>
  <c r="U268" i="4"/>
  <c r="U281" i="4" s="1"/>
  <c r="U306" i="4"/>
  <c r="U7" i="8" s="1"/>
  <c r="U292" i="4"/>
  <c r="W33" i="8"/>
  <c r="Y141" i="5"/>
  <c r="X142" i="5"/>
  <c r="X143" i="5" s="1"/>
  <c r="L324" i="4"/>
  <c r="L323" i="4" s="1"/>
  <c r="L326" i="4" s="1"/>
  <c r="L327" i="4" s="1"/>
  <c r="M242" i="4"/>
  <c r="Z153" i="4"/>
  <c r="Y272" i="4"/>
  <c r="L296" i="4"/>
  <c r="L297" i="4" s="1"/>
  <c r="L249" i="4"/>
  <c r="L318" i="4" s="1"/>
  <c r="L341" i="4" s="1"/>
  <c r="Q323" i="4"/>
  <c r="Q326" i="4" s="1"/>
  <c r="Q327" i="4" s="1"/>
  <c r="R325" i="4"/>
  <c r="T295" i="4" l="1"/>
  <c r="T297" i="4" s="1"/>
  <c r="T38" i="8"/>
  <c r="T212" i="5"/>
  <c r="V276" i="4"/>
  <c r="V11" i="8" s="1"/>
  <c r="V275" i="4"/>
  <c r="U15" i="8"/>
  <c r="U196" i="5"/>
  <c r="U10" i="8"/>
  <c r="U293" i="4"/>
  <c r="U309" i="4" s="1"/>
  <c r="W266" i="4"/>
  <c r="W267" i="4" s="1"/>
  <c r="W25" i="8"/>
  <c r="W282" i="4"/>
  <c r="W16" i="8" s="1"/>
  <c r="W17" i="8"/>
  <c r="W9" i="8"/>
  <c r="W278" i="4"/>
  <c r="W13" i="8" s="1"/>
  <c r="W288" i="4"/>
  <c r="W22" i="8" s="1"/>
  <c r="W279" i="4"/>
  <c r="W14" i="8" s="1"/>
  <c r="X154" i="4"/>
  <c r="W286" i="4"/>
  <c r="W20" i="8" s="1"/>
  <c r="W285" i="4"/>
  <c r="W19" i="8" s="1"/>
  <c r="W155" i="4"/>
  <c r="W277" i="4"/>
  <c r="W12" i="8" s="1"/>
  <c r="W284" i="4"/>
  <c r="W18" i="8" s="1"/>
  <c r="W287" i="4"/>
  <c r="W21" i="8" s="1"/>
  <c r="W289" i="4"/>
  <c r="W23" i="8" s="1"/>
  <c r="V306" i="4"/>
  <c r="V7" i="8" s="1"/>
  <c r="V292" i="4"/>
  <c r="V268" i="4"/>
  <c r="V281" i="4" s="1"/>
  <c r="Z141" i="5"/>
  <c r="Y142" i="5"/>
  <c r="AA153" i="4"/>
  <c r="M247" i="4"/>
  <c r="M324" i="4" s="1"/>
  <c r="M323" i="4" s="1"/>
  <c r="M326" i="4" s="1"/>
  <c r="M327" i="4" s="1"/>
  <c r="M245" i="4"/>
  <c r="S325" i="4"/>
  <c r="R323" i="4"/>
  <c r="R326" i="4" s="1"/>
  <c r="R327" i="4" s="1"/>
  <c r="Z272" i="4"/>
  <c r="X266" i="4" l="1"/>
  <c r="X267" i="4" s="1"/>
  <c r="X25" i="8"/>
  <c r="X282" i="4"/>
  <c r="X16" i="8" s="1"/>
  <c r="X9" i="8"/>
  <c r="X17" i="8"/>
  <c r="X155" i="4"/>
  <c r="X284" i="4"/>
  <c r="X18" i="8" s="1"/>
  <c r="X277" i="4"/>
  <c r="X12" i="8" s="1"/>
  <c r="X285" i="4"/>
  <c r="X19" i="8" s="1"/>
  <c r="X286" i="4"/>
  <c r="X20" i="8" s="1"/>
  <c r="X279" i="4"/>
  <c r="X14" i="8" s="1"/>
  <c r="X278" i="4"/>
  <c r="X13" i="8" s="1"/>
  <c r="X289" i="4"/>
  <c r="X23" i="8" s="1"/>
  <c r="X287" i="4"/>
  <c r="X21" i="8" s="1"/>
  <c r="Y154" i="4"/>
  <c r="X288" i="4"/>
  <c r="X22" i="8" s="1"/>
  <c r="W268" i="4"/>
  <c r="W281" i="4" s="1"/>
  <c r="W306" i="4"/>
  <c r="W7" i="8" s="1"/>
  <c r="W292" i="4"/>
  <c r="V10" i="8"/>
  <c r="V293" i="4"/>
  <c r="V309" i="4" s="1"/>
  <c r="W276" i="4"/>
  <c r="W11" i="8" s="1"/>
  <c r="W275" i="4"/>
  <c r="U295" i="4"/>
  <c r="U297" i="4" s="1"/>
  <c r="V15" i="8"/>
  <c r="V196" i="5"/>
  <c r="U38" i="8"/>
  <c r="U212" i="5"/>
  <c r="X33" i="8"/>
  <c r="Z142" i="5"/>
  <c r="Z143" i="5" s="1"/>
  <c r="AA141" i="5"/>
  <c r="Y143" i="5"/>
  <c r="S323" i="4"/>
  <c r="S326" i="4" s="1"/>
  <c r="S327" i="4" s="1"/>
  <c r="T325" i="4"/>
  <c r="M296" i="4"/>
  <c r="M297" i="4" s="1"/>
  <c r="M249" i="4"/>
  <c r="AA272" i="4"/>
  <c r="V38" i="8" l="1"/>
  <c r="V212" i="5"/>
  <c r="Y266" i="4"/>
  <c r="Y267" i="4" s="1"/>
  <c r="Y25" i="8"/>
  <c r="Y282" i="4"/>
  <c r="Y16" i="8" s="1"/>
  <c r="Y9" i="8"/>
  <c r="Y17" i="8"/>
  <c r="Y285" i="4"/>
  <c r="Y19" i="8" s="1"/>
  <c r="Y278" i="4"/>
  <c r="Y13" i="8" s="1"/>
  <c r="Y289" i="4"/>
  <c r="Y23" i="8" s="1"/>
  <c r="Y279" i="4"/>
  <c r="Y14" i="8" s="1"/>
  <c r="Y288" i="4"/>
  <c r="Y22" i="8" s="1"/>
  <c r="Y286" i="4"/>
  <c r="Y20" i="8" s="1"/>
  <c r="Z154" i="4"/>
  <c r="Y284" i="4"/>
  <c r="Y18" i="8" s="1"/>
  <c r="Y287" i="4"/>
  <c r="Y21" i="8" s="1"/>
  <c r="Y277" i="4"/>
  <c r="Y12" i="8" s="1"/>
  <c r="Y155" i="4"/>
  <c r="V295" i="4"/>
  <c r="V297" i="4" s="1"/>
  <c r="X276" i="4"/>
  <c r="X11" i="8" s="1"/>
  <c r="X275" i="4"/>
  <c r="W15" i="8"/>
  <c r="W196" i="5"/>
  <c r="X306" i="4"/>
  <c r="X7" i="8" s="1"/>
  <c r="X292" i="4"/>
  <c r="X268" i="4"/>
  <c r="X281" i="4" s="1"/>
  <c r="W10" i="8"/>
  <c r="W293" i="4"/>
  <c r="W309" i="4" s="1"/>
  <c r="Z33" i="8"/>
  <c r="AA142" i="5"/>
  <c r="AA143" i="5" s="1"/>
  <c r="M318" i="4"/>
  <c r="M341" i="4" s="1"/>
  <c r="B250" i="4"/>
  <c r="U325" i="4"/>
  <c r="T323" i="4"/>
  <c r="T326" i="4" s="1"/>
  <c r="T327" i="4" s="1"/>
  <c r="X15" i="8" l="1"/>
  <c r="X196" i="5"/>
  <c r="Y306" i="4"/>
  <c r="Y7" i="8" s="1"/>
  <c r="Y292" i="4"/>
  <c r="Y268" i="4"/>
  <c r="Y281" i="4" s="1"/>
  <c r="X10" i="8"/>
  <c r="X293" i="4"/>
  <c r="X309" i="4" s="1"/>
  <c r="Y276" i="4"/>
  <c r="Y11" i="8" s="1"/>
  <c r="Y275" i="4"/>
  <c r="Z266" i="4"/>
  <c r="Z267" i="4" s="1"/>
  <c r="Z25" i="8"/>
  <c r="Z282" i="4"/>
  <c r="Z16" i="8" s="1"/>
  <c r="Z9" i="8"/>
  <c r="Z17" i="8"/>
  <c r="Z284" i="4"/>
  <c r="Z18" i="8" s="1"/>
  <c r="Z278" i="4"/>
  <c r="Z13" i="8" s="1"/>
  <c r="Z289" i="4"/>
  <c r="Z23" i="8" s="1"/>
  <c r="Z155" i="4"/>
  <c r="Z277" i="4"/>
  <c r="Z12" i="8" s="1"/>
  <c r="Z288" i="4"/>
  <c r="Z22" i="8" s="1"/>
  <c r="Z279" i="4"/>
  <c r="Z14" i="8" s="1"/>
  <c r="Z285" i="4"/>
  <c r="Z19" i="8" s="1"/>
  <c r="AA154" i="4"/>
  <c r="Z287" i="4"/>
  <c r="Z21" i="8" s="1"/>
  <c r="Z286" i="4"/>
  <c r="Z20" i="8" s="1"/>
  <c r="W295" i="4"/>
  <c r="W297" i="4" s="1"/>
  <c r="W38" i="8"/>
  <c r="W212" i="5"/>
  <c r="AA33" i="8"/>
  <c r="Y33" i="8"/>
  <c r="U323" i="4"/>
  <c r="U326" i="4" s="1"/>
  <c r="U327" i="4" s="1"/>
  <c r="V325" i="4"/>
  <c r="X295" i="4" l="1"/>
  <c r="X297" i="4" s="1"/>
  <c r="AA266" i="4"/>
  <c r="AA267" i="4" s="1"/>
  <c r="AA25" i="8"/>
  <c r="C24" i="9" s="1"/>
  <c r="AA282" i="4"/>
  <c r="AA16" i="8" s="1"/>
  <c r="C15" i="9" s="1"/>
  <c r="AA17" i="8"/>
  <c r="C16" i="9" s="1"/>
  <c r="AA9" i="8"/>
  <c r="C8" i="9" s="1"/>
  <c r="AA155" i="4"/>
  <c r="AA288" i="4"/>
  <c r="AA22" i="8" s="1"/>
  <c r="C21" i="9" s="1"/>
  <c r="AA279" i="4"/>
  <c r="AA14" i="8" s="1"/>
  <c r="C13" i="9" s="1"/>
  <c r="AA286" i="4"/>
  <c r="AA20" i="8" s="1"/>
  <c r="C19" i="9" s="1"/>
  <c r="AA285" i="4"/>
  <c r="AA19" i="8" s="1"/>
  <c r="C18" i="9" s="1"/>
  <c r="AA287" i="4"/>
  <c r="AA21" i="8" s="1"/>
  <c r="C20" i="9" s="1"/>
  <c r="AA277" i="4"/>
  <c r="AA12" i="8" s="1"/>
  <c r="C11" i="9" s="1"/>
  <c r="AA284" i="4"/>
  <c r="AA18" i="8" s="1"/>
  <c r="C17" i="9" s="1"/>
  <c r="AA278" i="4"/>
  <c r="AA13" i="8" s="1"/>
  <c r="C12" i="9" s="1"/>
  <c r="AA289" i="4"/>
  <c r="AA23" i="8" s="1"/>
  <c r="C22" i="9" s="1"/>
  <c r="Z276" i="4"/>
  <c r="Z11" i="8" s="1"/>
  <c r="Z275" i="4"/>
  <c r="Z292" i="4"/>
  <c r="Z268" i="4"/>
  <c r="Z281" i="4" s="1"/>
  <c r="Z306" i="4"/>
  <c r="Z7" i="8" s="1"/>
  <c r="Y10" i="8"/>
  <c r="Y293" i="4"/>
  <c r="Y309" i="4" s="1"/>
  <c r="X38" i="8"/>
  <c r="X212" i="5"/>
  <c r="Y15" i="8"/>
  <c r="Y196" i="5"/>
  <c r="B33" i="8"/>
  <c r="D9" i="9" s="1"/>
  <c r="W325" i="4"/>
  <c r="V323" i="4"/>
  <c r="V326" i="4" s="1"/>
  <c r="V327" i="4" s="1"/>
  <c r="Z15" i="8" l="1"/>
  <c r="Z196" i="5"/>
  <c r="F22" i="9"/>
  <c r="O22" i="9" s="1"/>
  <c r="F20" i="9"/>
  <c r="F21" i="9"/>
  <c r="O21" i="9" s="1"/>
  <c r="F15" i="9"/>
  <c r="Y38" i="8"/>
  <c r="Y212" i="5"/>
  <c r="F12" i="9"/>
  <c r="O12" i="9" s="1"/>
  <c r="F18" i="9"/>
  <c r="AA276" i="4"/>
  <c r="AA11" i="8" s="1"/>
  <c r="C10" i="9" s="1"/>
  <c r="AA275" i="4"/>
  <c r="F24" i="9"/>
  <c r="Z10" i="8"/>
  <c r="Z293" i="4"/>
  <c r="Z309" i="4" s="1"/>
  <c r="F17" i="9"/>
  <c r="F19" i="9"/>
  <c r="O19" i="9" s="1"/>
  <c r="F8" i="9"/>
  <c r="J8" i="9" s="1"/>
  <c r="J25" i="9" s="1"/>
  <c r="AA306" i="4"/>
  <c r="AA7" i="8" s="1"/>
  <c r="C6" i="9" s="1"/>
  <c r="AA292" i="4"/>
  <c r="AA268" i="4"/>
  <c r="AA281" i="4" s="1"/>
  <c r="F11" i="9"/>
  <c r="O11" i="9" s="1"/>
  <c r="F13" i="9"/>
  <c r="F16" i="9"/>
  <c r="N16" i="9" s="1"/>
  <c r="Y295" i="4"/>
  <c r="Y297" i="4" s="1"/>
  <c r="W323" i="4"/>
  <c r="W326" i="4" s="1"/>
  <c r="W327" i="4" s="1"/>
  <c r="X325" i="4"/>
  <c r="AA15" i="8" l="1"/>
  <c r="C14" i="9" s="1"/>
  <c r="AA196" i="5"/>
  <c r="AA10" i="8"/>
  <c r="C9" i="9" s="1"/>
  <c r="AA293" i="4"/>
  <c r="AA309" i="4" s="1"/>
  <c r="F10" i="9"/>
  <c r="Z38" i="8"/>
  <c r="Z212" i="5"/>
  <c r="M17" i="9"/>
  <c r="M25" i="9" s="1"/>
  <c r="L17" i="9"/>
  <c r="L25" i="9" s="1"/>
  <c r="Z295" i="4"/>
  <c r="Z297" i="4" s="1"/>
  <c r="Y325" i="4"/>
  <c r="X323" i="4"/>
  <c r="X326" i="4" s="1"/>
  <c r="X327" i="4" s="1"/>
  <c r="F9" i="9" l="1"/>
  <c r="AA295" i="4"/>
  <c r="AA297" i="4" s="1"/>
  <c r="AA38" i="8"/>
  <c r="B38" i="8" s="1"/>
  <c r="D14" i="9" s="1"/>
  <c r="F14" i="9" s="1"/>
  <c r="AA212" i="5"/>
  <c r="AA214" i="5" s="1"/>
  <c r="R214" i="5"/>
  <c r="K214" i="5"/>
  <c r="M214" i="5"/>
  <c r="V214" i="5"/>
  <c r="O214" i="5"/>
  <c r="Q214" i="5"/>
  <c r="J214" i="5"/>
  <c r="Z214" i="5"/>
  <c r="S214" i="5"/>
  <c r="U214" i="5"/>
  <c r="N214" i="5"/>
  <c r="G214" i="5"/>
  <c r="W214" i="5"/>
  <c r="I214" i="5"/>
  <c r="Y214" i="5"/>
  <c r="H214" i="5"/>
  <c r="P214" i="5"/>
  <c r="X214" i="5"/>
  <c r="L214" i="5"/>
  <c r="T214" i="5"/>
  <c r="Y323" i="4"/>
  <c r="Y326" i="4"/>
  <c r="Y327" i="4" s="1"/>
  <c r="Z325" i="4"/>
  <c r="Z298" i="4"/>
  <c r="H298" i="4"/>
  <c r="N298" i="4"/>
  <c r="AA298" i="4"/>
  <c r="P298" i="4"/>
  <c r="L298" i="4"/>
  <c r="K298" i="4"/>
  <c r="G298" i="4"/>
  <c r="T298" i="4"/>
  <c r="V298" i="4"/>
  <c r="R298" i="4"/>
  <c r="I298" i="4"/>
  <c r="O298" i="4"/>
  <c r="Q298" i="4"/>
  <c r="X298" i="4"/>
  <c r="Y298" i="4"/>
  <c r="U298" i="4"/>
  <c r="W298" i="4"/>
  <c r="S298" i="4"/>
  <c r="M298" i="4"/>
  <c r="J298" i="4"/>
  <c r="Q299" i="4" l="1"/>
  <c r="Q300" i="4" s="1"/>
  <c r="W299" i="4"/>
  <c r="W300" i="4" s="1"/>
  <c r="J299" i="4"/>
  <c r="J300" i="4" s="1"/>
  <c r="O299" i="4"/>
  <c r="O300" i="4" s="1"/>
  <c r="X299" i="4"/>
  <c r="X300" i="4" s="1"/>
  <c r="Z299" i="4"/>
  <c r="Z300" i="4" s="1"/>
  <c r="K299" i="4"/>
  <c r="K300" i="4" s="1"/>
  <c r="L299" i="4"/>
  <c r="L300" i="4" s="1"/>
  <c r="AA299" i="4"/>
  <c r="AA300" i="4" s="1"/>
  <c r="AA301" i="4" s="1"/>
  <c r="N299" i="4"/>
  <c r="N300" i="4" s="1"/>
  <c r="H299" i="4"/>
  <c r="H300" i="4" s="1"/>
  <c r="R299" i="4"/>
  <c r="R300" i="4" s="1"/>
  <c r="V299" i="4"/>
  <c r="V300" i="4" s="1"/>
  <c r="I299" i="4"/>
  <c r="I300" i="4" s="1"/>
  <c r="S299" i="4"/>
  <c r="S300" i="4" s="1"/>
  <c r="U299" i="4"/>
  <c r="U300" i="4" s="1"/>
  <c r="T299" i="4"/>
  <c r="T300" i="4" s="1"/>
  <c r="G299" i="4"/>
  <c r="G300" i="4" s="1"/>
  <c r="Y299" i="4"/>
  <c r="Y300" i="4" s="1"/>
  <c r="P299" i="4"/>
  <c r="P300" i="4" s="1"/>
  <c r="M299" i="4"/>
  <c r="M300" i="4" s="1"/>
  <c r="AA325" i="4"/>
  <c r="Z323" i="4"/>
  <c r="Z326" i="4" s="1"/>
  <c r="Z327" i="4" s="1"/>
  <c r="M24" i="8" l="1"/>
  <c r="M26" i="8" s="1"/>
  <c r="M301" i="4"/>
  <c r="M310" i="4"/>
  <c r="M312" i="4" s="1"/>
  <c r="M316" i="4" s="1"/>
  <c r="V24" i="8"/>
  <c r="V26" i="8" s="1"/>
  <c r="V301" i="4"/>
  <c r="V310" i="4"/>
  <c r="V312" i="4" s="1"/>
  <c r="V316" i="4" s="1"/>
  <c r="AA24" i="8"/>
  <c r="AA26" i="8" s="1"/>
  <c r="AA310" i="4"/>
  <c r="AA312" i="4" s="1"/>
  <c r="AA316" i="4" s="1"/>
  <c r="X310" i="4"/>
  <c r="X312" i="4" s="1"/>
  <c r="X316" i="4" s="1"/>
  <c r="X24" i="8"/>
  <c r="X26" i="8" s="1"/>
  <c r="X301" i="4"/>
  <c r="Q24" i="8"/>
  <c r="Q26" i="8" s="1"/>
  <c r="Q301" i="4"/>
  <c r="Q310" i="4"/>
  <c r="Q312" i="4" s="1"/>
  <c r="Q316" i="4" s="1"/>
  <c r="T310" i="4"/>
  <c r="T312" i="4" s="1"/>
  <c r="T316" i="4" s="1"/>
  <c r="T301" i="4"/>
  <c r="T24" i="8"/>
  <c r="T26" i="8" s="1"/>
  <c r="G24" i="8"/>
  <c r="G301" i="4"/>
  <c r="G310" i="4"/>
  <c r="G312" i="4" s="1"/>
  <c r="G316" i="4" s="1"/>
  <c r="I301" i="4"/>
  <c r="I24" i="8"/>
  <c r="I26" i="8" s="1"/>
  <c r="I310" i="4"/>
  <c r="I312" i="4" s="1"/>
  <c r="I316" i="4" s="1"/>
  <c r="N24" i="8"/>
  <c r="N26" i="8" s="1"/>
  <c r="N301" i="4"/>
  <c r="N310" i="4"/>
  <c r="N312" i="4" s="1"/>
  <c r="N316" i="4" s="1"/>
  <c r="Z24" i="8"/>
  <c r="Z26" i="8" s="1"/>
  <c r="Z301" i="4"/>
  <c r="Z310" i="4"/>
  <c r="Z312" i="4" s="1"/>
  <c r="Z316" i="4" s="1"/>
  <c r="W24" i="8"/>
  <c r="W26" i="8" s="1"/>
  <c r="W301" i="4"/>
  <c r="W310" i="4"/>
  <c r="W312" i="4" s="1"/>
  <c r="W316" i="4" s="1"/>
  <c r="Y24" i="8"/>
  <c r="Y26" i="8" s="1"/>
  <c r="Y310" i="4"/>
  <c r="Y312" i="4" s="1"/>
  <c r="Y316" i="4" s="1"/>
  <c r="Y301" i="4"/>
  <c r="S24" i="8"/>
  <c r="S26" i="8" s="1"/>
  <c r="S301" i="4"/>
  <c r="S310" i="4"/>
  <c r="S312" i="4" s="1"/>
  <c r="S316" i="4" s="1"/>
  <c r="H301" i="4"/>
  <c r="H310" i="4"/>
  <c r="H312" i="4" s="1"/>
  <c r="H316" i="4" s="1"/>
  <c r="H24" i="8"/>
  <c r="H26" i="8" s="1"/>
  <c r="K301" i="4"/>
  <c r="K310" i="4"/>
  <c r="K312" i="4" s="1"/>
  <c r="K316" i="4" s="1"/>
  <c r="K24" i="8"/>
  <c r="K26" i="8" s="1"/>
  <c r="J24" i="8"/>
  <c r="J26" i="8" s="1"/>
  <c r="J301" i="4"/>
  <c r="J310" i="4"/>
  <c r="J312" i="4" s="1"/>
  <c r="J316" i="4" s="1"/>
  <c r="P301" i="4"/>
  <c r="P310" i="4"/>
  <c r="P312" i="4" s="1"/>
  <c r="P316" i="4" s="1"/>
  <c r="P24" i="8"/>
  <c r="P26" i="8" s="1"/>
  <c r="U301" i="4"/>
  <c r="U24" i="8"/>
  <c r="U26" i="8" s="1"/>
  <c r="U310" i="4"/>
  <c r="U312" i="4" s="1"/>
  <c r="U316" i="4" s="1"/>
  <c r="R301" i="4"/>
  <c r="R24" i="8"/>
  <c r="R26" i="8" s="1"/>
  <c r="R310" i="4"/>
  <c r="R312" i="4" s="1"/>
  <c r="R316" i="4" s="1"/>
  <c r="L301" i="4"/>
  <c r="L310" i="4"/>
  <c r="L312" i="4" s="1"/>
  <c r="L316" i="4" s="1"/>
  <c r="L24" i="8"/>
  <c r="L26" i="8" s="1"/>
  <c r="O310" i="4"/>
  <c r="O312" i="4" s="1"/>
  <c r="O316" i="4" s="1"/>
  <c r="O24" i="8"/>
  <c r="O26" i="8" s="1"/>
  <c r="O301" i="4"/>
  <c r="AA323" i="4"/>
  <c r="AA326" i="4" s="1"/>
  <c r="B326" i="4" s="1"/>
  <c r="U320" i="4" l="1"/>
  <c r="U343" i="4" s="1"/>
  <c r="U339" i="4"/>
  <c r="P320" i="4"/>
  <c r="P343" i="4" s="1"/>
  <c r="P339" i="4"/>
  <c r="Z339" i="4"/>
  <c r="Z320" i="4"/>
  <c r="Z343" i="4" s="1"/>
  <c r="X320" i="4"/>
  <c r="X343" i="4" s="1"/>
  <c r="X339" i="4"/>
  <c r="S339" i="4"/>
  <c r="S320" i="4"/>
  <c r="S343" i="4" s="1"/>
  <c r="Y339" i="4"/>
  <c r="Y320" i="4"/>
  <c r="Y343" i="4" s="1"/>
  <c r="N320" i="4"/>
  <c r="N343" i="4" s="1"/>
  <c r="N339" i="4"/>
  <c r="G26" i="8"/>
  <c r="C23" i="9"/>
  <c r="Q320" i="4"/>
  <c r="Q343" i="4" s="1"/>
  <c r="Q339" i="4"/>
  <c r="V339" i="4"/>
  <c r="V320" i="4"/>
  <c r="V343" i="4" s="1"/>
  <c r="L320" i="4"/>
  <c r="L343" i="4" s="1"/>
  <c r="L339" i="4"/>
  <c r="J320" i="4"/>
  <c r="J343" i="4" s="1"/>
  <c r="J339" i="4"/>
  <c r="K339" i="4"/>
  <c r="K320" i="4"/>
  <c r="K343" i="4" s="1"/>
  <c r="I320" i="4"/>
  <c r="I343" i="4" s="1"/>
  <c r="I339" i="4"/>
  <c r="T339" i="4"/>
  <c r="T320" i="4"/>
  <c r="T343" i="4" s="1"/>
  <c r="M339" i="4"/>
  <c r="M320" i="4"/>
  <c r="M343" i="4" s="1"/>
  <c r="O339" i="4"/>
  <c r="O320" i="4"/>
  <c r="O343" i="4" s="1"/>
  <c r="R339" i="4"/>
  <c r="R320" i="4"/>
  <c r="R343" i="4" s="1"/>
  <c r="H320" i="4"/>
  <c r="H343" i="4" s="1"/>
  <c r="H339" i="4"/>
  <c r="W320" i="4"/>
  <c r="W343" i="4" s="1"/>
  <c r="W339" i="4"/>
  <c r="B331" i="4"/>
  <c r="G339" i="4"/>
  <c r="G320" i="4"/>
  <c r="AA320" i="4"/>
  <c r="AA343" i="4" s="1"/>
  <c r="AA339" i="4"/>
  <c r="B327" i="4"/>
  <c r="B329" i="4" s="1"/>
  <c r="AA327" i="4"/>
  <c r="B347" i="4" l="1"/>
  <c r="B334" i="4"/>
  <c r="B335" i="4"/>
  <c r="G343" i="4"/>
  <c r="F23" i="9"/>
  <c r="N23" i="9" s="1"/>
  <c r="N25" i="9" s="1"/>
  <c r="C25" i="9"/>
  <c r="B330" i="4"/>
  <c r="B345" i="4"/>
  <c r="B350" i="4" l="1"/>
  <c r="B351" i="4"/>
  <c r="B346" i="4"/>
  <c r="B22" i="8"/>
  <c r="B21" i="9" s="1"/>
  <c r="B7" i="8"/>
  <c r="B6" i="9" s="1"/>
  <c r="B13" i="8"/>
  <c r="B12" i="9" s="1"/>
  <c r="B23" i="8"/>
  <c r="B22" i="9" s="1"/>
  <c r="B15" i="8"/>
  <c r="B14" i="9" s="1"/>
  <c r="B21" i="8"/>
  <c r="B20" i="9" s="1"/>
  <c r="B12" i="8"/>
  <c r="B11" i="9" s="1"/>
  <c r="B16" i="8"/>
  <c r="B15" i="9" s="1"/>
  <c r="B11" i="8"/>
  <c r="B10" i="9" s="1"/>
  <c r="B14" i="8"/>
  <c r="B13" i="9" s="1"/>
  <c r="B17" i="8"/>
  <c r="B16" i="9" s="1"/>
  <c r="B18" i="8"/>
  <c r="B17" i="9" s="1"/>
  <c r="B20" i="8"/>
  <c r="B19" i="9" s="1"/>
  <c r="B10" i="8"/>
  <c r="B9" i="9" s="1"/>
  <c r="B19" i="8"/>
  <c r="B18" i="9" s="1"/>
  <c r="B25" i="8"/>
  <c r="B24" i="9" s="1"/>
  <c r="B9" i="8"/>
  <c r="B8" i="9" s="1"/>
  <c r="B24" i="8"/>
  <c r="B23" i="9" s="1"/>
  <c r="B26" i="8"/>
  <c r="H18" i="9" l="1"/>
  <c r="P18" i="9"/>
  <c r="H16" i="9"/>
  <c r="P16" i="9"/>
  <c r="H11" i="9"/>
  <c r="P11" i="9"/>
  <c r="H12" i="9"/>
  <c r="P12" i="9"/>
  <c r="H23" i="9"/>
  <c r="P23" i="9"/>
  <c r="H9" i="9"/>
  <c r="P9" i="9"/>
  <c r="H13" i="9"/>
  <c r="P13" i="9"/>
  <c r="H20" i="9"/>
  <c r="P20" i="9"/>
  <c r="H6" i="9"/>
  <c r="P6" i="9"/>
  <c r="B25" i="9"/>
  <c r="H8" i="9"/>
  <c r="P8" i="9"/>
  <c r="H19" i="9"/>
  <c r="P19" i="9"/>
  <c r="H10" i="9"/>
  <c r="P10" i="9"/>
  <c r="H14" i="9"/>
  <c r="P14" i="9"/>
  <c r="H21" i="9"/>
  <c r="P21" i="9"/>
  <c r="H24" i="9"/>
  <c r="P24" i="9"/>
  <c r="H17" i="9"/>
  <c r="P17" i="9"/>
  <c r="H15" i="9"/>
  <c r="P15" i="9"/>
  <c r="H22" i="9"/>
  <c r="P22" i="9"/>
  <c r="C16" i="6"/>
  <c r="D16" i="6"/>
  <c r="B28" i="6" s="1"/>
  <c r="B17" i="6"/>
  <c r="C17" i="6" s="1"/>
  <c r="E17" i="6" s="1"/>
  <c r="P25" i="9" l="1"/>
  <c r="H25" i="9"/>
  <c r="E16" i="6"/>
  <c r="E19" i="6" s="1"/>
  <c r="E21" i="6" s="1"/>
  <c r="E23" i="6" s="1"/>
  <c r="B26" i="6" l="1"/>
  <c r="H182" i="5"/>
  <c r="H183" i="5" s="1"/>
  <c r="Z182" i="5"/>
  <c r="Z183" i="5" s="1"/>
  <c r="S182" i="5"/>
  <c r="S183" i="5" s="1"/>
  <c r="AA182" i="5"/>
  <c r="AA183" i="5" s="1"/>
  <c r="Y182" i="5"/>
  <c r="Y183" i="5" s="1"/>
  <c r="P182" i="5"/>
  <c r="P183" i="5" s="1"/>
  <c r="I182" i="5"/>
  <c r="I183" i="5" s="1"/>
  <c r="R182" i="5"/>
  <c r="R183" i="5" s="1"/>
  <c r="T182" i="5"/>
  <c r="T183" i="5" s="1"/>
  <c r="W182" i="5"/>
  <c r="W183" i="5" s="1"/>
  <c r="M182" i="5"/>
  <c r="M183" i="5" s="1"/>
  <c r="L182" i="5"/>
  <c r="L183" i="5" s="1"/>
  <c r="N182" i="5"/>
  <c r="N183" i="5" s="1"/>
  <c r="G182" i="5"/>
  <c r="G183" i="5" s="1"/>
  <c r="U182" i="5"/>
  <c r="U183" i="5" s="1"/>
  <c r="Q182" i="5"/>
  <c r="Q183" i="5" s="1"/>
  <c r="X182" i="5"/>
  <c r="X183" i="5" s="1"/>
  <c r="B24" i="6"/>
  <c r="O182" i="5"/>
  <c r="O183" i="5" s="1"/>
  <c r="K182" i="5"/>
  <c r="K183" i="5" s="1"/>
  <c r="V182" i="5"/>
  <c r="V183" i="5" s="1"/>
  <c r="J182" i="5"/>
  <c r="J183" i="5" s="1"/>
  <c r="J209" i="5" l="1"/>
  <c r="J216" i="5" s="1"/>
  <c r="J30" i="8"/>
  <c r="J49" i="8" s="1"/>
  <c r="G209" i="5"/>
  <c r="G216" i="5" s="1"/>
  <c r="G30" i="8"/>
  <c r="W209" i="5"/>
  <c r="W216" i="5" s="1"/>
  <c r="W30" i="8"/>
  <c r="W49" i="8" s="1"/>
  <c r="P209" i="5"/>
  <c r="P216" i="5" s="1"/>
  <c r="P30" i="8"/>
  <c r="P49" i="8" s="1"/>
  <c r="Z209" i="5"/>
  <c r="Z216" i="5" s="1"/>
  <c r="Z30" i="8"/>
  <c r="Z49" i="8" s="1"/>
  <c r="V209" i="5"/>
  <c r="V216" i="5" s="1"/>
  <c r="V30" i="8"/>
  <c r="V49" i="8" s="1"/>
  <c r="X209" i="5"/>
  <c r="X216" i="5" s="1"/>
  <c r="X30" i="8"/>
  <c r="X49" i="8" s="1"/>
  <c r="N209" i="5"/>
  <c r="N216" i="5" s="1"/>
  <c r="N30" i="8"/>
  <c r="N49" i="8" s="1"/>
  <c r="T209" i="5"/>
  <c r="T216" i="5" s="1"/>
  <c r="T30" i="8"/>
  <c r="T49" i="8" s="1"/>
  <c r="Y209" i="5"/>
  <c r="Y216" i="5" s="1"/>
  <c r="Y30" i="8"/>
  <c r="Y49" i="8" s="1"/>
  <c r="H209" i="5"/>
  <c r="H216" i="5" s="1"/>
  <c r="H30" i="8"/>
  <c r="H49" i="8" s="1"/>
  <c r="K209" i="5"/>
  <c r="K216" i="5" s="1"/>
  <c r="K30" i="8"/>
  <c r="K49" i="8" s="1"/>
  <c r="Q209" i="5"/>
  <c r="Q216" i="5" s="1"/>
  <c r="Q30" i="8"/>
  <c r="Q49" i="8" s="1"/>
  <c r="L209" i="5"/>
  <c r="L216" i="5" s="1"/>
  <c r="L30" i="8"/>
  <c r="L49" i="8" s="1"/>
  <c r="R209" i="5"/>
  <c r="R216" i="5" s="1"/>
  <c r="R30" i="8"/>
  <c r="R49" i="8" s="1"/>
  <c r="AA209" i="5"/>
  <c r="AA216" i="5" s="1"/>
  <c r="AA30" i="8"/>
  <c r="AA49" i="8" s="1"/>
  <c r="O209" i="5"/>
  <c r="O216" i="5" s="1"/>
  <c r="O30" i="8"/>
  <c r="O49" i="8" s="1"/>
  <c r="U209" i="5"/>
  <c r="U216" i="5" s="1"/>
  <c r="U30" i="8"/>
  <c r="U49" i="8" s="1"/>
  <c r="M209" i="5"/>
  <c r="M216" i="5" s="1"/>
  <c r="M30" i="8"/>
  <c r="M49" i="8" s="1"/>
  <c r="I209" i="5"/>
  <c r="I216" i="5" s="1"/>
  <c r="I30" i="8"/>
  <c r="I49" i="8" s="1"/>
  <c r="S209" i="5"/>
  <c r="S216" i="5" s="1"/>
  <c r="S30" i="8"/>
  <c r="S49" i="8" s="1"/>
  <c r="C29" i="6"/>
  <c r="C30" i="6"/>
  <c r="C28" i="6"/>
  <c r="B219" i="5"/>
  <c r="B220" i="5"/>
  <c r="C26" i="6" l="1"/>
  <c r="B30" i="8"/>
  <c r="D6" i="9" s="1"/>
  <c r="G49" i="8"/>
  <c r="B49" i="8" s="1"/>
  <c r="F6" i="9" l="1"/>
  <c r="D25" i="9"/>
  <c r="K6" i="9" l="1"/>
  <c r="K25" i="9" s="1"/>
  <c r="O6" i="9"/>
  <c r="O25" i="9" s="1"/>
  <c r="F25" i="9"/>
</calcChain>
</file>

<file path=xl/comments1.xml><?xml version="1.0" encoding="utf-8"?>
<comments xmlns="http://schemas.openxmlformats.org/spreadsheetml/2006/main">
  <authors>
    <author>xthanh</author>
  </authors>
  <commentList>
    <comment ref="A49" authorId="0">
      <text>
        <r>
          <rPr>
            <b/>
            <sz val="9"/>
            <color indexed="81"/>
            <rFont val="Tahoma"/>
            <family val="2"/>
            <charset val="163"/>
          </rPr>
          <t>Gốc trả đều hàng năm, lãi trả theo dư nợ giảm dần.</t>
        </r>
      </text>
    </comment>
  </commentList>
</comments>
</file>

<file path=xl/sharedStrings.xml><?xml version="1.0" encoding="utf-8"?>
<sst xmlns="http://schemas.openxmlformats.org/spreadsheetml/2006/main" count="800" uniqueCount="329">
  <si>
    <t>Thông số vĩ mô</t>
  </si>
  <si>
    <t>1. Chi phí thiết bị không bao gồm VAT</t>
  </si>
  <si>
    <t>Thiết bị công nghệ</t>
  </si>
  <si>
    <t>Thiết bị tiện ích (thiết bị phòng thí nghiệm, thiết bị bảo trì, …)</t>
  </si>
  <si>
    <t>Vật liệu rời (đường ống, thiết bị điều khiển, thiết bị điện, sơn, cách nhiệt)</t>
  </si>
  <si>
    <t>2. Chi phí xây dựng không bao gồm VAT</t>
  </si>
  <si>
    <t>3. Chi phí khác không bao gồm VAT (không kể chi phí chìm FS, BCMT)</t>
  </si>
  <si>
    <t>Chi phí bản quyền công nghệ</t>
  </si>
  <si>
    <t>Chi phí chạy thử (không bao gồm chi phí khí và doanh thu sản phẩm chạy thử)</t>
  </si>
  <si>
    <t>Chi phí quản lý của Chủ đầu tư</t>
  </si>
  <si>
    <t xml:space="preserve">Chi phí tư vấn đầu tư xây dựng Dự án  </t>
  </si>
  <si>
    <t>Chi phí bảo hiểm, đào tạo</t>
  </si>
  <si>
    <t>4. Thuế cho nhà thầu nước ngoài</t>
  </si>
  <si>
    <t>5. Chi phí chi cho nghiên cứu khả thi</t>
  </si>
  <si>
    <t>6. Dự phòng tăng chi phí thực</t>
  </si>
  <si>
    <t>1. Chi phí thiết bị không bao gồm VAT (thuế nk của thiết bị rời và tiện ích)</t>
  </si>
  <si>
    <t>Thuế NK thiết bị tiện ích</t>
  </si>
  <si>
    <t>Thuế NK vật liệu rời</t>
  </si>
  <si>
    <t xml:space="preserve">2. Chi phí lao động Việt Nam </t>
  </si>
  <si>
    <t>Chi phí lao động VN không kỹ năng trong mục xây dựng</t>
  </si>
  <si>
    <t>Chi phí lao động VN có kỹ năng (ban quản lý + giám sát tk nước ngoài)</t>
  </si>
  <si>
    <t>Chi phí chạy thử</t>
  </si>
  <si>
    <t>Chi phí quản lý của Chủ đầu tư (không bao gồm lương lao động)</t>
  </si>
  <si>
    <t>Chi phí tư vấn đầu tư xây dựng Dự án (không bao gồm lương giám sát tknn)</t>
  </si>
  <si>
    <t>Chi phí thuê đất, chạy thử (chi phí khí và doanh thu sản phẩm) , kiểm toán, L/C</t>
  </si>
  <si>
    <t>Tiến độ giải ngân để tài trợ chi phí đầu tư</t>
  </si>
  <si>
    <t>Chi phí đầu tư ban đầu (theo giá năm 2014)</t>
  </si>
  <si>
    <t>Thời gian khấu hao máy móc thiết bị (đều)</t>
  </si>
  <si>
    <t>Thời gian khấu hao công trình xây dựng (đều)</t>
  </si>
  <si>
    <t>Thời gian khấu hao các chi phí khác (đều)</t>
  </si>
  <si>
    <t>Thời gian (năm)</t>
  </si>
  <si>
    <t>Thời gian đầu tư xây dựng ban đầu</t>
  </si>
  <si>
    <t>Huy động vốn</t>
  </si>
  <si>
    <t>Vay nợ ngoại tệ (nghìn USD)</t>
  </si>
  <si>
    <t>Chi phí đầu tư bằng ngoại tệ (nghìn USD)</t>
  </si>
  <si>
    <t>Chi phí đầu tư bằng nội tệ (triệu VNĐ)</t>
  </si>
  <si>
    <t>Lãi suất (danh nghĩa, cố định)</t>
  </si>
  <si>
    <t>Kỳ hạn trả nợ (năm)</t>
  </si>
  <si>
    <t>PHÂN TÍCH</t>
  </si>
  <si>
    <t>Chỉ số giá VNĐ</t>
  </si>
  <si>
    <t>Chỉ số giá USD</t>
  </si>
  <si>
    <t>Tỷ giá VNĐ/USD</t>
  </si>
  <si>
    <t>Tỷ giá</t>
  </si>
  <si>
    <t>Chi phí đầu tư bằng nội tệ, quy đổi ra USD (nghìn USD)</t>
  </si>
  <si>
    <t>2. Chi phí xây dựng</t>
  </si>
  <si>
    <t>1. Chi phí thiết bị</t>
  </si>
  <si>
    <t>3. Chi phí khác</t>
  </si>
  <si>
    <t>Ngân lưu chi phí đầu tư (nghìn USD, giá danh nghĩa)</t>
  </si>
  <si>
    <t>Tổng chi phí đầu tư kế toán để tính khấu hao (nghìn USD)</t>
  </si>
  <si>
    <t>Tổng cộng</t>
  </si>
  <si>
    <t>Dự nợ đầu kỳ</t>
  </si>
  <si>
    <t xml:space="preserve">Giải ngân </t>
  </si>
  <si>
    <t>Lãi vay trong thời gian xây dựng</t>
  </si>
  <si>
    <t>Trả lãi</t>
  </si>
  <si>
    <t>Trả nợ gốc</t>
  </si>
  <si>
    <t>Dư nợ cuối kỳ</t>
  </si>
  <si>
    <t>Ngân lưu nợ vay</t>
  </si>
  <si>
    <t>IRR nợ vay</t>
  </si>
  <si>
    <t>Lãi vay trong thời gian xây dựng, nhập gốc</t>
  </si>
  <si>
    <t>Khấu hao thiết bị</t>
  </si>
  <si>
    <t>Khấu hao xây dựng</t>
  </si>
  <si>
    <t>Khấu hao chi phí khác</t>
  </si>
  <si>
    <t>Tổng giá trị khấu hao hàng năm</t>
  </si>
  <si>
    <t>Công suất sản phẩm NH3 (tấn/năm)</t>
  </si>
  <si>
    <t>Tỷ lệ sử dụng công suất</t>
  </si>
  <si>
    <t>BẢNG CHỈ SỐ GIÁ</t>
  </si>
  <si>
    <t>BẢNG CHI PHÍ ĐẦU TƯ</t>
  </si>
  <si>
    <t>Chi phí đầu tư ban đầu, giá thực 2014</t>
  </si>
  <si>
    <t>Chi phí đầu tư ban đầu, giá danh nghĩa</t>
  </si>
  <si>
    <t>LỊCH NỢ VAY (nghìn USD)</t>
  </si>
  <si>
    <t>LỊCH KHẤU HAO (nghìn USD)</t>
  </si>
  <si>
    <t>BẢNG DOANH THU</t>
  </si>
  <si>
    <t>Sản lượng NH3 (tấn/năm)</t>
  </si>
  <si>
    <t>Giá NH3 tại cổng nhà máy (USD/tấn, giá 2014)</t>
  </si>
  <si>
    <t>Giá NH3 tại cổng nhà máy (USD/tấn, giá danh nghĩa)</t>
  </si>
  <si>
    <t>BẢNG CHI PHÍ</t>
  </si>
  <si>
    <t xml:space="preserve">Tốc độ tăng giá khí hằng năm </t>
  </si>
  <si>
    <t>Giá khí thiên nhiên (USD/mmBTU, giá danh nghĩa)</t>
  </si>
  <si>
    <t>Chi phí nhiên liệu khí thiên nhiên</t>
  </si>
  <si>
    <t>Giá nước sinh hoạt (VND/m3, Quyết định số 28/2013/QĐ-UBND)</t>
  </si>
  <si>
    <t>Giá nước sông làm mát (VNĐ/m3, tăng theo tốc độ lạm phát)</t>
  </si>
  <si>
    <t>Chi phí nước sạch</t>
  </si>
  <si>
    <t>Chi phí nước sông làm mát</t>
  </si>
  <si>
    <t>Giá nước sạch (VNĐ/m3)</t>
  </si>
  <si>
    <t>Doanh thu</t>
  </si>
  <si>
    <t>Chi phí hoạt động</t>
  </si>
  <si>
    <t>AMAREL</t>
  </si>
  <si>
    <t>Phosphate solution</t>
  </si>
  <si>
    <t>Oxygen scavenger</t>
  </si>
  <si>
    <t>Alkalinizing agent</t>
  </si>
  <si>
    <t>Emulsion Breaker</t>
  </si>
  <si>
    <t>Flocculant</t>
  </si>
  <si>
    <t>Sodium Hypochlorite</t>
  </si>
  <si>
    <t>Antiscaling</t>
  </si>
  <si>
    <t>Corrosion Inhibitor</t>
  </si>
  <si>
    <t>Sulfuric Acid (98%)</t>
  </si>
  <si>
    <t>Sodium Sulphite</t>
  </si>
  <si>
    <t>Sodium Hydroxide</t>
  </si>
  <si>
    <t>Giá hóa chất (USD/tấn, năm 2014, tăng theo tốc độ lạm phát USD)</t>
  </si>
  <si>
    <t>Chi phí hóa chất</t>
  </si>
  <si>
    <t>Chi phí xúc tác</t>
  </si>
  <si>
    <t>Mercury removal</t>
  </si>
  <si>
    <t>Hydrogenation, TK-250</t>
  </si>
  <si>
    <t>H2S Absorption, HTZ-3</t>
  </si>
  <si>
    <t>Primary Reforming, RK-211</t>
  </si>
  <si>
    <t>Primary Reforming, RK-201</t>
  </si>
  <si>
    <t>Primary Reforming, R-67-7H</t>
  </si>
  <si>
    <t>Secondary Reforming, RKS-2P</t>
  </si>
  <si>
    <t>Secondary Reforming, RKS-2-7H</t>
  </si>
  <si>
    <t>High Temperature CO Conversion , SK-201-2</t>
  </si>
  <si>
    <t>Low Temperature CO Conversion, LSK</t>
  </si>
  <si>
    <t>Low Temperature CO Conversion, LK-821-2</t>
  </si>
  <si>
    <t>Methanation, PK-7R</t>
  </si>
  <si>
    <t>Ammonia Synthesis, KM1R</t>
  </si>
  <si>
    <t>Ammonia Synthesis, KM1</t>
  </si>
  <si>
    <t>Giá xúc tác (USD/tấn, giá 2014, tăng theo tốc độ lạm phát USD)</t>
  </si>
  <si>
    <t>Các năm còn lại</t>
  </si>
  <si>
    <t>Số tháng lương</t>
  </si>
  <si>
    <t>Chi phí bán hàng và marketing</t>
  </si>
  <si>
    <t>Chi phí thuê đất</t>
  </si>
  <si>
    <t>Diện tích thuê đất (m2)</t>
  </si>
  <si>
    <t>Chi phí bảo hiểm</t>
  </si>
  <si>
    <t>Chi phí phòng thí nghiệm</t>
  </si>
  <si>
    <t>Chi phí hỗ trợ kỹ thuật</t>
  </si>
  <si>
    <t>Chi phí duy tu hạ tầng (bảo dưỡng bên ngoài hàng rào nhà máy)</t>
  </si>
  <si>
    <t xml:space="preserve">Chi phí bảo trì thường xuyên hằng năm </t>
  </si>
  <si>
    <t>Chi phí bảo trì lớn (3 năm lần) (chia đều cho mỗi năm)</t>
  </si>
  <si>
    <t>Chi phí sản xuất trực tiếp (nghìn USD)</t>
  </si>
  <si>
    <t>Chi phí lao động</t>
  </si>
  <si>
    <t>Số lượng lao động quản lý</t>
  </si>
  <si>
    <t>Lao động trực tiếp</t>
  </si>
  <si>
    <t>Lao động quản lý</t>
  </si>
  <si>
    <t>Chi phí lương lao động (USD/tháng)</t>
  </si>
  <si>
    <t>Chi phí sản xuất gián tiếp (nghìn USD)</t>
  </si>
  <si>
    <t>Chi phí bán hàng và marketing (% doanh thu bán hàng có VAT)</t>
  </si>
  <si>
    <t>Thuế</t>
  </si>
  <si>
    <t>Thuế TNDN (Luật thuế 32/2013/QH13) tại địa bàn khó khăn</t>
  </si>
  <si>
    <t>2 năm miễn thuế</t>
  </si>
  <si>
    <t>4 năm tiếp theo</t>
  </si>
  <si>
    <t>Số năm chuyển lỗ tối đa</t>
  </si>
  <si>
    <t>Thuế VAT sản phẩm đầu ra</t>
  </si>
  <si>
    <t>Doanh thu, không VAT (nghìn USD)</t>
  </si>
  <si>
    <t>Doanh thu, có VAT (nghìn USD)</t>
  </si>
  <si>
    <t>Chi phí lương lao động quản lý</t>
  </si>
  <si>
    <t>Chi phí thuê đất (cố định trong vòng đời dự án)</t>
  </si>
  <si>
    <t>Tiền thuê đất thô (USD/m2/năm)</t>
  </si>
  <si>
    <t>Chi phí khác (% tổng chi phí đầu tư cố định kế toán 2018, điểu chỉnh theo lạm phát USD)</t>
  </si>
  <si>
    <t>Doanh thu chưa VAT</t>
  </si>
  <si>
    <t>Lợi nhuận trước lãi vay và thuế (EBIT)</t>
  </si>
  <si>
    <t>Lợi nhuận trước thuế</t>
  </si>
  <si>
    <t>Thuế thu nhập doanh nghiệp</t>
  </si>
  <si>
    <t>Lợi nhuận sau thuế</t>
  </si>
  <si>
    <t>BÁO CÁO KẾT QUẢ HOẠT ĐỘNG KINH DOANH (nghìn USD)</t>
  </si>
  <si>
    <t xml:space="preserve"> - Chi phí hoạt động</t>
  </si>
  <si>
    <t xml:space="preserve"> - Khấu hao</t>
  </si>
  <si>
    <t xml:space="preserve"> - Lãi vay</t>
  </si>
  <si>
    <t>Ngân lưu vào</t>
  </si>
  <si>
    <t>Ngân lưu ra</t>
  </si>
  <si>
    <t>Tổng ngân lưu ra</t>
  </si>
  <si>
    <t>BẢNG NGÂN LƯU</t>
  </si>
  <si>
    <t>Chi phí đầu tư</t>
  </si>
  <si>
    <t>Ngân lưu ròng theo quan điểm tổng đầu tư</t>
  </si>
  <si>
    <t>Chi phí vốn chủ sở hữu (giá thực)</t>
  </si>
  <si>
    <t>Chi phí vốn chủ sở hữu, giá danh nghĩa</t>
  </si>
  <si>
    <t>NPV chủ đầu tư</t>
  </si>
  <si>
    <t>IRR chủ đầu tư</t>
  </si>
  <si>
    <t>Vòng đời nhà máy kể từ năm đầu tiên đi vào hoạt động</t>
  </si>
  <si>
    <t>Số lượng lao động trực tiếp các năm</t>
  </si>
  <si>
    <t>Cơ cấu vốn</t>
  </si>
  <si>
    <t>Vôn chủ sở hữu</t>
  </si>
  <si>
    <t>Vốn vay</t>
  </si>
  <si>
    <t>WACC trước thuế</t>
  </si>
  <si>
    <t>NPV tổng đầu tư</t>
  </si>
  <si>
    <t>IRR tổng đầu tư</t>
  </si>
  <si>
    <t>Tổng tài sản</t>
  </si>
  <si>
    <t>Tỷ lệ vốn chủ sở hữu</t>
  </si>
  <si>
    <t>Tỷ lệ nợ vay</t>
  </si>
  <si>
    <t>B/q</t>
  </si>
  <si>
    <t>Tốc độ tăng lương theo giá thực</t>
  </si>
  <si>
    <t>Phí sử dụng hạ tầng (USD/m2/năm)</t>
  </si>
  <si>
    <t>Giá khí bán cho Đạm Phú Mỹ hiện nay (USD/mmBTU)</t>
  </si>
  <si>
    <t>Lạm phát VNĐ</t>
  </si>
  <si>
    <t>Lạm phát USD</t>
  </si>
  <si>
    <t>Ngân lưu ròng theo quan điểm chủ đầu tư</t>
  </si>
  <si>
    <t>NGÂN LƯU TÍNH THEO NGHÌN USD, GIÁ DANH NGHĨA</t>
  </si>
  <si>
    <t>NGÂN LƯU TÍNH THEO NGHÌN USD, GIÁ THỰC</t>
  </si>
  <si>
    <t>Thu nhập chịu thuế</t>
  </si>
  <si>
    <t>Thuế suất áp dụng</t>
  </si>
  <si>
    <t>Tiêu hao nước sông làm mát (m3/năm/100% công suất)</t>
  </si>
  <si>
    <t>Tổng tiêu hao nguyên liệu khí (mmBTU/năm/100% công suất)</t>
  </si>
  <si>
    <t>Tiêu hao nước sinh hoạt (m3/năm/100% công suất)</t>
  </si>
  <si>
    <t>Lượng hóa chất tiêu hao để sản xuất 450kt NH3 (tấn/năm/100% công suất)</t>
  </si>
  <si>
    <t>Lượng xúc tác tiêu hao để sản xuất 450kt NH3 (tấnnăm/100% công suất)</t>
  </si>
  <si>
    <t>Năm</t>
  </si>
  <si>
    <t>5. Chi phí chi cho nghiên cứu khả thi - Chi phí chìm</t>
  </si>
  <si>
    <t>MDEA/Piperazine</t>
  </si>
  <si>
    <t>DỰ ÁN AMMONIAC</t>
  </si>
  <si>
    <t>Hệ số tỷ giá hối đoái kinh tế</t>
  </si>
  <si>
    <t>Thuế suất thuế NK NH3</t>
  </si>
  <si>
    <t>Chi phí bốc xếp tại cảng (VND/tấn), chưa tính VAT</t>
  </si>
  <si>
    <t>Hệ số chuyển đổi</t>
  </si>
  <si>
    <t>Hàm lượng ngoại thương trong chi phí bốc xếp tại cảng</t>
  </si>
  <si>
    <t>Chi phí vận chuyển từ cảng tới thị trường (VND/tấn)</t>
  </si>
  <si>
    <t>Chi phí vận chuyển từ dự án tới thị trường</t>
  </si>
  <si>
    <t>Hệ số chuyển đổi chi phí vận chuyển</t>
  </si>
  <si>
    <t>Giá tài chính</t>
  </si>
  <si>
    <t>Giá CIF</t>
  </si>
  <si>
    <t>Chi phí bốc xếp tại cảng</t>
  </si>
  <si>
    <t>Giá tại cảng</t>
  </si>
  <si>
    <t>Chi phí vận chuyển từ cảng tới thị trường</t>
  </si>
  <si>
    <t>Giá tại thị trường</t>
  </si>
  <si>
    <t>Giá tại dự án</t>
  </si>
  <si>
    <t>Chi phí vận chuyển từ cảng tới dự án (VND/tấn)</t>
  </si>
  <si>
    <t>Chi phí vận chuyển từ dự án tới thị trường (VND/tấn)</t>
  </si>
  <si>
    <t>Hàm lượng ngoại thương trong chi phí vận chuyển</t>
  </si>
  <si>
    <t>Hệ số chuyển đổi chi phí bốc xếp</t>
  </si>
  <si>
    <t>Chi phí đầu tư bằng nội tệ (quy đổi ra nghìn USD)</t>
  </si>
  <si>
    <t>Ngân lưu chi phí đầu tư (nghìn USD, giá 2014)</t>
  </si>
  <si>
    <t>Hệ số lương lao động không kỹ năng kinh tế</t>
  </si>
  <si>
    <t>Giá NH3 kinh tế tại cổng nhà máy (USD/tấn, giá 2014)</t>
  </si>
  <si>
    <t>Giá trị kinh tế của NH3 sản xuất và bán ra (nghìn USD)</t>
  </si>
  <si>
    <t>Giá khí thiên nhiên kinh tế (USD/mmBTU, giá 2014)</t>
  </si>
  <si>
    <t>Giá khi thiên nhiên kinh tế (USD/triệu BTU)</t>
  </si>
  <si>
    <t>Chi phí bảo hiểm khi có dự án</t>
  </si>
  <si>
    <t>Chi phí bảo hiểm khi không có dự án</t>
  </si>
  <si>
    <t>NGÂN LƯU RÒNG KINH TẾ TÍNH THEO NGHÌN USD, GIÁ 2014</t>
  </si>
  <si>
    <t>Chi phí vốn kinh tế (giá thực)</t>
  </si>
  <si>
    <t>NPV kinh tế</t>
  </si>
  <si>
    <t>IRR kinh tế</t>
  </si>
  <si>
    <t>BẢNG LỢI ÍCH KINH TẾ</t>
  </si>
  <si>
    <t>BẢNG CHI PHÍ KINH TẾ</t>
  </si>
  <si>
    <t>Tiền thuê đất thô kinh tế (USD/m2/năm)</t>
  </si>
  <si>
    <t>Giá kinh tế</t>
  </si>
  <si>
    <t>Giá kinh tế chưa điều chỉnh FEP</t>
  </si>
  <si>
    <t>Phí thưởng ngoại hối (FEP)</t>
  </si>
  <si>
    <t>Thuế nhập khẩu</t>
  </si>
  <si>
    <t>Giá trị bảo hiểm</t>
  </si>
  <si>
    <t>Phí bảo hiểm</t>
  </si>
  <si>
    <t>Không có dự án</t>
  </si>
  <si>
    <t>Có dự án</t>
  </si>
  <si>
    <t>Đường cung: P = aQ + b</t>
  </si>
  <si>
    <t>a</t>
  </si>
  <si>
    <t>b</t>
  </si>
  <si>
    <t>Đồ thị đường cung</t>
  </si>
  <si>
    <t>Đường cầu (không có dự án): P = cQ + d</t>
  </si>
  <si>
    <t>c</t>
  </si>
  <si>
    <t>d</t>
  </si>
  <si>
    <t>Đồ thị đường cầu</t>
  </si>
  <si>
    <t>Cân bằng cũ</t>
  </si>
  <si>
    <t>Cân bằng mới</t>
  </si>
  <si>
    <t>A</t>
  </si>
  <si>
    <t>Chi phí nguồn lực xã hội tăng thêm của việc cung cấp dịch vụ bảo hiểm cho dự án</t>
  </si>
  <si>
    <t>triệu USD</t>
  </si>
  <si>
    <t>Lợi ích giảm đi của những doanh nghiệp mua bảo hiểm công trình công nghiệp dầu khí khâu sau</t>
  </si>
  <si>
    <t>Tổng chi phí kinh tế của dịch vụ bảo hiểm =</t>
  </si>
  <si>
    <t>Mức phí bảo hiểm kinh tế =</t>
  </si>
  <si>
    <t>Giá khí thị trường thế giới</t>
  </si>
  <si>
    <t>Chi phí biên dài hạn (LRMC)</t>
  </si>
  <si>
    <t>Lượng cung khí từ Nam Côn Sơn là không đổi. Dự án sử dụng khí thiên nhiên, nhưng sẽ không tạo ra tác động tăng thêm.</t>
  </si>
  <si>
    <t>Để cung cấp khí thiên nhiên cho dự án, lượng khí cung cấp cho các mục đích sử dụng khác sẽ phải được cắt giảm.</t>
  </si>
  <si>
    <t>Toàn bộ tác động của dự án là tác động thay thế.</t>
  </si>
  <si>
    <t>Giá kinh tế của khí thiên nhiên áp dụng cho dự án là giá cầu.</t>
  </si>
  <si>
    <t>Bảng giá tài chính và kinh tế NH3</t>
  </si>
  <si>
    <t>Bảng thông số</t>
  </si>
  <si>
    <t>TỔNG HỢP NGÂN LƯU TÀI CHÍNH VÀ KINH TẾ</t>
  </si>
  <si>
    <t>Giá trị hiện tại</t>
  </si>
  <si>
    <t>Ngân lưu tài chính thực</t>
  </si>
  <si>
    <t>Lợi ích</t>
  </si>
  <si>
    <t>Chi phí</t>
  </si>
  <si>
    <t>Lao động</t>
  </si>
  <si>
    <t>Chi phí bảo trì lớn</t>
  </si>
  <si>
    <t>Chi phí bảo trì thường xuyên</t>
  </si>
  <si>
    <t>Chi phí duy tu hạ tầng</t>
  </si>
  <si>
    <t>Ngân lưu kinh tế thực</t>
  </si>
  <si>
    <t>Ngân lưu ròng kinh tế</t>
  </si>
  <si>
    <t>Ngân lưu ròng tài chính</t>
  </si>
  <si>
    <t>Giá trị kinh tế của NH3</t>
  </si>
  <si>
    <t>Thuế TNDN</t>
  </si>
  <si>
    <t>PHÂN TÍCH PHÂN PHỐI</t>
  </si>
  <si>
    <t>Chênh lệch</t>
  </si>
  <si>
    <t>Chủ</t>
  </si>
  <si>
    <t>Ngân sách</t>
  </si>
  <si>
    <t>@ WACC</t>
  </si>
  <si>
    <t>@ ECOC</t>
  </si>
  <si>
    <t>đầu tư</t>
  </si>
  <si>
    <t>nhà nước</t>
  </si>
  <si>
    <t>NPV</t>
  </si>
  <si>
    <t>Giá trị NH3 sản xuất và bán ra</t>
  </si>
  <si>
    <t>Nền kinh tế</t>
  </si>
  <si>
    <t>(tài trợ vốn cho dự án)</t>
  </si>
  <si>
    <t>Chênh lệch giá kinh tế và giá tài chính</t>
  </si>
  <si>
    <t>Trong đó:</t>
  </si>
  <si>
    <t>Phí thưởng ngoại hối</t>
  </si>
  <si>
    <t>Lợi nhuận kinh tế của dịch vụ bốc xếp tại cảng</t>
  </si>
  <si>
    <t>Lợi nhuận kinh tế của dịch vụ vận chuyển</t>
  </si>
  <si>
    <t>(ngoại tệ)</t>
  </si>
  <si>
    <t>Dịch vụ</t>
  </si>
  <si>
    <t>cảng biển</t>
  </si>
  <si>
    <t>PV</t>
  </si>
  <si>
    <t>Gas</t>
  </si>
  <si>
    <t>Giá nước sạch (VNĐ/m3, giá 2014)</t>
  </si>
  <si>
    <t>PVI</t>
  </si>
  <si>
    <t>Khách hàng</t>
  </si>
  <si>
    <t>cũ của PVI</t>
  </si>
  <si>
    <t>Suy giảm thặng dư tiêu dùng</t>
  </si>
  <si>
    <t>Thay đổi phúc lợi xã hội ròng</t>
  </si>
  <si>
    <t>Tổng chi phí tài chính</t>
  </si>
  <si>
    <t>Giá trị</t>
  </si>
  <si>
    <t>Tỷ lệ %</t>
  </si>
  <si>
    <t>không kỹ năng</t>
  </si>
  <si>
    <t>Chi phí đầu tư ban đầu, giá thực 2014, TÀI CHÍNH</t>
  </si>
  <si>
    <t>Chi phí đầu tư ban đầu, giá thực 2014, KINH TẾ</t>
  </si>
  <si>
    <t>CT bảo hiểm</t>
  </si>
  <si>
    <t>Gia tăng thặng dư sản xuất</t>
  </si>
  <si>
    <r>
      <t>= Diện tích Q</t>
    </r>
    <r>
      <rPr>
        <vertAlign val="subscript"/>
        <sz val="10"/>
        <color theme="1"/>
        <rFont val="Calibri"/>
        <family val="2"/>
        <scheme val="minor"/>
      </rPr>
      <t>0</t>
    </r>
    <r>
      <rPr>
        <sz val="10"/>
        <color theme="1"/>
        <rFont val="Calibri"/>
        <family val="2"/>
        <scheme val="minor"/>
      </rPr>
      <t>E</t>
    </r>
    <r>
      <rPr>
        <vertAlign val="subscript"/>
        <sz val="10"/>
        <color theme="1"/>
        <rFont val="Calibri"/>
        <family val="2"/>
        <scheme val="minor"/>
      </rPr>
      <t>0</t>
    </r>
    <r>
      <rPr>
        <sz val="10"/>
        <color theme="1"/>
        <rFont val="Calibri"/>
        <family val="2"/>
        <scheme val="minor"/>
      </rPr>
      <t>E</t>
    </r>
    <r>
      <rPr>
        <vertAlign val="sub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Q</t>
    </r>
    <r>
      <rPr>
        <vertAlign val="superscript"/>
        <sz val="10"/>
        <color theme="1"/>
        <rFont val="Calibri"/>
        <family val="2"/>
        <scheme val="minor"/>
      </rPr>
      <t>S</t>
    </r>
    <r>
      <rPr>
        <vertAlign val="sub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 =</t>
    </r>
  </si>
  <si>
    <r>
      <t>= Diện tích Q</t>
    </r>
    <r>
      <rPr>
        <vertAlign val="superscript"/>
        <sz val="10"/>
        <color theme="1"/>
        <rFont val="Calibri"/>
        <family val="2"/>
        <scheme val="minor"/>
      </rPr>
      <t>D</t>
    </r>
    <r>
      <rPr>
        <vertAlign val="sub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AE</t>
    </r>
    <r>
      <rPr>
        <vertAlign val="subscript"/>
        <sz val="10"/>
        <color theme="1"/>
        <rFont val="Calibri"/>
        <family val="2"/>
        <scheme val="minor"/>
      </rPr>
      <t>0</t>
    </r>
    <r>
      <rPr>
        <sz val="10"/>
        <color theme="1"/>
        <rFont val="Calibri"/>
        <family val="2"/>
        <scheme val="minor"/>
      </rPr>
      <t>Q</t>
    </r>
    <r>
      <rPr>
        <vertAlign val="subscript"/>
        <sz val="10"/>
        <color theme="1"/>
        <rFont val="Calibri"/>
        <family val="2"/>
        <scheme val="minor"/>
      </rPr>
      <t>0</t>
    </r>
    <r>
      <rPr>
        <sz val="10"/>
        <color theme="1"/>
        <rFont val="Calibri"/>
        <family val="2"/>
        <scheme val="minor"/>
      </rPr>
      <t xml:space="preserve"> =</t>
    </r>
  </si>
  <si>
    <r>
      <t>= Diện tích P</t>
    </r>
    <r>
      <rPr>
        <vertAlign val="subscript"/>
        <sz val="10"/>
        <color theme="1"/>
        <rFont val="Calibri"/>
        <family val="2"/>
        <scheme val="minor"/>
      </rPr>
      <t>0</t>
    </r>
    <r>
      <rPr>
        <sz val="10"/>
        <color theme="1"/>
        <rFont val="Calibri"/>
        <family val="2"/>
        <scheme val="minor"/>
      </rPr>
      <t>P</t>
    </r>
    <r>
      <rPr>
        <vertAlign val="sub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E</t>
    </r>
    <r>
      <rPr>
        <vertAlign val="sub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E</t>
    </r>
    <r>
      <rPr>
        <vertAlign val="subscript"/>
        <sz val="10"/>
        <color theme="1"/>
        <rFont val="Calibri"/>
        <family val="2"/>
        <scheme val="minor"/>
      </rPr>
      <t>0</t>
    </r>
    <r>
      <rPr>
        <sz val="10"/>
        <color theme="1"/>
        <rFont val="Calibri"/>
        <family val="2"/>
        <scheme val="minor"/>
      </rPr>
      <t xml:space="preserve"> =</t>
    </r>
  </si>
  <si>
    <r>
      <t>= Diện tích P</t>
    </r>
    <r>
      <rPr>
        <vertAlign val="subscript"/>
        <sz val="10"/>
        <color theme="1"/>
        <rFont val="Calibri"/>
        <family val="2"/>
        <scheme val="minor"/>
      </rPr>
      <t>0</t>
    </r>
    <r>
      <rPr>
        <sz val="10"/>
        <color theme="1"/>
        <rFont val="Calibri"/>
        <family val="2"/>
        <scheme val="minor"/>
      </rPr>
      <t>P</t>
    </r>
    <r>
      <rPr>
        <vertAlign val="sub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AE</t>
    </r>
    <r>
      <rPr>
        <vertAlign val="subscript"/>
        <sz val="10"/>
        <color theme="1"/>
        <rFont val="Calibri"/>
        <family val="2"/>
        <scheme val="minor"/>
      </rPr>
      <t>0</t>
    </r>
    <r>
      <rPr>
        <sz val="10"/>
        <color theme="1"/>
        <rFont val="Calibri"/>
        <family val="2"/>
        <scheme val="minor"/>
      </rPr>
      <t xml:space="preserve"> =</t>
    </r>
  </si>
  <si>
    <r>
      <t>= Diện tích AE</t>
    </r>
    <r>
      <rPr>
        <vertAlign val="subscript"/>
        <sz val="10"/>
        <color theme="1"/>
        <rFont val="Calibri"/>
        <family val="2"/>
        <scheme val="minor"/>
      </rPr>
      <t>0</t>
    </r>
    <r>
      <rPr>
        <sz val="10"/>
        <color theme="1"/>
        <rFont val="Calibri"/>
        <family val="2"/>
        <scheme val="minor"/>
      </rPr>
      <t>E</t>
    </r>
    <r>
      <rPr>
        <vertAlign val="sub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 =</t>
    </r>
  </si>
  <si>
    <r>
      <t>= Diện tích Q</t>
    </r>
    <r>
      <rPr>
        <vertAlign val="superscript"/>
        <sz val="10"/>
        <color theme="1"/>
        <rFont val="Calibri"/>
        <family val="2"/>
        <scheme val="minor"/>
      </rPr>
      <t>D</t>
    </r>
    <r>
      <rPr>
        <vertAlign val="sub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AE</t>
    </r>
    <r>
      <rPr>
        <vertAlign val="sub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Q</t>
    </r>
    <r>
      <rPr>
        <vertAlign val="superscript"/>
        <sz val="10"/>
        <color theme="1"/>
        <rFont val="Calibri"/>
        <family val="2"/>
        <scheme val="minor"/>
      </rPr>
      <t>S</t>
    </r>
    <r>
      <rPr>
        <vertAlign val="sub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 =</t>
    </r>
  </si>
  <si>
    <t>PV tài chính</t>
  </si>
  <si>
    <t>PV kinh tế</t>
  </si>
  <si>
    <t>Riêng dự án</t>
  </si>
  <si>
    <r>
      <t>Giá khí tài chính (P</t>
    </r>
    <r>
      <rPr>
        <vertAlign val="superscript"/>
        <sz val="10"/>
        <color theme="1"/>
        <rFont val="Calibri"/>
        <family val="2"/>
        <charset val="163"/>
        <scheme val="minor"/>
      </rPr>
      <t>f</t>
    </r>
    <r>
      <rPr>
        <sz val="10"/>
        <color theme="1"/>
        <rFont val="Calibri"/>
        <family val="2"/>
        <scheme val="minor"/>
      </rPr>
      <t>)</t>
    </r>
  </si>
  <si>
    <r>
      <t xml:space="preserve"> </t>
    </r>
    <r>
      <rPr>
        <b/>
        <sz val="10"/>
        <color theme="1"/>
        <rFont val="Symbol"/>
        <family val="1"/>
        <charset val="2"/>
      </rPr>
      <t>Ü</t>
    </r>
    <r>
      <rPr>
        <b/>
        <sz val="10"/>
        <color theme="1"/>
        <rFont val="Arial"/>
        <family val="2"/>
      </rPr>
      <t xml:space="preserve">  Giá cầu</t>
    </r>
  </si>
  <si>
    <r>
      <t xml:space="preserve"> </t>
    </r>
    <r>
      <rPr>
        <b/>
        <sz val="10"/>
        <color theme="1"/>
        <rFont val="Symbol"/>
        <family val="1"/>
        <charset val="2"/>
      </rPr>
      <t>Ü</t>
    </r>
    <r>
      <rPr>
        <b/>
        <sz val="10"/>
        <color theme="1"/>
        <rFont val="Arial"/>
        <family val="2"/>
      </rPr>
      <t xml:space="preserve">  Giá cung</t>
    </r>
  </si>
  <si>
    <t>Tổng tiêu hao nguyên liệu khí (triệu BTU/năm/100% công suất)</t>
  </si>
  <si>
    <t>Giá khí bán cho Đạm Phú Mỹ hiện nay (USD/triệu BTU)</t>
  </si>
  <si>
    <t>Chi phí khác (% tổng chi phí đầu tư cố định kế toán 2018, điều chỉnh theo lạm phát USD)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</si>
</sst>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%"/>
    <numFmt numFmtId="165" formatCode="0.0"/>
    <numFmt numFmtId="166" formatCode="0.000"/>
    <numFmt numFmtId="167" formatCode="#,##0.0"/>
    <numFmt numFmtId="168" formatCode="0.000%"/>
    <numFmt numFmtId="169" formatCode="#,##0.0000000000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Calibri"/>
      <family val="2"/>
      <charset val="163"/>
      <scheme val="minor"/>
    </font>
    <font>
      <sz val="8"/>
      <name val="Calibri"/>
      <family val="2"/>
      <charset val="163"/>
      <scheme val="minor"/>
    </font>
    <font>
      <b/>
      <sz val="9"/>
      <color indexed="81"/>
      <name val="Tahoma"/>
      <family val="2"/>
      <charset val="163"/>
    </font>
    <font>
      <sz val="8"/>
      <name val="Calibri"/>
      <family val="2"/>
      <scheme val="minor"/>
    </font>
    <font>
      <sz val="8"/>
      <color rgb="FFFF0000"/>
      <name val="Calibri"/>
      <family val="2"/>
      <charset val="163"/>
      <scheme val="minor"/>
    </font>
    <font>
      <b/>
      <sz val="8"/>
      <name val="Calibri"/>
      <family val="2"/>
      <scheme val="minor"/>
    </font>
    <font>
      <sz val="10"/>
      <color rgb="FFFF0000"/>
      <name val="Calibri"/>
      <family val="2"/>
      <charset val="163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8"/>
      <name val="Calibri"/>
      <family val="2"/>
      <charset val="163"/>
      <scheme val="minor"/>
    </font>
    <font>
      <sz val="10"/>
      <name val="Arial"/>
      <family val="2"/>
      <charset val="163"/>
    </font>
    <font>
      <b/>
      <sz val="10"/>
      <color theme="3" tint="-0.499984740745262"/>
      <name val="Times New Roman"/>
      <family val="1"/>
      <charset val="163"/>
    </font>
    <font>
      <b/>
      <sz val="8"/>
      <color theme="3" tint="-0.499984740745262"/>
      <name val="Calibri"/>
      <family val="2"/>
      <charset val="163"/>
      <scheme val="minor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b/>
      <sz val="8"/>
      <color theme="1"/>
      <name val="Calibri"/>
      <family val="2"/>
      <charset val="163"/>
      <scheme val="minor"/>
    </font>
    <font>
      <b/>
      <sz val="8"/>
      <color theme="1"/>
      <name val="Calibri"/>
      <family val="2"/>
      <scheme val="minor"/>
    </font>
    <font>
      <sz val="8"/>
      <color rgb="FF000066"/>
      <name val="Arial"/>
      <family val="2"/>
    </font>
    <font>
      <sz val="10"/>
      <color theme="1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0"/>
      <name val="Arial"/>
      <family val="2"/>
      <charset val="163"/>
    </font>
    <font>
      <sz val="8"/>
      <color theme="1"/>
      <name val="Calibri"/>
      <family val="2"/>
      <charset val="163"/>
      <scheme val="minor"/>
    </font>
    <font>
      <b/>
      <sz val="8"/>
      <color rgb="FF000066"/>
      <name val="Arial"/>
      <family val="2"/>
      <charset val="163"/>
    </font>
    <font>
      <vertAlign val="superscript"/>
      <sz val="10"/>
      <color theme="1"/>
      <name val="Calibri"/>
      <family val="2"/>
      <charset val="163"/>
      <scheme val="minor"/>
    </font>
    <font>
      <b/>
      <sz val="10"/>
      <color theme="1"/>
      <name val="Arial"/>
      <family val="2"/>
    </font>
    <font>
      <b/>
      <sz val="10"/>
      <color theme="1"/>
      <name val="Symbol"/>
      <family val="1"/>
      <charset val="2"/>
    </font>
    <font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13" fillId="0" borderId="0"/>
    <xf numFmtId="9" fontId="13" fillId="0" borderId="0" applyFont="0" applyFill="0" applyBorder="0" applyAlignment="0" applyProtection="0"/>
  </cellStyleXfs>
  <cellXfs count="282">
    <xf numFmtId="0" fontId="0" fillId="0" borderId="0" xfId="0"/>
    <xf numFmtId="3" fontId="3" fillId="0" borderId="0" xfId="0" applyNumberFormat="1" applyFont="1" applyFill="1" applyBorder="1"/>
    <xf numFmtId="3" fontId="3" fillId="0" borderId="0" xfId="0" applyNumberFormat="1" applyFont="1"/>
    <xf numFmtId="3" fontId="4" fillId="0" borderId="0" xfId="0" applyNumberFormat="1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left" vertical="center" indent="3"/>
    </xf>
    <xf numFmtId="3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left" vertical="center" indent="2"/>
    </xf>
    <xf numFmtId="3" fontId="4" fillId="0" borderId="0" xfId="0" applyNumberFormat="1" applyFont="1" applyBorder="1" applyAlignment="1">
      <alignment horizontal="left" vertical="center" indent="2"/>
    </xf>
    <xf numFmtId="3" fontId="4" fillId="0" borderId="0" xfId="0" applyNumberFormat="1" applyFont="1" applyBorder="1"/>
    <xf numFmtId="3" fontId="4" fillId="0" borderId="0" xfId="0" applyNumberFormat="1" applyFont="1" applyBorder="1" applyAlignment="1">
      <alignment horizontal="left"/>
    </xf>
    <xf numFmtId="3" fontId="4" fillId="0" borderId="0" xfId="0" applyNumberFormat="1" applyFont="1"/>
    <xf numFmtId="3" fontId="4" fillId="0" borderId="0" xfId="0" applyNumberFormat="1" applyFont="1" applyAlignment="1">
      <alignment horizontal="right" indent="1"/>
    </xf>
    <xf numFmtId="3" fontId="4" fillId="0" borderId="0" xfId="0" applyNumberFormat="1" applyFont="1" applyAlignment="1">
      <alignment horizontal="right"/>
    </xf>
    <xf numFmtId="9" fontId="4" fillId="0" borderId="0" xfId="1" applyFont="1" applyAlignment="1">
      <alignment horizontal="right"/>
    </xf>
    <xf numFmtId="4" fontId="4" fillId="0" borderId="0" xfId="0" applyNumberFormat="1" applyFont="1"/>
    <xf numFmtId="164" fontId="4" fillId="0" borderId="0" xfId="1" applyNumberFormat="1" applyFont="1"/>
    <xf numFmtId="10" fontId="4" fillId="0" borderId="0" xfId="1" applyNumberFormat="1" applyFont="1"/>
    <xf numFmtId="3" fontId="4" fillId="0" borderId="0" xfId="0" applyNumberFormat="1" applyFont="1" applyAlignment="1"/>
    <xf numFmtId="0" fontId="4" fillId="3" borderId="0" xfId="0" applyFont="1" applyFill="1"/>
    <xf numFmtId="0" fontId="4" fillId="0" borderId="0" xfId="0" applyFont="1"/>
    <xf numFmtId="0" fontId="4" fillId="0" borderId="0" xfId="0" applyFont="1" applyBorder="1"/>
    <xf numFmtId="9" fontId="4" fillId="0" borderId="0" xfId="0" applyNumberFormat="1" applyFont="1"/>
    <xf numFmtId="10" fontId="4" fillId="0" borderId="0" xfId="0" applyNumberFormat="1" applyFont="1"/>
    <xf numFmtId="0" fontId="3" fillId="0" borderId="0" xfId="2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indent="2"/>
    </xf>
    <xf numFmtId="0" fontId="4" fillId="0" borderId="0" xfId="0" applyFont="1" applyFill="1" applyBorder="1"/>
    <xf numFmtId="9" fontId="4" fillId="0" borderId="0" xfId="1" applyNumberFormat="1" applyFont="1"/>
    <xf numFmtId="0" fontId="3" fillId="0" borderId="0" xfId="0" applyFont="1"/>
    <xf numFmtId="164" fontId="4" fillId="0" borderId="0" xfId="0" applyNumberFormat="1" applyFont="1"/>
    <xf numFmtId="0" fontId="4" fillId="0" borderId="0" xfId="0" applyFont="1" applyAlignment="1">
      <alignment horizontal="left" indent="1"/>
    </xf>
    <xf numFmtId="166" fontId="4" fillId="0" borderId="0" xfId="0" applyNumberFormat="1" applyFont="1"/>
    <xf numFmtId="165" fontId="4" fillId="0" borderId="0" xfId="0" applyNumberFormat="1" applyFont="1"/>
    <xf numFmtId="2" fontId="4" fillId="0" borderId="0" xfId="0" applyNumberFormat="1" applyFont="1"/>
    <xf numFmtId="0" fontId="4" fillId="0" borderId="1" xfId="0" applyFont="1" applyBorder="1" applyAlignment="1">
      <alignment horizontal="left" indent="1"/>
    </xf>
    <xf numFmtId="3" fontId="4" fillId="3" borderId="0" xfId="0" applyNumberFormat="1" applyFont="1" applyFill="1"/>
    <xf numFmtId="0" fontId="4" fillId="0" borderId="0" xfId="0" quotePrefix="1" applyFont="1"/>
    <xf numFmtId="0" fontId="3" fillId="0" borderId="0" xfId="2" applyFont="1" applyFill="1" applyBorder="1" applyAlignment="1">
      <alignment horizontal="left" vertical="center" indent="1"/>
    </xf>
    <xf numFmtId="3" fontId="4" fillId="0" borderId="0" xfId="0" applyNumberFormat="1" applyFont="1" applyBorder="1" applyAlignment="1">
      <alignment horizontal="left" vertical="center" indent="4"/>
    </xf>
    <xf numFmtId="0" fontId="4" fillId="0" borderId="0" xfId="0" applyFont="1" applyFill="1" applyBorder="1" applyAlignment="1">
      <alignment horizontal="left" indent="4"/>
    </xf>
    <xf numFmtId="3" fontId="4" fillId="0" borderId="0" xfId="0" applyNumberFormat="1" applyFont="1" applyBorder="1" applyAlignment="1">
      <alignment horizontal="left" vertical="center" indent="5"/>
    </xf>
    <xf numFmtId="3" fontId="4" fillId="0" borderId="0" xfId="0" applyNumberFormat="1" applyFont="1" applyFill="1" applyBorder="1" applyAlignment="1">
      <alignment horizontal="left" vertical="center" indent="4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 indent="2"/>
    </xf>
    <xf numFmtId="0" fontId="4" fillId="0" borderId="1" xfId="0" applyFont="1" applyBorder="1" applyAlignment="1">
      <alignment horizontal="left" indent="2"/>
    </xf>
    <xf numFmtId="3" fontId="4" fillId="2" borderId="0" xfId="0" applyNumberFormat="1" applyFont="1" applyFill="1" applyBorder="1"/>
    <xf numFmtId="0" fontId="4" fillId="3" borderId="0" xfId="0" applyFont="1" applyFill="1" applyBorder="1"/>
    <xf numFmtId="1" fontId="4" fillId="2" borderId="0" xfId="0" applyNumberFormat="1" applyFont="1" applyFill="1" applyBorder="1"/>
    <xf numFmtId="3" fontId="4" fillId="3" borderId="0" xfId="0" applyNumberFormat="1" applyFont="1" applyFill="1" applyBorder="1"/>
    <xf numFmtId="1" fontId="4" fillId="3" borderId="0" xfId="0" applyNumberFormat="1" applyFont="1" applyFill="1" applyBorder="1"/>
    <xf numFmtId="3" fontId="4" fillId="0" borderId="0" xfId="0" applyNumberFormat="1" applyFont="1" applyFill="1" applyBorder="1" applyAlignment="1">
      <alignment horizontal="left" indent="1"/>
    </xf>
    <xf numFmtId="0" fontId="3" fillId="4" borderId="0" xfId="0" applyFont="1" applyFill="1"/>
    <xf numFmtId="0" fontId="3" fillId="5" borderId="0" xfId="0" applyFont="1" applyFill="1"/>
    <xf numFmtId="3" fontId="3" fillId="5" borderId="0" xfId="0" applyNumberFormat="1" applyFont="1" applyFill="1"/>
    <xf numFmtId="10" fontId="3" fillId="5" borderId="0" xfId="0" applyNumberFormat="1" applyFont="1" applyFill="1"/>
    <xf numFmtId="3" fontId="6" fillId="0" borderId="0" xfId="0" applyNumberFormat="1" applyFont="1" applyBorder="1" applyAlignment="1">
      <alignment horizontal="left" vertical="center"/>
    </xf>
    <xf numFmtId="0" fontId="6" fillId="0" borderId="0" xfId="0" applyFont="1"/>
    <xf numFmtId="3" fontId="6" fillId="0" borderId="0" xfId="0" applyNumberFormat="1" applyFont="1"/>
    <xf numFmtId="0" fontId="6" fillId="3" borderId="0" xfId="0" applyFont="1" applyFill="1"/>
    <xf numFmtId="0" fontId="7" fillId="0" borderId="0" xfId="0" applyFont="1"/>
    <xf numFmtId="0" fontId="7" fillId="3" borderId="0" xfId="0" applyFont="1" applyFill="1"/>
    <xf numFmtId="0" fontId="8" fillId="0" borderId="0" xfId="0" applyFont="1"/>
    <xf numFmtId="3" fontId="8" fillId="0" borderId="0" xfId="0" applyNumberFormat="1" applyFont="1"/>
    <xf numFmtId="0" fontId="8" fillId="3" borderId="0" xfId="0" applyFont="1" applyFill="1"/>
    <xf numFmtId="0" fontId="8" fillId="0" borderId="0" xfId="0" applyFont="1" applyAlignment="1">
      <alignment horizontal="left" indent="1"/>
    </xf>
    <xf numFmtId="3" fontId="8" fillId="0" borderId="0" xfId="0" applyNumberFormat="1" applyFont="1" applyBorder="1"/>
    <xf numFmtId="167" fontId="4" fillId="0" borderId="0" xfId="0" applyNumberFormat="1" applyFont="1"/>
    <xf numFmtId="0" fontId="6" fillId="0" borderId="0" xfId="0" applyFont="1" applyAlignment="1">
      <alignment horizontal="left" indent="1"/>
    </xf>
    <xf numFmtId="164" fontId="6" fillId="0" borderId="0" xfId="1" applyNumberFormat="1" applyFont="1"/>
    <xf numFmtId="0" fontId="4" fillId="0" borderId="0" xfId="0" applyFont="1" applyFill="1" applyAlignment="1">
      <alignment horizontal="left" indent="1"/>
    </xf>
    <xf numFmtId="3" fontId="4" fillId="0" borderId="0" xfId="0" applyNumberFormat="1" applyFont="1" applyAlignment="1">
      <alignment horizontal="left" indent="1"/>
    </xf>
    <xf numFmtId="3" fontId="4" fillId="0" borderId="0" xfId="0" applyNumberFormat="1" applyFont="1" applyAlignment="1">
      <alignment horizontal="left" indent="2"/>
    </xf>
    <xf numFmtId="164" fontId="12" fillId="0" borderId="0" xfId="1" applyNumberFormat="1" applyFont="1" applyAlignment="1">
      <alignment horizontal="right"/>
    </xf>
    <xf numFmtId="1" fontId="4" fillId="0" borderId="0" xfId="1" applyNumberFormat="1" applyFont="1" applyAlignment="1">
      <alignment horizontal="right"/>
    </xf>
    <xf numFmtId="3" fontId="14" fillId="5" borderId="0" xfId="0" applyNumberFormat="1" applyFont="1" applyFill="1" applyAlignment="1">
      <alignment horizontal="left" indent="1"/>
    </xf>
    <xf numFmtId="165" fontId="14" fillId="5" borderId="0" xfId="1" applyNumberFormat="1" applyFont="1" applyFill="1" applyAlignment="1">
      <alignment horizontal="right"/>
    </xf>
    <xf numFmtId="0" fontId="15" fillId="5" borderId="0" xfId="0" applyFont="1" applyFill="1"/>
    <xf numFmtId="0" fontId="15" fillId="5" borderId="1" xfId="0" applyFont="1" applyFill="1" applyBorder="1" applyAlignment="1">
      <alignment horizontal="left" indent="2"/>
    </xf>
    <xf numFmtId="10" fontId="15" fillId="5" borderId="0" xfId="1" applyNumberFormat="1" applyFont="1" applyFill="1"/>
    <xf numFmtId="9" fontId="15" fillId="5" borderId="0" xfId="0" applyNumberFormat="1" applyFont="1" applyFill="1"/>
    <xf numFmtId="0" fontId="3" fillId="0" borderId="0" xfId="0" applyFont="1" applyFill="1"/>
    <xf numFmtId="0" fontId="4" fillId="0" borderId="0" xfId="0" applyFont="1" applyFill="1"/>
    <xf numFmtId="0" fontId="15" fillId="6" borderId="1" xfId="0" applyFont="1" applyFill="1" applyBorder="1" applyAlignment="1">
      <alignment horizontal="left" indent="2"/>
    </xf>
    <xf numFmtId="4" fontId="15" fillId="6" borderId="0" xfId="0" applyNumberFormat="1" applyFont="1" applyFill="1"/>
    <xf numFmtId="0" fontId="4" fillId="3" borderId="0" xfId="0" applyFont="1" applyFill="1" applyBorder="1" applyAlignment="1">
      <alignment horizontal="left" indent="4"/>
    </xf>
    <xf numFmtId="3" fontId="4" fillId="3" borderId="0" xfId="0" applyNumberFormat="1" applyFont="1" applyFill="1" applyBorder="1" applyAlignment="1">
      <alignment horizontal="left" vertical="center" indent="2"/>
    </xf>
    <xf numFmtId="0" fontId="16" fillId="0" borderId="0" xfId="0" applyFont="1" applyAlignment="1"/>
    <xf numFmtId="0" fontId="17" fillId="0" borderId="0" xfId="0" applyFont="1"/>
    <xf numFmtId="3" fontId="18" fillId="0" borderId="2" xfId="0" applyNumberFormat="1" applyFont="1" applyBorder="1"/>
    <xf numFmtId="1" fontId="18" fillId="0" borderId="3" xfId="0" applyNumberFormat="1" applyFont="1" applyBorder="1"/>
    <xf numFmtId="3" fontId="18" fillId="0" borderId="1" xfId="0" applyNumberFormat="1" applyFont="1" applyBorder="1"/>
    <xf numFmtId="3" fontId="16" fillId="7" borderId="0" xfId="0" applyNumberFormat="1" applyFont="1" applyFill="1" applyBorder="1" applyAlignment="1">
      <alignment horizontal="center"/>
    </xf>
    <xf numFmtId="1" fontId="18" fillId="0" borderId="0" xfId="0" applyNumberFormat="1" applyFont="1" applyBorder="1"/>
    <xf numFmtId="0" fontId="16" fillId="0" borderId="1" xfId="0" applyFont="1" applyBorder="1"/>
    <xf numFmtId="0" fontId="18" fillId="0" borderId="0" xfId="0" applyFont="1" applyBorder="1"/>
    <xf numFmtId="0" fontId="18" fillId="0" borderId="1" xfId="0" applyFont="1" applyBorder="1"/>
    <xf numFmtId="3" fontId="18" fillId="0" borderId="1" xfId="0" applyNumberFormat="1" applyFont="1" applyBorder="1" applyAlignment="1">
      <alignment horizontal="left" indent="1"/>
    </xf>
    <xf numFmtId="3" fontId="18" fillId="0" borderId="0" xfId="0" applyNumberFormat="1" applyFont="1" applyBorder="1"/>
    <xf numFmtId="3" fontId="17" fillId="0" borderId="0" xfId="0" applyNumberFormat="1" applyFont="1"/>
    <xf numFmtId="0" fontId="17" fillId="0" borderId="0" xfId="0" applyFont="1" applyAlignment="1">
      <alignment horizontal="left" indent="1"/>
    </xf>
    <xf numFmtId="0" fontId="19" fillId="0" borderId="0" xfId="0" applyFont="1"/>
    <xf numFmtId="0" fontId="16" fillId="0" borderId="0" xfId="0" applyFont="1" applyAlignment="1">
      <alignment horizontal="left"/>
    </xf>
    <xf numFmtId="0" fontId="20" fillId="0" borderId="0" xfId="0" applyFont="1"/>
    <xf numFmtId="0" fontId="18" fillId="0" borderId="24" xfId="0" applyFont="1" applyBorder="1" applyAlignment="1">
      <alignment horizontal="left"/>
    </xf>
    <xf numFmtId="0" fontId="18" fillId="0" borderId="2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0" xfId="0" applyFont="1"/>
    <xf numFmtId="0" fontId="18" fillId="0" borderId="26" xfId="0" applyFont="1" applyBorder="1" applyAlignment="1">
      <alignment horizontal="left"/>
    </xf>
    <xf numFmtId="0" fontId="18" fillId="0" borderId="27" xfId="0" quotePrefix="1" applyFont="1" applyBorder="1" applyAlignment="1">
      <alignment horizontal="center"/>
    </xf>
    <xf numFmtId="0" fontId="18" fillId="0" borderId="28" xfId="0" quotePrefix="1" applyFont="1" applyBorder="1" applyAlignment="1">
      <alignment horizontal="center"/>
    </xf>
    <xf numFmtId="0" fontId="18" fillId="0" borderId="29" xfId="0" quotePrefix="1" applyFont="1" applyBorder="1" applyAlignment="1">
      <alignment horizontal="center"/>
    </xf>
    <xf numFmtId="0" fontId="18" fillId="0" borderId="0" xfId="0" quotePrefix="1" applyFont="1" applyBorder="1" applyAlignment="1">
      <alignment horizontal="center"/>
    </xf>
    <xf numFmtId="0" fontId="18" fillId="0" borderId="30" xfId="0" quotePrefix="1" applyFont="1" applyBorder="1" applyAlignment="1">
      <alignment horizontal="center"/>
    </xf>
    <xf numFmtId="0" fontId="18" fillId="0" borderId="1" xfId="0" applyFont="1" applyBorder="1" applyAlignment="1">
      <alignment horizontal="right"/>
    </xf>
    <xf numFmtId="0" fontId="18" fillId="0" borderId="22" xfId="0" applyFont="1" applyBorder="1" applyAlignment="1">
      <alignment horizontal="right"/>
    </xf>
    <xf numFmtId="0" fontId="18" fillId="0" borderId="8" xfId="0" applyFont="1" applyBorder="1" applyAlignment="1">
      <alignment horizontal="right"/>
    </xf>
    <xf numFmtId="0" fontId="18" fillId="0" borderId="26" xfId="0" applyFont="1" applyBorder="1"/>
    <xf numFmtId="0" fontId="18" fillId="0" borderId="8" xfId="0" applyFont="1" applyBorder="1"/>
    <xf numFmtId="0" fontId="18" fillId="0" borderId="26" xfId="0" applyFont="1" applyBorder="1" applyAlignment="1">
      <alignment horizontal="left" indent="1"/>
    </xf>
    <xf numFmtId="3" fontId="18" fillId="0" borderId="22" xfId="0" applyNumberFormat="1" applyFont="1" applyBorder="1"/>
    <xf numFmtId="3" fontId="18" fillId="0" borderId="26" xfId="0" applyNumberFormat="1" applyFont="1" applyBorder="1"/>
    <xf numFmtId="3" fontId="18" fillId="0" borderId="8" xfId="0" applyNumberFormat="1" applyFont="1" applyBorder="1"/>
    <xf numFmtId="3" fontId="18" fillId="0" borderId="27" xfId="0" applyNumberFormat="1" applyFont="1" applyBorder="1"/>
    <xf numFmtId="3" fontId="18" fillId="0" borderId="28" xfId="0" applyNumberFormat="1" applyFont="1" applyBorder="1"/>
    <xf numFmtId="3" fontId="18" fillId="0" borderId="29" xfId="0" applyNumberFormat="1" applyFont="1" applyBorder="1"/>
    <xf numFmtId="3" fontId="18" fillId="0" borderId="30" xfId="0" applyNumberFormat="1" applyFont="1" applyBorder="1"/>
    <xf numFmtId="0" fontId="18" fillId="0" borderId="31" xfId="0" applyFont="1" applyBorder="1" applyAlignment="1">
      <alignment horizontal="left"/>
    </xf>
    <xf numFmtId="3" fontId="18" fillId="0" borderId="5" xfId="0" applyNumberFormat="1" applyFont="1" applyBorder="1"/>
    <xf numFmtId="3" fontId="18" fillId="0" borderId="23" xfId="0" applyNumberFormat="1" applyFont="1" applyBorder="1"/>
    <xf numFmtId="3" fontId="18" fillId="0" borderId="7" xfId="0" applyNumberFormat="1" applyFont="1" applyBorder="1"/>
    <xf numFmtId="3" fontId="18" fillId="0" borderId="31" xfId="0" applyNumberFormat="1" applyFont="1" applyBorder="1"/>
    <xf numFmtId="0" fontId="18" fillId="0" borderId="24" xfId="0" applyFont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3" fontId="18" fillId="0" borderId="1" xfId="0" applyNumberFormat="1" applyFont="1" applyFill="1" applyBorder="1"/>
    <xf numFmtId="3" fontId="18" fillId="0" borderId="22" xfId="0" applyNumberFormat="1" applyFont="1" applyFill="1" applyBorder="1"/>
    <xf numFmtId="3" fontId="18" fillId="0" borderId="0" xfId="0" applyNumberFormat="1" applyFont="1" applyFill="1" applyBorder="1"/>
    <xf numFmtId="3" fontId="18" fillId="0" borderId="27" xfId="0" applyNumberFormat="1" applyFont="1" applyFill="1" applyBorder="1"/>
    <xf numFmtId="3" fontId="18" fillId="0" borderId="28" xfId="0" applyNumberFormat="1" applyFont="1" applyFill="1" applyBorder="1"/>
    <xf numFmtId="3" fontId="18" fillId="0" borderId="19" xfId="0" applyNumberFormat="1" applyFont="1" applyFill="1" applyBorder="1"/>
    <xf numFmtId="3" fontId="21" fillId="0" borderId="23" xfId="0" applyNumberFormat="1" applyFont="1" applyFill="1" applyBorder="1"/>
    <xf numFmtId="3" fontId="21" fillId="0" borderId="32" xfId="0" applyNumberFormat="1" applyFont="1" applyFill="1" applyBorder="1"/>
    <xf numFmtId="3" fontId="21" fillId="0" borderId="33" xfId="0" applyNumberFormat="1" applyFont="1" applyFill="1" applyBorder="1"/>
    <xf numFmtId="0" fontId="18" fillId="0" borderId="34" xfId="0" applyFont="1" applyFill="1" applyBorder="1" applyAlignment="1">
      <alignment horizontal="center"/>
    </xf>
    <xf numFmtId="0" fontId="18" fillId="0" borderId="35" xfId="0" applyFont="1" applyFill="1" applyBorder="1" applyAlignment="1">
      <alignment horizontal="center"/>
    </xf>
    <xf numFmtId="3" fontId="18" fillId="0" borderId="36" xfId="0" applyNumberFormat="1" applyFont="1" applyFill="1" applyBorder="1"/>
    <xf numFmtId="3" fontId="18" fillId="0" borderId="35" xfId="0" applyNumberFormat="1" applyFont="1" applyFill="1" applyBorder="1"/>
    <xf numFmtId="3" fontId="21" fillId="0" borderId="37" xfId="0" applyNumberFormat="1" applyFont="1" applyFill="1" applyBorder="1"/>
    <xf numFmtId="0" fontId="22" fillId="0" borderId="0" xfId="0" applyFont="1"/>
    <xf numFmtId="3" fontId="6" fillId="3" borderId="0" xfId="0" applyNumberFormat="1" applyFont="1" applyFill="1" applyBorder="1"/>
    <xf numFmtId="1" fontId="6" fillId="3" borderId="0" xfId="0" applyNumberFormat="1" applyFont="1" applyFill="1" applyBorder="1"/>
    <xf numFmtId="0" fontId="18" fillId="0" borderId="30" xfId="0" applyFont="1" applyBorder="1" applyAlignment="1">
      <alignment horizontal="left"/>
    </xf>
    <xf numFmtId="0" fontId="18" fillId="0" borderId="30" xfId="0" applyFont="1" applyBorder="1" applyAlignment="1">
      <alignment horizontal="left" indent="1"/>
    </xf>
    <xf numFmtId="0" fontId="8" fillId="0" borderId="13" xfId="2" applyFont="1" applyFill="1" applyBorder="1" applyAlignment="1">
      <alignment horizontal="left" vertical="center"/>
    </xf>
    <xf numFmtId="0" fontId="17" fillId="0" borderId="15" xfId="0" applyFont="1" applyBorder="1"/>
    <xf numFmtId="3" fontId="6" fillId="0" borderId="16" xfId="0" applyNumberFormat="1" applyFont="1" applyBorder="1" applyAlignment="1">
      <alignment horizontal="left" vertical="center"/>
    </xf>
    <xf numFmtId="3" fontId="17" fillId="0" borderId="17" xfId="0" applyNumberFormat="1" applyFont="1" applyBorder="1"/>
    <xf numFmtId="3" fontId="6" fillId="0" borderId="16" xfId="0" applyNumberFormat="1" applyFont="1" applyFill="1" applyBorder="1" applyAlignment="1">
      <alignment horizontal="left" vertical="center"/>
    </xf>
    <xf numFmtId="0" fontId="8" fillId="0" borderId="16" xfId="2" applyFont="1" applyFill="1" applyBorder="1" applyAlignment="1">
      <alignment horizontal="left" vertical="center"/>
    </xf>
    <xf numFmtId="0" fontId="6" fillId="0" borderId="16" xfId="0" applyFont="1" applyFill="1" applyBorder="1"/>
    <xf numFmtId="3" fontId="6" fillId="0" borderId="16" xfId="0" applyNumberFormat="1" applyFont="1" applyFill="1" applyBorder="1" applyAlignment="1">
      <alignment horizontal="left" vertical="center" indent="2"/>
    </xf>
    <xf numFmtId="0" fontId="6" fillId="0" borderId="16" xfId="0" applyFont="1" applyFill="1" applyBorder="1" applyAlignment="1">
      <alignment horizontal="left" indent="2"/>
    </xf>
    <xf numFmtId="0" fontId="3" fillId="0" borderId="18" xfId="0" applyFont="1" applyBorder="1"/>
    <xf numFmtId="3" fontId="19" fillId="0" borderId="20" xfId="0" applyNumberFormat="1" applyFont="1" applyBorder="1"/>
    <xf numFmtId="3" fontId="17" fillId="0" borderId="22" xfId="0" applyNumberFormat="1" applyFont="1" applyBorder="1"/>
    <xf numFmtId="3" fontId="19" fillId="0" borderId="28" xfId="0" applyNumberFormat="1" applyFont="1" applyBorder="1"/>
    <xf numFmtId="0" fontId="17" fillId="0" borderId="14" xfId="0" applyFont="1" applyBorder="1"/>
    <xf numFmtId="3" fontId="17" fillId="0" borderId="0" xfId="0" applyNumberFormat="1" applyFont="1" applyBorder="1"/>
    <xf numFmtId="3" fontId="6" fillId="0" borderId="16" xfId="0" applyNumberFormat="1" applyFont="1" applyBorder="1" applyAlignment="1">
      <alignment horizontal="left" vertical="center" indent="3"/>
    </xf>
    <xf numFmtId="0" fontId="17" fillId="0" borderId="0" xfId="0" applyFont="1" applyBorder="1"/>
    <xf numFmtId="0" fontId="17" fillId="0" borderId="17" xfId="0" applyFont="1" applyBorder="1"/>
    <xf numFmtId="3" fontId="6" fillId="0" borderId="16" xfId="0" applyNumberFormat="1" applyFont="1" applyBorder="1" applyAlignment="1">
      <alignment horizontal="left" vertical="center" indent="2"/>
    </xf>
    <xf numFmtId="0" fontId="8" fillId="0" borderId="18" xfId="0" applyFont="1" applyBorder="1"/>
    <xf numFmtId="3" fontId="19" fillId="0" borderId="19" xfId="0" applyNumberFormat="1" applyFont="1" applyBorder="1"/>
    <xf numFmtId="3" fontId="17" fillId="0" borderId="14" xfId="0" applyNumberFormat="1" applyFont="1" applyBorder="1"/>
    <xf numFmtId="0" fontId="22" fillId="0" borderId="0" xfId="0" applyFont="1" applyAlignment="1">
      <alignment horizontal="right"/>
    </xf>
    <xf numFmtId="3" fontId="22" fillId="0" borderId="0" xfId="0" applyNumberFormat="1" applyFont="1"/>
    <xf numFmtId="10" fontId="22" fillId="0" borderId="0" xfId="0" applyNumberFormat="1" applyFont="1"/>
    <xf numFmtId="10" fontId="22" fillId="0" borderId="0" xfId="1" applyNumberFormat="1" applyFont="1"/>
    <xf numFmtId="0" fontId="22" fillId="2" borderId="13" xfId="0" applyFont="1" applyFill="1" applyBorder="1"/>
    <xf numFmtId="0" fontId="22" fillId="2" borderId="14" xfId="0" applyFont="1" applyFill="1" applyBorder="1"/>
    <xf numFmtId="0" fontId="22" fillId="2" borderId="15" xfId="0" applyFont="1" applyFill="1" applyBorder="1"/>
    <xf numFmtId="0" fontId="22" fillId="2" borderId="16" xfId="0" applyFont="1" applyFill="1" applyBorder="1"/>
    <xf numFmtId="0" fontId="22" fillId="2" borderId="0" xfId="0" quotePrefix="1" applyFont="1" applyFill="1" applyBorder="1"/>
    <xf numFmtId="0" fontId="22" fillId="2" borderId="0" xfId="0" applyFont="1" applyFill="1" applyBorder="1"/>
    <xf numFmtId="166" fontId="22" fillId="2" borderId="0" xfId="0" applyNumberFormat="1" applyFont="1" applyFill="1" applyBorder="1"/>
    <xf numFmtId="0" fontId="22" fillId="2" borderId="17" xfId="0" applyFont="1" applyFill="1" applyBorder="1"/>
    <xf numFmtId="0" fontId="22" fillId="2" borderId="18" xfId="0" applyFont="1" applyFill="1" applyBorder="1"/>
    <xf numFmtId="0" fontId="22" fillId="2" borderId="19" xfId="0" applyFont="1" applyFill="1" applyBorder="1"/>
    <xf numFmtId="168" fontId="22" fillId="2" borderId="19" xfId="1" applyNumberFormat="1" applyFont="1" applyFill="1" applyBorder="1"/>
    <xf numFmtId="0" fontId="22" fillId="2" borderId="20" xfId="0" applyFont="1" applyFill="1" applyBorder="1"/>
    <xf numFmtId="164" fontId="22" fillId="2" borderId="17" xfId="1" applyNumberFormat="1" applyFont="1" applyFill="1" applyBorder="1"/>
    <xf numFmtId="166" fontId="22" fillId="2" borderId="19" xfId="0" applyNumberFormat="1" applyFont="1" applyFill="1" applyBorder="1"/>
    <xf numFmtId="0" fontId="22" fillId="0" borderId="0" xfId="0" applyFont="1" applyFill="1"/>
    <xf numFmtId="0" fontId="22" fillId="0" borderId="0" xfId="0" applyFont="1" applyFill="1" applyBorder="1"/>
    <xf numFmtId="0" fontId="22" fillId="2" borderId="14" xfId="0" applyFont="1" applyFill="1" applyBorder="1" applyAlignment="1">
      <alignment horizontal="right"/>
    </xf>
    <xf numFmtId="0" fontId="22" fillId="2" borderId="15" xfId="0" applyFont="1" applyFill="1" applyBorder="1" applyAlignment="1">
      <alignment horizontal="right"/>
    </xf>
    <xf numFmtId="3" fontId="13" fillId="0" borderId="0" xfId="3" applyNumberFormat="1" applyFont="1"/>
    <xf numFmtId="1" fontId="13" fillId="0" borderId="0" xfId="3" applyNumberFormat="1" applyFont="1"/>
    <xf numFmtId="1" fontId="25" fillId="0" borderId="0" xfId="3" applyNumberFormat="1" applyFont="1"/>
    <xf numFmtId="0" fontId="25" fillId="0" borderId="0" xfId="3" applyFont="1"/>
    <xf numFmtId="3" fontId="13" fillId="0" borderId="9" xfId="3" applyNumberFormat="1" applyFont="1" applyBorder="1" applyAlignment="1">
      <alignment horizontal="right"/>
    </xf>
    <xf numFmtId="3" fontId="13" fillId="0" borderId="9" xfId="3" applyNumberFormat="1" applyFont="1" applyBorder="1"/>
    <xf numFmtId="3" fontId="25" fillId="0" borderId="9" xfId="3" applyNumberFormat="1" applyFont="1" applyBorder="1"/>
    <xf numFmtId="3" fontId="25" fillId="0" borderId="0" xfId="3" applyNumberFormat="1" applyFont="1" applyBorder="1"/>
    <xf numFmtId="3" fontId="13" fillId="0" borderId="0" xfId="3" applyNumberFormat="1" applyFont="1" applyBorder="1"/>
    <xf numFmtId="4" fontId="13" fillId="0" borderId="0" xfId="3" applyNumberFormat="1" applyFont="1" applyBorder="1"/>
    <xf numFmtId="9" fontId="13" fillId="0" borderId="0" xfId="4" applyFont="1" applyBorder="1"/>
    <xf numFmtId="0" fontId="13" fillId="0" borderId="0" xfId="3" applyFont="1"/>
    <xf numFmtId="167" fontId="13" fillId="0" borderId="0" xfId="3" applyNumberFormat="1" applyFont="1"/>
    <xf numFmtId="3" fontId="13" fillId="0" borderId="0" xfId="3" applyNumberFormat="1" applyFont="1" applyBorder="1" applyAlignment="1">
      <alignment horizontal="left" indent="1"/>
    </xf>
    <xf numFmtId="4" fontId="13" fillId="0" borderId="0" xfId="3" applyNumberFormat="1" applyFont="1"/>
    <xf numFmtId="9" fontId="13" fillId="0" borderId="0" xfId="4" applyFont="1"/>
    <xf numFmtId="0" fontId="13" fillId="0" borderId="10" xfId="3" applyFont="1" applyBorder="1"/>
    <xf numFmtId="0" fontId="25" fillId="0" borderId="21" xfId="3" applyFont="1" applyBorder="1" applyAlignment="1">
      <alignment horizontal="right"/>
    </xf>
    <xf numFmtId="0" fontId="25" fillId="0" borderId="11" xfId="3" applyFont="1" applyBorder="1" applyAlignment="1">
      <alignment horizontal="right"/>
    </xf>
    <xf numFmtId="0" fontId="25" fillId="0" borderId="12" xfId="3" applyFont="1" applyBorder="1" applyAlignment="1">
      <alignment horizontal="right"/>
    </xf>
    <xf numFmtId="0" fontId="13" fillId="0" borderId="1" xfId="3" applyFont="1" applyBorder="1"/>
    <xf numFmtId="165" fontId="25" fillId="5" borderId="22" xfId="3" applyNumberFormat="1" applyFont="1" applyFill="1" applyBorder="1"/>
    <xf numFmtId="165" fontId="13" fillId="0" borderId="0" xfId="3" applyNumberFormat="1" applyFont="1" applyBorder="1"/>
    <xf numFmtId="166" fontId="13" fillId="0" borderId="22" xfId="3" applyNumberFormat="1" applyFont="1" applyBorder="1"/>
    <xf numFmtId="165" fontId="13" fillId="0" borderId="8" xfId="3" applyNumberFormat="1" applyFont="1" applyBorder="1"/>
    <xf numFmtId="166" fontId="13" fillId="0" borderId="0" xfId="3" applyNumberFormat="1" applyFont="1"/>
    <xf numFmtId="165" fontId="13" fillId="0" borderId="22" xfId="3" applyNumberFormat="1" applyFont="1" applyBorder="1"/>
    <xf numFmtId="165" fontId="25" fillId="5" borderId="8" xfId="3" applyNumberFormat="1" applyFont="1" applyFill="1" applyBorder="1"/>
    <xf numFmtId="0" fontId="13" fillId="0" borderId="5" xfId="3" applyFont="1" applyBorder="1"/>
    <xf numFmtId="166" fontId="25" fillId="5" borderId="23" xfId="3" applyNumberFormat="1" applyFont="1" applyFill="1" applyBorder="1"/>
    <xf numFmtId="166" fontId="13" fillId="0" borderId="6" xfId="3" applyNumberFormat="1" applyFont="1" applyBorder="1"/>
    <xf numFmtId="0" fontId="13" fillId="0" borderId="23" xfId="3" applyFont="1" applyBorder="1"/>
    <xf numFmtId="166" fontId="13" fillId="0" borderId="7" xfId="3" applyNumberFormat="1" applyFont="1" applyBorder="1"/>
    <xf numFmtId="0" fontId="13" fillId="0" borderId="0" xfId="3" applyFont="1" applyAlignment="1">
      <alignment horizontal="left" indent="1"/>
    </xf>
    <xf numFmtId="164" fontId="13" fillId="0" borderId="0" xfId="1" applyNumberFormat="1" applyFont="1"/>
    <xf numFmtId="0" fontId="26" fillId="0" borderId="0" xfId="0" applyFont="1"/>
    <xf numFmtId="3" fontId="27" fillId="0" borderId="5" xfId="0" applyNumberFormat="1" applyFont="1" applyFill="1" applyBorder="1"/>
    <xf numFmtId="3" fontId="27" fillId="0" borderId="23" xfId="0" applyNumberFormat="1" applyFont="1" applyFill="1" applyBorder="1"/>
    <xf numFmtId="166" fontId="25" fillId="0" borderId="0" xfId="3" applyNumberFormat="1" applyFont="1"/>
    <xf numFmtId="3" fontId="19" fillId="0" borderId="22" xfId="0" applyNumberFormat="1" applyFont="1" applyBorder="1"/>
    <xf numFmtId="3" fontId="19" fillId="0" borderId="38" xfId="0" applyNumberFormat="1" applyFont="1" applyBorder="1"/>
    <xf numFmtId="0" fontId="19" fillId="0" borderId="0" xfId="0" applyFont="1" applyAlignment="1">
      <alignment horizontal="center"/>
    </xf>
    <xf numFmtId="3" fontId="19" fillId="0" borderId="0" xfId="0" applyNumberFormat="1" applyFont="1"/>
    <xf numFmtId="3" fontId="16" fillId="7" borderId="0" xfId="0" applyNumberFormat="1" applyFont="1" applyFill="1" applyBorder="1" applyAlignment="1"/>
    <xf numFmtId="165" fontId="13" fillId="8" borderId="22" xfId="3" applyNumberFormat="1" applyFont="1" applyFill="1" applyBorder="1"/>
    <xf numFmtId="164" fontId="13" fillId="0" borderId="0" xfId="3" applyNumberFormat="1" applyFont="1"/>
    <xf numFmtId="0" fontId="22" fillId="0" borderId="19" xfId="0" applyFont="1" applyBorder="1" applyAlignment="1">
      <alignment horizontal="right"/>
    </xf>
    <xf numFmtId="0" fontId="22" fillId="0" borderId="19" xfId="0" applyFont="1" applyBorder="1"/>
    <xf numFmtId="2" fontId="22" fillId="0" borderId="0" xfId="0" applyNumberFormat="1" applyFont="1"/>
    <xf numFmtId="0" fontId="29" fillId="0" borderId="0" xfId="0" applyFont="1"/>
    <xf numFmtId="0" fontId="22" fillId="0" borderId="0" xfId="0" applyFont="1" applyBorder="1"/>
    <xf numFmtId="3" fontId="19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31" fillId="0" borderId="0" xfId="0" applyFont="1"/>
    <xf numFmtId="0" fontId="31" fillId="0" borderId="0" xfId="0" applyFont="1" applyAlignment="1">
      <alignment horizontal="right"/>
    </xf>
    <xf numFmtId="3" fontId="31" fillId="0" borderId="0" xfId="0" applyNumberFormat="1" applyFont="1" applyAlignment="1">
      <alignment horizontal="right"/>
    </xf>
    <xf numFmtId="0" fontId="31" fillId="0" borderId="6" xfId="0" applyFont="1" applyBorder="1" applyAlignment="1">
      <alignment horizontal="center" vertical="top" wrapText="1"/>
    </xf>
    <xf numFmtId="9" fontId="31" fillId="0" borderId="0" xfId="0" applyNumberFormat="1" applyFont="1" applyBorder="1" applyAlignment="1">
      <alignment horizontal="center"/>
    </xf>
    <xf numFmtId="9" fontId="31" fillId="0" borderId="0" xfId="0" applyNumberFormat="1" applyFont="1" applyBorder="1" applyAlignment="1">
      <alignment horizontal="center" vertical="top" wrapText="1"/>
    </xf>
    <xf numFmtId="0" fontId="31" fillId="0" borderId="0" xfId="0" applyFont="1" applyBorder="1"/>
    <xf numFmtId="3" fontId="31" fillId="0" borderId="0" xfId="0" applyNumberFormat="1" applyFont="1" applyBorder="1" applyAlignment="1">
      <alignment horizontal="right"/>
    </xf>
    <xf numFmtId="0" fontId="3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31" fillId="0" borderId="0" xfId="0" applyFont="1" applyBorder="1" applyAlignment="1">
      <alignment horizontal="center"/>
    </xf>
    <xf numFmtId="9" fontId="4" fillId="0" borderId="0" xfId="1" applyFont="1" applyBorder="1" applyAlignment="1">
      <alignment horizontal="right"/>
    </xf>
    <xf numFmtId="3" fontId="4" fillId="9" borderId="0" xfId="0" applyNumberFormat="1" applyFont="1" applyFill="1" applyBorder="1" applyAlignment="1">
      <alignment horizontal="left" vertical="center"/>
    </xf>
    <xf numFmtId="0" fontId="4" fillId="9" borderId="0" xfId="0" applyFont="1" applyFill="1"/>
    <xf numFmtId="3" fontId="4" fillId="9" borderId="0" xfId="0" applyNumberFormat="1" applyFont="1" applyFill="1"/>
    <xf numFmtId="169" fontId="17" fillId="0" borderId="0" xfId="0" applyNumberFormat="1" applyFont="1"/>
    <xf numFmtId="0" fontId="10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10" fontId="10" fillId="0" borderId="0" xfId="0" applyNumberFormat="1" applyFont="1" applyBorder="1" applyAlignment="1">
      <alignment vertical="center"/>
    </xf>
    <xf numFmtId="0" fontId="6" fillId="0" borderId="0" xfId="0" applyFont="1" applyBorder="1"/>
    <xf numFmtId="0" fontId="4" fillId="0" borderId="0" xfId="0" applyFont="1" applyBorder="1" applyAlignment="1"/>
    <xf numFmtId="0" fontId="9" fillId="0" borderId="0" xfId="0" applyFont="1" applyBorder="1" applyAlignment="1"/>
    <xf numFmtId="0" fontId="11" fillId="0" borderId="0" xfId="0" applyFont="1" applyBorder="1" applyAlignment="1">
      <alignment horizontal="left" wrapText="1" indent="1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indent="1"/>
    </xf>
    <xf numFmtId="3" fontId="3" fillId="2" borderId="0" xfId="0" applyNumberFormat="1" applyFont="1" applyFill="1" applyBorder="1" applyAlignment="1">
      <alignment horizontal="center" vertical="center"/>
    </xf>
    <xf numFmtId="0" fontId="10" fillId="0" borderId="0" xfId="0" quotePrefix="1" applyFont="1" applyBorder="1" applyAlignment="1">
      <alignment vertical="center"/>
    </xf>
  </cellXfs>
  <cellStyles count="5">
    <cellStyle name="Normal" xfId="0" builtinId="0"/>
    <cellStyle name="Normal 10" xfId="2"/>
    <cellStyle name="Normal 2" xfId="3"/>
    <cellStyle name="Percent" xfId="1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590507436570442"/>
          <c:y val="8.0211205521195719E-2"/>
          <c:w val="0.71718247840379223"/>
          <c:h val="0.83607398448812464"/>
        </c:manualLayout>
      </c:layout>
      <c:scatterChart>
        <c:scatterStyle val="smoothMarker"/>
        <c:varyColors val="0"/>
        <c:ser>
          <c:idx val="0"/>
          <c:order val="0"/>
          <c:tx>
            <c:v>S</c:v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3"/>
              <c:layout>
                <c:manualLayout>
                  <c:x val="-1.1111111111111021E-2"/>
                  <c:y val="-9.2592592592592778E-3"/>
                </c:manualLayout>
              </c:layout>
              <c:tx>
                <c:rich>
                  <a:bodyPr/>
                  <a:lstStyle/>
                  <a:p>
                    <a:pPr>
                      <a:defRPr sz="1400" b="1" i="1"/>
                    </a:pPr>
                    <a:r>
                      <a:rPr lang="en-US" sz="1400" b="1" i="1"/>
                      <a:t>S</a:t>
                    </a:r>
                    <a:endParaRPr lang="en-US" sz="1400" b="1"/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i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'Phi bao hiem'!$B$12:$B$15</c:f>
              <c:numCache>
                <c:formatCode>#.##0</c:formatCode>
                <c:ptCount val="4"/>
                <c:pt idx="0">
                  <c:v>0</c:v>
                </c:pt>
                <c:pt idx="1">
                  <c:v>1067</c:v>
                </c:pt>
                <c:pt idx="2">
                  <c:v>1389</c:v>
                </c:pt>
                <c:pt idx="3">
                  <c:v>2000</c:v>
                </c:pt>
              </c:numCache>
            </c:numRef>
          </c:xVal>
          <c:yVal>
            <c:numRef>
              <c:f>'Phi bao hiem'!$C$12:$C$15</c:f>
              <c:numCache>
                <c:formatCode>0,00%</c:formatCode>
                <c:ptCount val="4"/>
                <c:pt idx="0">
                  <c:v>2.8431677018633523E-3</c:v>
                </c:pt>
                <c:pt idx="1">
                  <c:v>4.4999999999999997E-3</c:v>
                </c:pt>
                <c:pt idx="2">
                  <c:v>5.0000000000000001E-3</c:v>
                </c:pt>
                <c:pt idx="3">
                  <c:v>5.9487577639751564E-3</c:v>
                </c:pt>
              </c:numCache>
            </c:numRef>
          </c:yVal>
          <c:smooth val="1"/>
        </c:ser>
        <c:ser>
          <c:idx val="1"/>
          <c:order val="1"/>
          <c:tx>
            <c:v>D</c:v>
          </c:tx>
          <c:marker>
            <c:symbol val="none"/>
          </c:marker>
          <c:dLbls>
            <c:dLbl>
              <c:idx val="3"/>
              <c:layout>
                <c:manualLayout>
                  <c:x val="-8.3333333333332413E-3"/>
                  <c:y val="3.7243947858473089E-3"/>
                </c:manualLayout>
              </c:layout>
              <c:tx>
                <c:rich>
                  <a:bodyPr/>
                  <a:lstStyle/>
                  <a:p>
                    <a:pPr>
                      <a:defRPr sz="1400" b="1" i="1"/>
                    </a:pPr>
                    <a:r>
                      <a:rPr lang="en-US" sz="1400" b="1" i="1"/>
                      <a:t>D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'Phi bao hiem'!$B$21:$B$24</c:f>
              <c:numCache>
                <c:formatCode>#.##0</c:formatCode>
                <c:ptCount val="4"/>
                <c:pt idx="0">
                  <c:v>0</c:v>
                </c:pt>
                <c:pt idx="1">
                  <c:v>1067</c:v>
                </c:pt>
                <c:pt idx="2">
                  <c:v>1389</c:v>
                </c:pt>
                <c:pt idx="3">
                  <c:v>2000</c:v>
                </c:pt>
              </c:numCache>
            </c:numRef>
          </c:xVal>
          <c:yVal>
            <c:numRef>
              <c:f>'Phi bao hiem'!$C$21:$C$24</c:f>
              <c:numCache>
                <c:formatCode>0,00%</c:formatCode>
                <c:ptCount val="4"/>
                <c:pt idx="0">
                  <c:v>6.8163811763047085E-3</c:v>
                </c:pt>
                <c:pt idx="1">
                  <c:v>4.5000000000000005E-3</c:v>
                </c:pt>
                <c:pt idx="2">
                  <c:v>3.8009608821273516E-3</c:v>
                </c:pt>
                <c:pt idx="3">
                  <c:v>2.4745233013193134E-3</c:v>
                </c:pt>
              </c:numCache>
            </c:numRef>
          </c:yVal>
          <c:smooth val="1"/>
        </c:ser>
        <c:ser>
          <c:idx val="2"/>
          <c:order val="2"/>
          <c:tx>
            <c:v>D+Qp</c:v>
          </c:tx>
          <c:spPr>
            <a:ln>
              <a:solidFill>
                <a:schemeClr val="accent2">
                  <a:lumMod val="50000"/>
                </a:schemeClr>
              </a:solidFill>
            </a:ln>
          </c:spPr>
          <c:marker>
            <c:symbol val="none"/>
          </c:marker>
          <c:dLbls>
            <c:dLbl>
              <c:idx val="3"/>
              <c:tx>
                <c:rich>
                  <a:bodyPr/>
                  <a:lstStyle/>
                  <a:p>
                    <a:pPr>
                      <a:defRPr sz="1400" b="1" i="1"/>
                    </a:pPr>
                    <a:r>
                      <a:rPr lang="en-US" sz="1400" b="1" i="1"/>
                      <a:t>D </a:t>
                    </a:r>
                    <a:r>
                      <a:rPr lang="en-US" sz="1400" b="1" i="0"/>
                      <a:t>+ </a:t>
                    </a:r>
                    <a:r>
                      <a:rPr lang="en-US" sz="1400" b="1" i="1"/>
                      <a:t>Q</a:t>
                    </a:r>
                    <a:r>
                      <a:rPr lang="en-US" sz="1400" b="1" i="1" baseline="-25000"/>
                      <a:t>P</a:t>
                    </a:r>
                    <a:endParaRPr lang="en-US" sz="1600" b="1" baseline="-25000"/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i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'Phi bao hiem'!$B$21:$B$24</c:f>
              <c:numCache>
                <c:formatCode>#.##0</c:formatCode>
                <c:ptCount val="4"/>
                <c:pt idx="0">
                  <c:v>0</c:v>
                </c:pt>
                <c:pt idx="1">
                  <c:v>1067</c:v>
                </c:pt>
                <c:pt idx="2">
                  <c:v>1389</c:v>
                </c:pt>
                <c:pt idx="3">
                  <c:v>2000</c:v>
                </c:pt>
              </c:numCache>
            </c:numRef>
          </c:xVal>
          <c:yVal>
            <c:numRef>
              <c:f>'Phi bao hiem'!$D$21:$D$24</c:f>
              <c:numCache>
                <c:formatCode>0,00%</c:formatCode>
                <c:ptCount val="4"/>
                <c:pt idx="0">
                  <c:v>8.0154202941773584E-3</c:v>
                </c:pt>
                <c:pt idx="1">
                  <c:v>5.6990391178726495E-3</c:v>
                </c:pt>
                <c:pt idx="2">
                  <c:v>5.000000000000001E-3</c:v>
                </c:pt>
                <c:pt idx="3">
                  <c:v>3.6735624191919624E-3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372736"/>
        <c:axId val="128374272"/>
      </c:scatterChart>
      <c:scatterChart>
        <c:scatterStyle val="lineMarker"/>
        <c:varyColors val="0"/>
        <c:ser>
          <c:idx val="3"/>
          <c:order val="3"/>
          <c:tx>
            <c:v>E0</c:v>
          </c:tx>
          <c:spPr>
            <a:ln w="12700">
              <a:solidFill>
                <a:schemeClr val="tx1"/>
              </a:solidFill>
              <a:prstDash val="dash"/>
            </a:ln>
          </c:spPr>
          <c:marker>
            <c:symbol val="none"/>
          </c:marker>
          <c:dPt>
            <c:idx val="1"/>
            <c:marker>
              <c:symbol val="circle"/>
              <c:size val="6"/>
              <c:spPr>
                <a:solidFill>
                  <a:srgbClr val="FF0000"/>
                </a:solidFill>
              </c:spPr>
            </c:marker>
            <c:bubble3D val="0"/>
          </c:dPt>
          <c:dLbls>
            <c:dLbl>
              <c:idx val="0"/>
              <c:layout>
                <c:manualLayout>
                  <c:x val="-0.1605177993527509"/>
                  <c:y val="-3.0795349734889892E-3"/>
                </c:manualLayout>
              </c:layout>
              <c:tx>
                <c:rich>
                  <a:bodyPr/>
                  <a:lstStyle/>
                  <a:p>
                    <a:r>
                      <a:rPr lang="en-US" sz="1400" b="1" i="1"/>
                      <a:t>P</a:t>
                    </a:r>
                    <a:r>
                      <a:rPr lang="en-US" sz="1400" b="1" baseline="-25000"/>
                      <a:t>0</a:t>
                    </a:r>
                    <a:r>
                      <a:rPr lang="en-US" sz="1200"/>
                      <a:t>=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8889107611548596E-2"/>
                  <c:y val="-3.7243947858473084E-2"/>
                </c:manualLayout>
              </c:layout>
              <c:tx>
                <c:rich>
                  <a:bodyPr/>
                  <a:lstStyle/>
                  <a:p>
                    <a:r>
                      <a:rPr lang="en-US" sz="1400" b="1" i="1"/>
                      <a:t>E</a:t>
                    </a:r>
                    <a:r>
                      <a:rPr lang="en-US" sz="1400" b="1" baseline="-25000"/>
                      <a:t>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5533980582524261E-2"/>
                  <c:y val="-2.771363258560668E-2"/>
                </c:manualLayout>
              </c:layout>
              <c:tx>
                <c:rich>
                  <a:bodyPr/>
                  <a:lstStyle/>
                  <a:p>
                    <a:r>
                      <a:rPr lang="en-US" sz="1400" b="1" i="1"/>
                      <a:t>Q</a:t>
                    </a:r>
                    <a:r>
                      <a:rPr lang="en-US" sz="1400" b="1" baseline="-25000"/>
                      <a:t>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'Phi bao hiem'!$B$26:$B$28</c:f>
              <c:numCache>
                <c:formatCode>#.##0</c:formatCode>
                <c:ptCount val="3"/>
                <c:pt idx="0" formatCode="General">
                  <c:v>0</c:v>
                </c:pt>
                <c:pt idx="1">
                  <c:v>1067</c:v>
                </c:pt>
                <c:pt idx="2">
                  <c:v>1067</c:v>
                </c:pt>
              </c:numCache>
            </c:numRef>
          </c:xVal>
          <c:yVal>
            <c:numRef>
              <c:f>'Phi bao hiem'!$C$26:$C$28</c:f>
              <c:numCache>
                <c:formatCode>0,00%</c:formatCode>
                <c:ptCount val="3"/>
                <c:pt idx="0">
                  <c:v>4.4999999999999997E-3</c:v>
                </c:pt>
                <c:pt idx="1">
                  <c:v>4.4999999999999997E-3</c:v>
                </c:pt>
                <c:pt idx="2" formatCode="General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E1</c:v>
          </c:tx>
          <c:spPr>
            <a:ln w="12700">
              <a:solidFill>
                <a:schemeClr val="tx1"/>
              </a:solidFill>
              <a:prstDash val="dash"/>
            </a:ln>
          </c:spPr>
          <c:marker>
            <c:symbol val="none"/>
          </c:marker>
          <c:dPt>
            <c:idx val="1"/>
            <c:marker>
              <c:symbol val="circle"/>
              <c:size val="6"/>
              <c:spPr>
                <a:solidFill>
                  <a:srgbClr val="FF0000"/>
                </a:solidFill>
              </c:spPr>
            </c:marker>
            <c:bubble3D val="0"/>
          </c:dPt>
          <c:dLbls>
            <c:dLbl>
              <c:idx val="0"/>
              <c:layout>
                <c:manualLayout>
                  <c:x val="-0.1605177993527509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1400" b="1"/>
                    </a:pPr>
                    <a:r>
                      <a:rPr lang="en-US" sz="1400" b="1" i="1"/>
                      <a:t>P</a:t>
                    </a:r>
                    <a:r>
                      <a:rPr lang="en-US" sz="1400" b="1" baseline="-25000"/>
                      <a:t>1</a:t>
                    </a:r>
                    <a:r>
                      <a:rPr lang="en-US" sz="1200" b="0" baseline="0"/>
                      <a:t>=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1666666666666664E-2"/>
                  <c:y val="-5.2141820261294075E-2"/>
                </c:manualLayout>
              </c:layout>
              <c:tx>
                <c:rich>
                  <a:bodyPr/>
                  <a:lstStyle/>
                  <a:p>
                    <a:pPr>
                      <a:defRPr sz="1400" b="1"/>
                    </a:pPr>
                    <a:r>
                      <a:rPr lang="en-US" sz="1400" b="1" i="1"/>
                      <a:t>E</a:t>
                    </a:r>
                    <a:r>
                      <a:rPr lang="en-US" sz="1400" b="1" baseline="-25000"/>
                      <a:t>1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2944983818770227E-2"/>
                  <c:y val="-3.3872217604630418E-2"/>
                </c:manualLayout>
              </c:layout>
              <c:tx>
                <c:rich>
                  <a:bodyPr/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1" baseline="0">
                        <a:effectLst/>
                      </a:rPr>
                      <a:t>Q</a:t>
                    </a:r>
                    <a:r>
                      <a:rPr lang="en-US" sz="1400" b="1" i="1" baseline="30000">
                        <a:effectLst/>
                      </a:rPr>
                      <a:t>S</a:t>
                    </a:r>
                    <a:r>
                      <a:rPr lang="en-US" sz="1400" b="1" i="0" baseline="-25000">
                        <a:effectLst/>
                      </a:rPr>
                      <a:t>1</a:t>
                    </a:r>
                    <a:endParaRPr lang="vi-VN" sz="1400">
                      <a:effectLst/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'Phi bao hiem'!$B$30:$B$32</c:f>
              <c:numCache>
                <c:formatCode>#.##0</c:formatCode>
                <c:ptCount val="3"/>
                <c:pt idx="0" formatCode="General">
                  <c:v>0</c:v>
                </c:pt>
                <c:pt idx="1">
                  <c:v>1389</c:v>
                </c:pt>
                <c:pt idx="2">
                  <c:v>1389</c:v>
                </c:pt>
              </c:numCache>
            </c:numRef>
          </c:xVal>
          <c:yVal>
            <c:numRef>
              <c:f>'Phi bao hiem'!$C$30:$C$32</c:f>
              <c:numCache>
                <c:formatCode>0,00%</c:formatCode>
                <c:ptCount val="3"/>
                <c:pt idx="0">
                  <c:v>5.0000000000000001E-3</c:v>
                </c:pt>
                <c:pt idx="1">
                  <c:v>5.0000000000000001E-3</c:v>
                </c:pt>
                <c:pt idx="2" formatCode="General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A</c:v>
          </c:tx>
          <c:spPr>
            <a:ln w="12700">
              <a:solidFill>
                <a:schemeClr val="tx1"/>
              </a:solidFill>
              <a:prstDash val="dash"/>
            </a:ln>
          </c:spPr>
          <c:marker>
            <c:symbol val="none"/>
          </c:marker>
          <c:dPt>
            <c:idx val="0"/>
            <c:marker>
              <c:symbol val="circle"/>
              <c:size val="6"/>
              <c:spPr>
                <a:solidFill>
                  <a:srgbClr val="FF0000"/>
                </a:solidFill>
              </c:spPr>
            </c:marker>
            <c:bubble3D val="0"/>
          </c:dPt>
          <c:dLbls>
            <c:dLbl>
              <c:idx val="0"/>
              <c:layout>
                <c:manualLayout>
                  <c:x val="-3.3333552055993053E-2"/>
                  <c:y val="-4.4693030689599553E-2"/>
                </c:manualLayout>
              </c:layout>
              <c:tx>
                <c:rich>
                  <a:bodyPr/>
                  <a:lstStyle/>
                  <a:p>
                    <a:pPr>
                      <a:defRPr sz="1400" b="1" i="1"/>
                    </a:pPr>
                    <a:r>
                      <a:rPr lang="en-US" sz="1400" b="1" i="1"/>
                      <a:t>A</a:t>
                    </a:r>
                    <a:endParaRPr lang="en-US" sz="1400" b="1"/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0258899676375506E-2"/>
                  <c:y val="-3.0792925095118506E-2"/>
                </c:manualLayout>
              </c:layout>
              <c:tx>
                <c:rich>
                  <a:bodyPr/>
                  <a:lstStyle/>
                  <a:p>
                    <a:r>
                      <a:rPr lang="en-US" sz="1400" b="1"/>
                      <a:t>Q</a:t>
                    </a:r>
                    <a:r>
                      <a:rPr lang="en-US" sz="1400" b="1" baseline="30000"/>
                      <a:t>D</a:t>
                    </a:r>
                    <a:r>
                      <a:rPr lang="en-US" sz="1400" b="1" i="0" baseline="-25000"/>
                      <a:t>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i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'Phi bao hiem'!$B$35:$B$36</c:f>
              <c:numCache>
                <c:formatCode>#.##0</c:formatCode>
                <c:ptCount val="2"/>
                <c:pt idx="0">
                  <c:v>836.68384760789422</c:v>
                </c:pt>
                <c:pt idx="1">
                  <c:v>836.68384760789422</c:v>
                </c:pt>
              </c:numCache>
            </c:numRef>
          </c:xVal>
          <c:yVal>
            <c:numRef>
              <c:f>'Phi bao hiem'!$C$35:$C$36</c:f>
              <c:numCache>
                <c:formatCode>General</c:formatCode>
                <c:ptCount val="2"/>
                <c:pt idx="0" formatCode="0,00%">
                  <c:v>5.0000000000000001E-3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372736"/>
        <c:axId val="128374272"/>
      </c:scatterChart>
      <c:valAx>
        <c:axId val="128372736"/>
        <c:scaling>
          <c:orientation val="minMax"/>
          <c:max val="2000"/>
        </c:scaling>
        <c:delete val="0"/>
        <c:axPos val="b"/>
        <c:numFmt formatCode="#.##0" sourceLinked="1"/>
        <c:majorTickMark val="out"/>
        <c:minorTickMark val="none"/>
        <c:tickLblPos val="nextTo"/>
        <c:crossAx val="128374272"/>
        <c:crosses val="autoZero"/>
        <c:crossBetween val="midCat"/>
      </c:valAx>
      <c:valAx>
        <c:axId val="128374272"/>
        <c:scaling>
          <c:orientation val="minMax"/>
          <c:max val="8.0000000000000123E-3"/>
        </c:scaling>
        <c:delete val="0"/>
        <c:axPos val="l"/>
        <c:numFmt formatCode="#.000%" sourceLinked="0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128372736"/>
        <c:crosses val="autoZero"/>
        <c:crossBetween val="midCat"/>
        <c:majorUnit val="5.0000000000000034E-4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685799</xdr:colOff>
      <xdr:row>0</xdr:row>
      <xdr:rowOff>38101</xdr:rowOff>
    </xdr:from>
    <xdr:to>
      <xdr:col>12</xdr:col>
      <xdr:colOff>104774</xdr:colOff>
      <xdr:row>23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0.90117</cdr:x>
      <cdr:y>0.88209</cdr:y>
    </cdr:from>
    <cdr:to>
      <cdr:x>0.94284</cdr:x>
      <cdr:y>0.94633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420592" y="3638016"/>
          <a:ext cx="204391" cy="264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pPr algn="ctr"/>
          <a:r>
            <a:rPr lang="en-US" sz="1400" b="1" i="1"/>
            <a:t>Q</a:t>
          </a:r>
          <a:endParaRPr lang="vi-VN" sz="1400" b="1" i="1"/>
        </a:p>
      </cdr:txBody>
    </cdr:sp>
  </cdr:relSizeAnchor>
  <cdr:relSizeAnchor xmlns:cdr="http://schemas.openxmlformats.org/drawingml/2006/chartDrawing">
    <cdr:from>
      <cdr:x>0.1103</cdr:x>
      <cdr:y>0.0007</cdr:y>
    </cdr:from>
    <cdr:to>
      <cdr:x>0.15196</cdr:x>
      <cdr:y>0.06495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41040" y="2899"/>
          <a:ext cx="204390" cy="264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pPr algn="ctr"/>
          <a:r>
            <a:rPr lang="en-US" sz="1400" b="1" i="1"/>
            <a:t>P</a:t>
          </a:r>
          <a:endParaRPr lang="vi-VN" sz="1400" b="1" i="1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Q355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362" sqref="D362"/>
    </sheetView>
  </sheetViews>
  <sheetFormatPr defaultColWidth="9" defaultRowHeight="10.199999999999999" x14ac:dyDescent="0.2"/>
  <cols>
    <col min="1" max="1" width="56.44140625" style="19" bestFit="1" customWidth="1"/>
    <col min="2" max="2" width="8.77734375" style="19" bestFit="1" customWidth="1"/>
    <col min="3" max="27" width="8" style="19" customWidth="1"/>
    <col min="28" max="28" width="2.5546875" style="19" customWidth="1"/>
    <col min="29" max="16384" width="9" style="19"/>
  </cols>
  <sheetData>
    <row r="1" spans="1:28" s="20" customFormat="1" x14ac:dyDescent="0.2">
      <c r="A1" s="280" t="s">
        <v>196</v>
      </c>
      <c r="B1" s="47">
        <v>0</v>
      </c>
      <c r="C1" s="47">
        <v>1</v>
      </c>
      <c r="D1" s="47">
        <v>2</v>
      </c>
      <c r="E1" s="47">
        <v>3</v>
      </c>
      <c r="F1" s="47">
        <v>4</v>
      </c>
      <c r="G1" s="44">
        <v>5</v>
      </c>
      <c r="H1" s="44">
        <v>6</v>
      </c>
      <c r="I1" s="44">
        <v>7</v>
      </c>
      <c r="J1" s="44">
        <v>8</v>
      </c>
      <c r="K1" s="44">
        <v>9</v>
      </c>
      <c r="L1" s="44">
        <v>10</v>
      </c>
      <c r="M1" s="44">
        <v>11</v>
      </c>
      <c r="N1" s="44">
        <v>12</v>
      </c>
      <c r="O1" s="44">
        <v>13</v>
      </c>
      <c r="P1" s="44">
        <v>14</v>
      </c>
      <c r="Q1" s="44">
        <v>15</v>
      </c>
      <c r="R1" s="44">
        <v>16</v>
      </c>
      <c r="S1" s="44">
        <v>17</v>
      </c>
      <c r="T1" s="44">
        <v>18</v>
      </c>
      <c r="U1" s="44">
        <v>19</v>
      </c>
      <c r="V1" s="44">
        <v>20</v>
      </c>
      <c r="W1" s="44">
        <v>21</v>
      </c>
      <c r="X1" s="44">
        <v>22</v>
      </c>
      <c r="Y1" s="44">
        <v>23</v>
      </c>
      <c r="Z1" s="44">
        <v>24</v>
      </c>
      <c r="AA1" s="44">
        <v>25</v>
      </c>
      <c r="AB1" s="45"/>
    </row>
    <row r="2" spans="1:28" s="20" customFormat="1" x14ac:dyDescent="0.2">
      <c r="A2" s="280"/>
      <c r="B2" s="48">
        <v>2014</v>
      </c>
      <c r="C2" s="48">
        <v>2015</v>
      </c>
      <c r="D2" s="48">
        <v>2016</v>
      </c>
      <c r="E2" s="48">
        <v>2017</v>
      </c>
      <c r="F2" s="48">
        <v>2018</v>
      </c>
      <c r="G2" s="46">
        <v>2019</v>
      </c>
      <c r="H2" s="46">
        <v>2020</v>
      </c>
      <c r="I2" s="46">
        <v>2021</v>
      </c>
      <c r="J2" s="46">
        <v>2022</v>
      </c>
      <c r="K2" s="46">
        <v>2023</v>
      </c>
      <c r="L2" s="46">
        <v>2024</v>
      </c>
      <c r="M2" s="46">
        <v>2025</v>
      </c>
      <c r="N2" s="46">
        <v>2026</v>
      </c>
      <c r="O2" s="46">
        <v>2027</v>
      </c>
      <c r="P2" s="46">
        <v>2028</v>
      </c>
      <c r="Q2" s="46">
        <v>2029</v>
      </c>
      <c r="R2" s="46">
        <v>2030</v>
      </c>
      <c r="S2" s="46">
        <v>2031</v>
      </c>
      <c r="T2" s="46">
        <v>2032</v>
      </c>
      <c r="U2" s="46">
        <v>2033</v>
      </c>
      <c r="V2" s="46">
        <v>2034</v>
      </c>
      <c r="W2" s="46">
        <v>2035</v>
      </c>
      <c r="X2" s="46">
        <v>2036</v>
      </c>
      <c r="Y2" s="46">
        <v>2037</v>
      </c>
      <c r="Z2" s="46">
        <v>2038</v>
      </c>
      <c r="AA2" s="46">
        <v>2039</v>
      </c>
      <c r="AB2" s="45"/>
    </row>
    <row r="3" spans="1:28" x14ac:dyDescent="0.2">
      <c r="A3" s="1" t="s">
        <v>0</v>
      </c>
      <c r="AB3" s="18"/>
    </row>
    <row r="4" spans="1:28" x14ac:dyDescent="0.2">
      <c r="A4" s="49" t="s">
        <v>181</v>
      </c>
      <c r="C4" s="21">
        <v>0.05</v>
      </c>
      <c r="D4" s="21">
        <f t="shared" ref="D4:AA4" si="0">$C$4</f>
        <v>0.05</v>
      </c>
      <c r="E4" s="21">
        <f t="shared" si="0"/>
        <v>0.05</v>
      </c>
      <c r="F4" s="21">
        <f t="shared" si="0"/>
        <v>0.05</v>
      </c>
      <c r="G4" s="21">
        <f t="shared" si="0"/>
        <v>0.05</v>
      </c>
      <c r="H4" s="21">
        <f t="shared" si="0"/>
        <v>0.05</v>
      </c>
      <c r="I4" s="21">
        <f t="shared" si="0"/>
        <v>0.05</v>
      </c>
      <c r="J4" s="21">
        <f t="shared" si="0"/>
        <v>0.05</v>
      </c>
      <c r="K4" s="21">
        <f t="shared" si="0"/>
        <v>0.05</v>
      </c>
      <c r="L4" s="21">
        <f t="shared" si="0"/>
        <v>0.05</v>
      </c>
      <c r="M4" s="21">
        <f t="shared" si="0"/>
        <v>0.05</v>
      </c>
      <c r="N4" s="21">
        <f t="shared" si="0"/>
        <v>0.05</v>
      </c>
      <c r="O4" s="21">
        <f t="shared" si="0"/>
        <v>0.05</v>
      </c>
      <c r="P4" s="21">
        <f t="shared" si="0"/>
        <v>0.05</v>
      </c>
      <c r="Q4" s="21">
        <f t="shared" si="0"/>
        <v>0.05</v>
      </c>
      <c r="R4" s="21">
        <f t="shared" si="0"/>
        <v>0.05</v>
      </c>
      <c r="S4" s="21">
        <f t="shared" si="0"/>
        <v>0.05</v>
      </c>
      <c r="T4" s="21">
        <f t="shared" si="0"/>
        <v>0.05</v>
      </c>
      <c r="U4" s="21">
        <f t="shared" si="0"/>
        <v>0.05</v>
      </c>
      <c r="V4" s="21">
        <f t="shared" si="0"/>
        <v>0.05</v>
      </c>
      <c r="W4" s="21">
        <f t="shared" si="0"/>
        <v>0.05</v>
      </c>
      <c r="X4" s="21">
        <f t="shared" si="0"/>
        <v>0.05</v>
      </c>
      <c r="Y4" s="21">
        <f t="shared" si="0"/>
        <v>0.05</v>
      </c>
      <c r="Z4" s="21">
        <f t="shared" si="0"/>
        <v>0.05</v>
      </c>
      <c r="AA4" s="21">
        <f t="shared" si="0"/>
        <v>0.05</v>
      </c>
      <c r="AB4" s="18"/>
    </row>
    <row r="5" spans="1:28" x14ac:dyDescent="0.2">
      <c r="A5" s="49" t="s">
        <v>182</v>
      </c>
      <c r="C5" s="22">
        <v>1.7999999999999999E-2</v>
      </c>
      <c r="D5" s="22">
        <f t="shared" ref="D5:AA5" si="1">$C$5</f>
        <v>1.7999999999999999E-2</v>
      </c>
      <c r="E5" s="22">
        <f t="shared" si="1"/>
        <v>1.7999999999999999E-2</v>
      </c>
      <c r="F5" s="22">
        <f t="shared" si="1"/>
        <v>1.7999999999999999E-2</v>
      </c>
      <c r="G5" s="22">
        <f t="shared" si="1"/>
        <v>1.7999999999999999E-2</v>
      </c>
      <c r="H5" s="22">
        <f t="shared" si="1"/>
        <v>1.7999999999999999E-2</v>
      </c>
      <c r="I5" s="22">
        <f t="shared" si="1"/>
        <v>1.7999999999999999E-2</v>
      </c>
      <c r="J5" s="22">
        <f t="shared" si="1"/>
        <v>1.7999999999999999E-2</v>
      </c>
      <c r="K5" s="22">
        <f t="shared" si="1"/>
        <v>1.7999999999999999E-2</v>
      </c>
      <c r="L5" s="22">
        <f t="shared" si="1"/>
        <v>1.7999999999999999E-2</v>
      </c>
      <c r="M5" s="22">
        <f t="shared" si="1"/>
        <v>1.7999999999999999E-2</v>
      </c>
      <c r="N5" s="22">
        <f t="shared" si="1"/>
        <v>1.7999999999999999E-2</v>
      </c>
      <c r="O5" s="22">
        <f t="shared" si="1"/>
        <v>1.7999999999999999E-2</v>
      </c>
      <c r="P5" s="22">
        <f t="shared" si="1"/>
        <v>1.7999999999999999E-2</v>
      </c>
      <c r="Q5" s="22">
        <f t="shared" si="1"/>
        <v>1.7999999999999999E-2</v>
      </c>
      <c r="R5" s="22">
        <f t="shared" si="1"/>
        <v>1.7999999999999999E-2</v>
      </c>
      <c r="S5" s="22">
        <f t="shared" si="1"/>
        <v>1.7999999999999999E-2</v>
      </c>
      <c r="T5" s="22">
        <f t="shared" si="1"/>
        <v>1.7999999999999999E-2</v>
      </c>
      <c r="U5" s="22">
        <f t="shared" si="1"/>
        <v>1.7999999999999999E-2</v>
      </c>
      <c r="V5" s="22">
        <f t="shared" si="1"/>
        <v>1.7999999999999999E-2</v>
      </c>
      <c r="W5" s="22">
        <f t="shared" si="1"/>
        <v>1.7999999999999999E-2</v>
      </c>
      <c r="X5" s="22">
        <f t="shared" si="1"/>
        <v>1.7999999999999999E-2</v>
      </c>
      <c r="Y5" s="22">
        <f t="shared" si="1"/>
        <v>1.7999999999999999E-2</v>
      </c>
      <c r="Z5" s="22">
        <f t="shared" si="1"/>
        <v>1.7999999999999999E-2</v>
      </c>
      <c r="AA5" s="22">
        <f t="shared" si="1"/>
        <v>1.7999999999999999E-2</v>
      </c>
      <c r="AB5" s="18"/>
    </row>
    <row r="6" spans="1:28" x14ac:dyDescent="0.2">
      <c r="A6" s="68" t="s">
        <v>42</v>
      </c>
      <c r="B6" s="10">
        <v>21400</v>
      </c>
      <c r="AB6" s="18"/>
    </row>
    <row r="7" spans="1:28" x14ac:dyDescent="0.2">
      <c r="A7" s="2" t="s">
        <v>26</v>
      </c>
      <c r="AB7" s="18"/>
    </row>
    <row r="8" spans="1:28" x14ac:dyDescent="0.2">
      <c r="A8" s="36" t="s">
        <v>34</v>
      </c>
      <c r="AB8" s="18"/>
    </row>
    <row r="9" spans="1:28" x14ac:dyDescent="0.2">
      <c r="A9" s="7" t="s">
        <v>1</v>
      </c>
      <c r="B9" s="10">
        <f>SUM(B10:B12)</f>
        <v>253232</v>
      </c>
      <c r="D9" s="10"/>
      <c r="AB9" s="18"/>
    </row>
    <row r="10" spans="1:28" x14ac:dyDescent="0.2">
      <c r="A10" s="38" t="s">
        <v>2</v>
      </c>
      <c r="B10" s="10">
        <v>171729</v>
      </c>
      <c r="D10" s="10"/>
      <c r="AB10" s="18"/>
    </row>
    <row r="11" spans="1:28" x14ac:dyDescent="0.2">
      <c r="A11" s="38" t="s">
        <v>3</v>
      </c>
      <c r="B11" s="10">
        <v>860</v>
      </c>
      <c r="AB11" s="18"/>
    </row>
    <row r="12" spans="1:28" x14ac:dyDescent="0.2">
      <c r="A12" s="38" t="s">
        <v>4</v>
      </c>
      <c r="B12" s="10">
        <v>80643</v>
      </c>
      <c r="AB12" s="18"/>
    </row>
    <row r="13" spans="1:28" x14ac:dyDescent="0.2">
      <c r="A13" s="7" t="s">
        <v>5</v>
      </c>
      <c r="B13" s="10">
        <v>41481</v>
      </c>
      <c r="AB13" s="18"/>
    </row>
    <row r="14" spans="1:28" x14ac:dyDescent="0.2">
      <c r="A14" s="7" t="s">
        <v>6</v>
      </c>
      <c r="B14" s="10">
        <f>SUM(B15:B19)</f>
        <v>102132</v>
      </c>
      <c r="AB14" s="18"/>
    </row>
    <row r="15" spans="1:28" x14ac:dyDescent="0.2">
      <c r="A15" s="39" t="s">
        <v>7</v>
      </c>
      <c r="B15" s="10">
        <v>4708</v>
      </c>
      <c r="AB15" s="18"/>
    </row>
    <row r="16" spans="1:28" x14ac:dyDescent="0.2">
      <c r="A16" s="39" t="s">
        <v>8</v>
      </c>
      <c r="B16" s="10">
        <v>9238</v>
      </c>
      <c r="AB16" s="18"/>
    </row>
    <row r="17" spans="1:28" x14ac:dyDescent="0.2">
      <c r="A17" s="39" t="s">
        <v>9</v>
      </c>
      <c r="B17" s="10">
        <v>0</v>
      </c>
      <c r="AB17" s="18"/>
    </row>
    <row r="18" spans="1:28" x14ac:dyDescent="0.2">
      <c r="A18" s="39" t="s">
        <v>10</v>
      </c>
      <c r="B18" s="10">
        <v>76385</v>
      </c>
      <c r="AB18" s="18"/>
    </row>
    <row r="19" spans="1:28" x14ac:dyDescent="0.2">
      <c r="A19" s="39" t="s">
        <v>11</v>
      </c>
      <c r="B19" s="10">
        <v>11801</v>
      </c>
      <c r="AB19" s="18"/>
    </row>
    <row r="20" spans="1:28" x14ac:dyDescent="0.2">
      <c r="A20" s="7" t="s">
        <v>12</v>
      </c>
      <c r="B20" s="10">
        <v>0</v>
      </c>
      <c r="AB20" s="18"/>
    </row>
    <row r="21" spans="1:28" x14ac:dyDescent="0.2">
      <c r="A21" s="7" t="s">
        <v>13</v>
      </c>
      <c r="B21" s="10">
        <v>1117</v>
      </c>
      <c r="AB21" s="18"/>
    </row>
    <row r="22" spans="1:28" x14ac:dyDescent="0.2">
      <c r="A22" s="6" t="s">
        <v>14</v>
      </c>
      <c r="B22" s="10">
        <v>39796</v>
      </c>
      <c r="AB22" s="18"/>
    </row>
    <row r="23" spans="1:28" x14ac:dyDescent="0.2">
      <c r="A23" s="36" t="s">
        <v>35</v>
      </c>
      <c r="AB23" s="18"/>
    </row>
    <row r="24" spans="1:28" x14ac:dyDescent="0.2">
      <c r="A24" s="7" t="s">
        <v>15</v>
      </c>
      <c r="B24" s="10">
        <f>B25+B26</f>
        <v>20465</v>
      </c>
      <c r="AB24" s="18"/>
    </row>
    <row r="25" spans="1:28" x14ac:dyDescent="0.2">
      <c r="A25" s="38" t="s">
        <v>16</v>
      </c>
      <c r="B25" s="10">
        <v>221</v>
      </c>
      <c r="AB25" s="18"/>
    </row>
    <row r="26" spans="1:28" x14ac:dyDescent="0.2">
      <c r="A26" s="38" t="s">
        <v>17</v>
      </c>
      <c r="B26" s="10">
        <v>20244</v>
      </c>
      <c r="AB26" s="18"/>
    </row>
    <row r="27" spans="1:28" x14ac:dyDescent="0.2">
      <c r="A27" s="24" t="s">
        <v>18</v>
      </c>
      <c r="B27" s="10">
        <f>B28+B29</f>
        <v>967010</v>
      </c>
      <c r="AB27" s="18"/>
    </row>
    <row r="28" spans="1:28" x14ac:dyDescent="0.2">
      <c r="A28" s="40" t="s">
        <v>19</v>
      </c>
      <c r="B28" s="10">
        <v>934316</v>
      </c>
      <c r="AB28" s="18"/>
    </row>
    <row r="29" spans="1:28" x14ac:dyDescent="0.2">
      <c r="A29" s="38" t="s">
        <v>20</v>
      </c>
      <c r="B29" s="10">
        <v>32694</v>
      </c>
      <c r="AB29" s="18"/>
    </row>
    <row r="30" spans="1:28" x14ac:dyDescent="0.2">
      <c r="A30" s="7" t="s">
        <v>6</v>
      </c>
      <c r="B30" s="10">
        <f>SUM(B31:B35)</f>
        <v>191420</v>
      </c>
      <c r="AB30" s="18"/>
    </row>
    <row r="31" spans="1:28" x14ac:dyDescent="0.2">
      <c r="A31" s="37" t="s">
        <v>7</v>
      </c>
      <c r="B31" s="10">
        <v>0</v>
      </c>
      <c r="AB31" s="18"/>
    </row>
    <row r="32" spans="1:28" x14ac:dyDescent="0.2">
      <c r="A32" s="37" t="s">
        <v>21</v>
      </c>
      <c r="B32" s="10">
        <v>0</v>
      </c>
      <c r="AB32" s="18"/>
    </row>
    <row r="33" spans="1:28" x14ac:dyDescent="0.2">
      <c r="A33" s="40" t="s">
        <v>22</v>
      </c>
      <c r="B33" s="10">
        <v>15075</v>
      </c>
      <c r="AB33" s="18"/>
    </row>
    <row r="34" spans="1:28" x14ac:dyDescent="0.2">
      <c r="A34" s="37" t="s">
        <v>23</v>
      </c>
      <c r="B34" s="10">
        <v>2013</v>
      </c>
      <c r="AB34" s="18"/>
    </row>
    <row r="35" spans="1:28" x14ac:dyDescent="0.2">
      <c r="A35" s="37" t="s">
        <v>24</v>
      </c>
      <c r="B35" s="10">
        <v>174332</v>
      </c>
      <c r="AB35" s="18"/>
    </row>
    <row r="36" spans="1:28" x14ac:dyDescent="0.2">
      <c r="A36" s="7" t="s">
        <v>12</v>
      </c>
      <c r="B36" s="10">
        <v>224827</v>
      </c>
      <c r="AB36" s="18"/>
    </row>
    <row r="37" spans="1:28" x14ac:dyDescent="0.2">
      <c r="A37" s="7" t="s">
        <v>13</v>
      </c>
      <c r="B37" s="10">
        <v>3379</v>
      </c>
      <c r="AB37" s="18"/>
    </row>
    <row r="38" spans="1:28" x14ac:dyDescent="0.2">
      <c r="A38" s="6" t="s">
        <v>14</v>
      </c>
      <c r="B38" s="10">
        <v>105844</v>
      </c>
      <c r="AB38" s="18"/>
    </row>
    <row r="39" spans="1:28" x14ac:dyDescent="0.2">
      <c r="A39" s="41" t="s">
        <v>25</v>
      </c>
      <c r="C39" s="26">
        <v>0.03</v>
      </c>
      <c r="D39" s="26">
        <v>0.28999999999999998</v>
      </c>
      <c r="E39" s="26">
        <v>0.5</v>
      </c>
      <c r="F39" s="26">
        <v>0.18</v>
      </c>
      <c r="AB39" s="18"/>
    </row>
    <row r="40" spans="1:28" x14ac:dyDescent="0.2">
      <c r="A40" s="27" t="s">
        <v>30</v>
      </c>
      <c r="AB40" s="18"/>
    </row>
    <row r="41" spans="1:28" x14ac:dyDescent="0.2">
      <c r="A41" s="29" t="s">
        <v>166</v>
      </c>
      <c r="B41" s="19">
        <v>21</v>
      </c>
      <c r="AB41" s="18"/>
    </row>
    <row r="42" spans="1:28" x14ac:dyDescent="0.2">
      <c r="A42" s="29" t="s">
        <v>31</v>
      </c>
      <c r="B42" s="19">
        <v>4</v>
      </c>
      <c r="AB42" s="18"/>
    </row>
    <row r="43" spans="1:28" x14ac:dyDescent="0.2">
      <c r="A43" s="29" t="s">
        <v>27</v>
      </c>
      <c r="B43" s="19">
        <v>8</v>
      </c>
      <c r="AB43" s="18"/>
    </row>
    <row r="44" spans="1:28" x14ac:dyDescent="0.2">
      <c r="A44" s="29" t="s">
        <v>28</v>
      </c>
      <c r="B44" s="19">
        <v>12</v>
      </c>
      <c r="AB44" s="18"/>
    </row>
    <row r="45" spans="1:28" x14ac:dyDescent="0.2">
      <c r="A45" s="29" t="s">
        <v>29</v>
      </c>
      <c r="B45" s="19">
        <v>5</v>
      </c>
      <c r="AB45" s="18"/>
    </row>
    <row r="46" spans="1:28" x14ac:dyDescent="0.2">
      <c r="A46" s="27" t="s">
        <v>32</v>
      </c>
      <c r="AB46" s="18"/>
    </row>
    <row r="47" spans="1:28" ht="13.2" x14ac:dyDescent="0.25">
      <c r="A47" s="29" t="s">
        <v>33</v>
      </c>
      <c r="B47" s="10"/>
      <c r="C47" s="10">
        <v>0</v>
      </c>
      <c r="D47" s="10">
        <v>23275</v>
      </c>
      <c r="E47" s="10">
        <v>243430</v>
      </c>
      <c r="F47" s="10">
        <v>96795</v>
      </c>
      <c r="J47" s="265"/>
      <c r="K47" s="265"/>
      <c r="L47" s="265"/>
      <c r="AB47" s="18"/>
    </row>
    <row r="48" spans="1:28" x14ac:dyDescent="0.2">
      <c r="A48" s="29" t="s">
        <v>36</v>
      </c>
      <c r="B48" s="28">
        <v>0.06</v>
      </c>
      <c r="J48" s="20"/>
      <c r="K48" s="20"/>
      <c r="L48" s="20"/>
      <c r="AB48" s="18"/>
    </row>
    <row r="49" spans="1:28" x14ac:dyDescent="0.2">
      <c r="A49" s="29" t="s">
        <v>37</v>
      </c>
      <c r="B49" s="19">
        <v>7</v>
      </c>
      <c r="J49" s="20"/>
      <c r="K49" s="20"/>
      <c r="L49" s="20"/>
      <c r="AB49" s="18"/>
    </row>
    <row r="50" spans="1:28" x14ac:dyDescent="0.2">
      <c r="A50" s="29" t="s">
        <v>162</v>
      </c>
      <c r="B50" s="21">
        <v>0.1</v>
      </c>
      <c r="AB50" s="18"/>
    </row>
    <row r="51" spans="1:28" ht="10.5" x14ac:dyDescent="0.25">
      <c r="A51" s="27" t="s">
        <v>84</v>
      </c>
      <c r="AB51" s="18"/>
    </row>
    <row r="52" spans="1:28" x14ac:dyDescent="0.2">
      <c r="A52" s="29" t="s">
        <v>63</v>
      </c>
      <c r="B52" s="10">
        <v>450000</v>
      </c>
      <c r="AB52" s="18"/>
    </row>
    <row r="53" spans="1:28" x14ac:dyDescent="0.2">
      <c r="A53" s="29" t="s">
        <v>64</v>
      </c>
      <c r="G53" s="21">
        <v>0.75</v>
      </c>
      <c r="H53" s="21">
        <v>0.9</v>
      </c>
      <c r="I53" s="21">
        <v>1</v>
      </c>
      <c r="J53" s="21">
        <v>1</v>
      </c>
      <c r="K53" s="21">
        <f>$J$53</f>
        <v>1</v>
      </c>
      <c r="L53" s="21">
        <f t="shared" ref="L53:W53" si="2">$J$53</f>
        <v>1</v>
      </c>
      <c r="M53" s="21">
        <f t="shared" si="2"/>
        <v>1</v>
      </c>
      <c r="N53" s="21">
        <f t="shared" si="2"/>
        <v>1</v>
      </c>
      <c r="O53" s="21">
        <f t="shared" si="2"/>
        <v>1</v>
      </c>
      <c r="P53" s="21">
        <f t="shared" si="2"/>
        <v>1</v>
      </c>
      <c r="Q53" s="21">
        <f t="shared" si="2"/>
        <v>1</v>
      </c>
      <c r="R53" s="21">
        <f t="shared" si="2"/>
        <v>1</v>
      </c>
      <c r="S53" s="21">
        <f t="shared" si="2"/>
        <v>1</v>
      </c>
      <c r="T53" s="21">
        <f t="shared" si="2"/>
        <v>1</v>
      </c>
      <c r="U53" s="21">
        <f t="shared" si="2"/>
        <v>1</v>
      </c>
      <c r="V53" s="21">
        <f t="shared" si="2"/>
        <v>1</v>
      </c>
      <c r="W53" s="21">
        <f t="shared" si="2"/>
        <v>1</v>
      </c>
      <c r="X53" s="21">
        <f t="shared" ref="X53:AA53" si="3">W53-20%</f>
        <v>0.8</v>
      </c>
      <c r="Y53" s="21">
        <f t="shared" si="3"/>
        <v>0.60000000000000009</v>
      </c>
      <c r="Z53" s="21">
        <f t="shared" si="3"/>
        <v>0.40000000000000008</v>
      </c>
      <c r="AA53" s="21">
        <f t="shared" si="3"/>
        <v>0.20000000000000007</v>
      </c>
      <c r="AB53" s="18"/>
    </row>
    <row r="54" spans="1:28" x14ac:dyDescent="0.2">
      <c r="A54" s="29" t="s">
        <v>73</v>
      </c>
      <c r="B54" s="19">
        <v>505</v>
      </c>
      <c r="AB54" s="18"/>
    </row>
    <row r="55" spans="1:28" x14ac:dyDescent="0.2">
      <c r="A55" s="27" t="s">
        <v>85</v>
      </c>
      <c r="AB55" s="18"/>
    </row>
    <row r="56" spans="1:28" x14ac:dyDescent="0.2">
      <c r="A56" s="29" t="s">
        <v>180</v>
      </c>
      <c r="B56" s="19">
        <v>6.69</v>
      </c>
      <c r="C56" s="19">
        <v>6.83</v>
      </c>
      <c r="AB56" s="18"/>
    </row>
    <row r="57" spans="1:28" x14ac:dyDescent="0.2">
      <c r="A57" s="29" t="s">
        <v>76</v>
      </c>
      <c r="B57" s="21">
        <v>0.02</v>
      </c>
      <c r="AB57" s="18"/>
    </row>
    <row r="58" spans="1:28" x14ac:dyDescent="0.2">
      <c r="A58" s="29" t="s">
        <v>189</v>
      </c>
      <c r="B58" s="10">
        <v>13851522</v>
      </c>
      <c r="AB58" s="18"/>
    </row>
    <row r="59" spans="1:28" x14ac:dyDescent="0.2">
      <c r="A59" s="29" t="s">
        <v>190</v>
      </c>
      <c r="B59" s="10">
        <v>399600</v>
      </c>
      <c r="AB59" s="18"/>
    </row>
    <row r="60" spans="1:28" x14ac:dyDescent="0.2">
      <c r="A60" s="29" t="s">
        <v>79</v>
      </c>
      <c r="C60" s="10">
        <v>9000</v>
      </c>
      <c r="D60" s="10">
        <v>10000</v>
      </c>
      <c r="E60" s="10">
        <v>11000</v>
      </c>
      <c r="F60" s="10">
        <v>12500</v>
      </c>
      <c r="G60" s="10"/>
      <c r="H60" s="10"/>
      <c r="I60" s="10"/>
      <c r="AB60" s="18"/>
    </row>
    <row r="61" spans="1:28" x14ac:dyDescent="0.2">
      <c r="A61" s="29" t="s">
        <v>188</v>
      </c>
      <c r="B61" s="10">
        <v>8191800</v>
      </c>
      <c r="AB61" s="18"/>
    </row>
    <row r="62" spans="1:28" x14ac:dyDescent="0.2">
      <c r="A62" s="29" t="s">
        <v>80</v>
      </c>
      <c r="B62" s="19">
        <v>20</v>
      </c>
      <c r="AB62" s="18"/>
    </row>
    <row r="63" spans="1:28" x14ac:dyDescent="0.2">
      <c r="A63" s="29" t="s">
        <v>191</v>
      </c>
      <c r="AB63" s="18"/>
    </row>
    <row r="64" spans="1:28" ht="10.5" x14ac:dyDescent="0.25">
      <c r="A64" s="42" t="s">
        <v>195</v>
      </c>
      <c r="B64" s="30">
        <v>32</v>
      </c>
      <c r="C64" s="31"/>
      <c r="AB64" s="18"/>
    </row>
    <row r="65" spans="1:28" ht="10.5" x14ac:dyDescent="0.25">
      <c r="A65" s="42" t="s">
        <v>86</v>
      </c>
      <c r="B65" s="30">
        <v>0.5</v>
      </c>
      <c r="C65" s="31"/>
      <c r="AB65" s="18"/>
    </row>
    <row r="66" spans="1:28" ht="10.5" x14ac:dyDescent="0.25">
      <c r="A66" s="42" t="s">
        <v>87</v>
      </c>
      <c r="B66" s="30">
        <v>5.21</v>
      </c>
      <c r="C66" s="31"/>
      <c r="AB66" s="18"/>
    </row>
    <row r="67" spans="1:28" ht="10.5" x14ac:dyDescent="0.25">
      <c r="A67" s="42" t="s">
        <v>88</v>
      </c>
      <c r="B67" s="30">
        <v>3.1280000000000001</v>
      </c>
      <c r="C67" s="31"/>
      <c r="AB67" s="18"/>
    </row>
    <row r="68" spans="1:28" ht="10.5" x14ac:dyDescent="0.25">
      <c r="A68" s="42" t="s">
        <v>89</v>
      </c>
      <c r="B68" s="30">
        <v>5.2160000000000002</v>
      </c>
      <c r="C68" s="31"/>
      <c r="AB68" s="18"/>
    </row>
    <row r="69" spans="1:28" ht="10.5" x14ac:dyDescent="0.25">
      <c r="A69" s="42" t="s">
        <v>90</v>
      </c>
      <c r="B69" s="30">
        <v>6.3940000000000001</v>
      </c>
      <c r="C69" s="31"/>
      <c r="AB69" s="18"/>
    </row>
    <row r="70" spans="1:28" ht="10.5" x14ac:dyDescent="0.25">
      <c r="A70" s="42" t="s">
        <v>91</v>
      </c>
      <c r="B70" s="30">
        <v>0.16</v>
      </c>
      <c r="C70" s="31"/>
      <c r="AB70" s="18"/>
    </row>
    <row r="71" spans="1:28" ht="10.5" x14ac:dyDescent="0.25">
      <c r="A71" s="42" t="s">
        <v>92</v>
      </c>
      <c r="B71" s="30">
        <v>41.924999999999997</v>
      </c>
      <c r="C71" s="31"/>
      <c r="AB71" s="18"/>
    </row>
    <row r="72" spans="1:28" ht="10.5" x14ac:dyDescent="0.25">
      <c r="A72" s="42" t="s">
        <v>93</v>
      </c>
      <c r="B72" s="30">
        <v>18.462</v>
      </c>
      <c r="C72" s="31"/>
      <c r="AB72" s="18"/>
    </row>
    <row r="73" spans="1:28" ht="10.5" x14ac:dyDescent="0.25">
      <c r="A73" s="42" t="s">
        <v>94</v>
      </c>
      <c r="B73" s="30">
        <v>0.46800000000000003</v>
      </c>
      <c r="C73" s="31"/>
      <c r="AB73" s="18"/>
    </row>
    <row r="74" spans="1:28" ht="10.5" x14ac:dyDescent="0.25">
      <c r="A74" s="42" t="s">
        <v>95</v>
      </c>
      <c r="B74" s="30">
        <v>189.934</v>
      </c>
      <c r="C74" s="31"/>
      <c r="AB74" s="18"/>
    </row>
    <row r="75" spans="1:28" ht="10.5" x14ac:dyDescent="0.25">
      <c r="A75" s="42" t="s">
        <v>96</v>
      </c>
      <c r="B75" s="30">
        <v>0.25900000000000001</v>
      </c>
      <c r="C75" s="31"/>
      <c r="AB75" s="18"/>
    </row>
    <row r="76" spans="1:28" ht="10.5" x14ac:dyDescent="0.25">
      <c r="A76" s="42" t="s">
        <v>97</v>
      </c>
      <c r="B76" s="30">
        <v>473.673</v>
      </c>
      <c r="C76" s="31"/>
      <c r="AB76" s="18"/>
    </row>
    <row r="77" spans="1:28" x14ac:dyDescent="0.2">
      <c r="A77" s="29" t="s">
        <v>98</v>
      </c>
      <c r="AB77" s="18"/>
    </row>
    <row r="78" spans="1:28" ht="10.5" x14ac:dyDescent="0.25">
      <c r="A78" s="42" t="s">
        <v>195</v>
      </c>
      <c r="B78" s="65">
        <v>8886.7999999999993</v>
      </c>
      <c r="C78" s="32"/>
      <c r="AB78" s="18"/>
    </row>
    <row r="79" spans="1:28" ht="10.5" x14ac:dyDescent="0.25">
      <c r="A79" s="42" t="s">
        <v>86</v>
      </c>
      <c r="B79" s="65">
        <v>6024.9</v>
      </c>
      <c r="C79" s="32"/>
      <c r="AB79" s="18"/>
    </row>
    <row r="80" spans="1:28" ht="10.5" x14ac:dyDescent="0.25">
      <c r="A80" s="42" t="s">
        <v>87</v>
      </c>
      <c r="B80" s="65">
        <v>3237</v>
      </c>
      <c r="C80" s="32"/>
      <c r="AB80" s="18"/>
    </row>
    <row r="81" spans="1:28" ht="10.5" x14ac:dyDescent="0.25">
      <c r="A81" s="42" t="s">
        <v>88</v>
      </c>
      <c r="B81" s="65">
        <v>5426.5</v>
      </c>
      <c r="C81" s="32"/>
      <c r="AB81" s="18"/>
    </row>
    <row r="82" spans="1:28" ht="10.5" x14ac:dyDescent="0.25">
      <c r="A82" s="42" t="s">
        <v>89</v>
      </c>
      <c r="B82" s="65">
        <v>4242.7</v>
      </c>
      <c r="C82" s="32"/>
      <c r="AB82" s="18"/>
    </row>
    <row r="83" spans="1:28" ht="10.5" x14ac:dyDescent="0.25">
      <c r="A83" s="42" t="s">
        <v>90</v>
      </c>
      <c r="B83" s="65">
        <v>3966.4</v>
      </c>
      <c r="C83" s="32"/>
      <c r="AB83" s="18"/>
    </row>
    <row r="84" spans="1:28" ht="10.5" x14ac:dyDescent="0.25">
      <c r="A84" s="42" t="s">
        <v>91</v>
      </c>
      <c r="B84" s="65">
        <v>8434.9</v>
      </c>
      <c r="C84" s="32"/>
      <c r="AB84" s="18"/>
    </row>
    <row r="85" spans="1:28" ht="10.5" x14ac:dyDescent="0.25">
      <c r="A85" s="42" t="s">
        <v>92</v>
      </c>
      <c r="B85" s="65">
        <v>135.6</v>
      </c>
      <c r="C85" s="32"/>
      <c r="AB85" s="18"/>
    </row>
    <row r="86" spans="1:28" ht="10.5" x14ac:dyDescent="0.25">
      <c r="A86" s="42" t="s">
        <v>93</v>
      </c>
      <c r="B86" s="65">
        <v>6329.7</v>
      </c>
      <c r="C86" s="32"/>
      <c r="AB86" s="18"/>
    </row>
    <row r="87" spans="1:28" ht="10.5" x14ac:dyDescent="0.25">
      <c r="A87" s="42" t="s">
        <v>94</v>
      </c>
      <c r="B87" s="65">
        <v>4287.7</v>
      </c>
      <c r="C87" s="32"/>
      <c r="AB87" s="18"/>
    </row>
    <row r="88" spans="1:28" ht="10.5" x14ac:dyDescent="0.25">
      <c r="A88" s="42" t="s">
        <v>95</v>
      </c>
      <c r="B88" s="65">
        <v>179.8</v>
      </c>
      <c r="C88" s="32"/>
      <c r="AB88" s="18"/>
    </row>
    <row r="89" spans="1:28" ht="10.5" x14ac:dyDescent="0.25">
      <c r="A89" s="42" t="s">
        <v>96</v>
      </c>
      <c r="B89" s="65">
        <v>1129.5999999999999</v>
      </c>
      <c r="C89" s="32"/>
      <c r="AB89" s="18"/>
    </row>
    <row r="90" spans="1:28" ht="10.5" x14ac:dyDescent="0.25">
      <c r="A90" s="42" t="s">
        <v>97</v>
      </c>
      <c r="B90" s="65">
        <v>312.60000000000002</v>
      </c>
      <c r="C90" s="32"/>
      <c r="AB90" s="18"/>
    </row>
    <row r="91" spans="1:28" x14ac:dyDescent="0.2">
      <c r="A91" s="29" t="s">
        <v>192</v>
      </c>
      <c r="AB91" s="18"/>
    </row>
    <row r="92" spans="1:28" ht="10.5" x14ac:dyDescent="0.25">
      <c r="A92" s="42" t="s">
        <v>101</v>
      </c>
      <c r="B92" s="30">
        <v>9</v>
      </c>
      <c r="C92" s="58"/>
      <c r="AB92" s="18"/>
    </row>
    <row r="93" spans="1:28" ht="10.5" x14ac:dyDescent="0.25">
      <c r="A93" s="42" t="s">
        <v>102</v>
      </c>
      <c r="B93" s="30">
        <v>2.4</v>
      </c>
      <c r="C93" s="58"/>
      <c r="AB93" s="18"/>
    </row>
    <row r="94" spans="1:28" ht="10.5" x14ac:dyDescent="0.25">
      <c r="A94" s="42" t="s">
        <v>103</v>
      </c>
      <c r="B94" s="30">
        <v>12.51</v>
      </c>
      <c r="C94" s="58"/>
      <c r="AB94" s="18"/>
    </row>
    <row r="95" spans="1:28" ht="10.5" x14ac:dyDescent="0.25">
      <c r="A95" s="42" t="s">
        <v>104</v>
      </c>
      <c r="B95" s="30">
        <v>0.8</v>
      </c>
      <c r="C95" s="58"/>
      <c r="AB95" s="18"/>
    </row>
    <row r="96" spans="1:28" ht="10.5" x14ac:dyDescent="0.25">
      <c r="A96" s="42" t="s">
        <v>105</v>
      </c>
      <c r="B96" s="30">
        <v>1.86</v>
      </c>
      <c r="C96" s="58"/>
      <c r="AB96" s="18"/>
    </row>
    <row r="97" spans="1:28" ht="10.5" x14ac:dyDescent="0.25">
      <c r="A97" s="42" t="s">
        <v>106</v>
      </c>
      <c r="B97" s="30">
        <v>2.66</v>
      </c>
      <c r="C97" s="58"/>
      <c r="AB97" s="18"/>
    </row>
    <row r="98" spans="1:28" ht="10.5" x14ac:dyDescent="0.25">
      <c r="A98" s="42" t="s">
        <v>107</v>
      </c>
      <c r="B98" s="30">
        <v>0.28999999999999998</v>
      </c>
      <c r="C98" s="58"/>
      <c r="AB98" s="18"/>
    </row>
    <row r="99" spans="1:28" ht="10.5" x14ac:dyDescent="0.25">
      <c r="A99" s="42" t="s">
        <v>108</v>
      </c>
      <c r="B99" s="30">
        <v>1.125</v>
      </c>
      <c r="C99" s="58"/>
      <c r="AB99" s="18"/>
    </row>
    <row r="100" spans="1:28" ht="10.5" x14ac:dyDescent="0.25">
      <c r="A100" s="42" t="s">
        <v>109</v>
      </c>
      <c r="B100" s="30">
        <v>6.3150000000000004</v>
      </c>
      <c r="C100" s="58"/>
      <c r="AB100" s="18"/>
    </row>
    <row r="101" spans="1:28" ht="10.5" x14ac:dyDescent="0.25">
      <c r="A101" s="42" t="s">
        <v>110</v>
      </c>
      <c r="B101" s="30">
        <v>1.19</v>
      </c>
      <c r="C101" s="58"/>
      <c r="AB101" s="18"/>
    </row>
    <row r="102" spans="1:28" ht="10.5" x14ac:dyDescent="0.25">
      <c r="A102" s="42" t="s">
        <v>111</v>
      </c>
      <c r="B102" s="30">
        <v>12.92</v>
      </c>
      <c r="C102" s="58"/>
      <c r="AB102" s="18"/>
    </row>
    <row r="103" spans="1:28" ht="10.5" x14ac:dyDescent="0.25">
      <c r="A103" s="42" t="s">
        <v>112</v>
      </c>
      <c r="B103" s="30">
        <v>0.99</v>
      </c>
      <c r="C103" s="58"/>
      <c r="AB103" s="18"/>
    </row>
    <row r="104" spans="1:28" ht="10.5" x14ac:dyDescent="0.25">
      <c r="A104" s="42" t="s">
        <v>113</v>
      </c>
      <c r="B104" s="30">
        <v>0.73499999999999999</v>
      </c>
      <c r="C104" s="58"/>
      <c r="AB104" s="18"/>
    </row>
    <row r="105" spans="1:28" ht="10.5" x14ac:dyDescent="0.25">
      <c r="A105" s="42" t="s">
        <v>114</v>
      </c>
      <c r="B105" s="30">
        <v>3.0950000000000002</v>
      </c>
      <c r="C105" s="58"/>
      <c r="AB105" s="18"/>
    </row>
    <row r="106" spans="1:28" x14ac:dyDescent="0.2">
      <c r="A106" s="29" t="s">
        <v>115</v>
      </c>
      <c r="AB106" s="18"/>
    </row>
    <row r="107" spans="1:28" ht="10.5" x14ac:dyDescent="0.25">
      <c r="A107" s="42" t="s">
        <v>101</v>
      </c>
      <c r="B107" s="65">
        <v>763.5</v>
      </c>
      <c r="C107" s="32"/>
      <c r="AB107" s="18"/>
    </row>
    <row r="108" spans="1:28" ht="10.5" x14ac:dyDescent="0.25">
      <c r="A108" s="42" t="s">
        <v>102</v>
      </c>
      <c r="B108" s="65">
        <v>17799.400000000001</v>
      </c>
      <c r="C108" s="32"/>
      <c r="AB108" s="18"/>
    </row>
    <row r="109" spans="1:28" ht="10.5" x14ac:dyDescent="0.25">
      <c r="A109" s="42" t="s">
        <v>103</v>
      </c>
      <c r="B109" s="65">
        <v>14089.3</v>
      </c>
      <c r="C109" s="32"/>
      <c r="AB109" s="18"/>
    </row>
    <row r="110" spans="1:28" ht="10.5" x14ac:dyDescent="0.25">
      <c r="A110" s="42" t="s">
        <v>104</v>
      </c>
      <c r="B110" s="65">
        <v>33445.199999999997</v>
      </c>
      <c r="C110" s="32"/>
      <c r="AB110" s="18"/>
    </row>
    <row r="111" spans="1:28" ht="10.5" x14ac:dyDescent="0.25">
      <c r="A111" s="42" t="s">
        <v>105</v>
      </c>
      <c r="B111" s="65">
        <v>33726.400000000001</v>
      </c>
      <c r="C111" s="32"/>
      <c r="AB111" s="18"/>
    </row>
    <row r="112" spans="1:28" ht="10.5" x14ac:dyDescent="0.25">
      <c r="A112" s="42" t="s">
        <v>106</v>
      </c>
      <c r="B112" s="65">
        <v>31717.5</v>
      </c>
      <c r="C112" s="32"/>
      <c r="AB112" s="18"/>
    </row>
    <row r="113" spans="1:28" ht="10.5" x14ac:dyDescent="0.25">
      <c r="A113" s="42" t="s">
        <v>107</v>
      </c>
      <c r="B113" s="65">
        <v>35868.6</v>
      </c>
      <c r="C113" s="32"/>
      <c r="AB113" s="18"/>
    </row>
    <row r="114" spans="1:28" ht="10.5" x14ac:dyDescent="0.25">
      <c r="A114" s="42" t="s">
        <v>108</v>
      </c>
      <c r="B114" s="65">
        <v>26043.599999999999</v>
      </c>
      <c r="C114" s="32"/>
      <c r="AB114" s="18"/>
    </row>
    <row r="115" spans="1:28" ht="10.5" x14ac:dyDescent="0.25">
      <c r="A115" s="42" t="s">
        <v>109</v>
      </c>
      <c r="B115" s="65">
        <v>12405.5</v>
      </c>
      <c r="C115" s="32"/>
      <c r="AB115" s="18"/>
    </row>
    <row r="116" spans="1:28" ht="10.5" x14ac:dyDescent="0.25">
      <c r="A116" s="42" t="s">
        <v>110</v>
      </c>
      <c r="B116" s="65">
        <v>17799.400000000001</v>
      </c>
      <c r="C116" s="32"/>
      <c r="AB116" s="18"/>
    </row>
    <row r="117" spans="1:28" ht="10.5" x14ac:dyDescent="0.25">
      <c r="A117" s="42" t="s">
        <v>111</v>
      </c>
      <c r="B117" s="65">
        <v>17799.400000000001</v>
      </c>
      <c r="C117" s="32"/>
      <c r="AB117" s="18"/>
    </row>
    <row r="118" spans="1:28" ht="10.5" x14ac:dyDescent="0.25">
      <c r="A118" s="42" t="s">
        <v>112</v>
      </c>
      <c r="B118" s="65">
        <v>32848.300000000003</v>
      </c>
      <c r="C118" s="32"/>
      <c r="AB118" s="18"/>
    </row>
    <row r="119" spans="1:28" ht="10.5" x14ac:dyDescent="0.25">
      <c r="A119" s="42" t="s">
        <v>113</v>
      </c>
      <c r="B119" s="65">
        <v>12901.7</v>
      </c>
      <c r="C119" s="32"/>
      <c r="AB119" s="18"/>
    </row>
    <row r="120" spans="1:28" ht="10.5" x14ac:dyDescent="0.25">
      <c r="A120" s="42" t="s">
        <v>114</v>
      </c>
      <c r="B120" s="65">
        <v>12901.7</v>
      </c>
      <c r="C120" s="32"/>
      <c r="AB120" s="18"/>
    </row>
    <row r="121" spans="1:28" x14ac:dyDescent="0.2">
      <c r="A121" s="33" t="s">
        <v>167</v>
      </c>
      <c r="B121" s="12"/>
      <c r="C121" s="12"/>
      <c r="D121" s="12"/>
      <c r="G121" s="12">
        <v>242</v>
      </c>
      <c r="H121" s="12">
        <v>303</v>
      </c>
      <c r="I121" s="12">
        <v>303</v>
      </c>
      <c r="J121" s="12">
        <v>303</v>
      </c>
      <c r="K121" s="12">
        <v>303</v>
      </c>
      <c r="L121" s="12">
        <v>303</v>
      </c>
      <c r="M121" s="12">
        <v>303</v>
      </c>
      <c r="N121" s="12">
        <v>303</v>
      </c>
      <c r="O121" s="12">
        <v>303</v>
      </c>
      <c r="P121" s="12">
        <v>303</v>
      </c>
      <c r="Q121" s="12">
        <v>303</v>
      </c>
      <c r="R121" s="12">
        <v>303</v>
      </c>
      <c r="S121" s="12">
        <v>303</v>
      </c>
      <c r="T121" s="12">
        <v>303</v>
      </c>
      <c r="U121" s="12">
        <v>303</v>
      </c>
      <c r="V121" s="12">
        <v>303</v>
      </c>
      <c r="W121" s="12">
        <v>303</v>
      </c>
      <c r="X121" s="12">
        <v>240</v>
      </c>
      <c r="Y121" s="12">
        <v>180</v>
      </c>
      <c r="Z121" s="12">
        <v>145</v>
      </c>
      <c r="AA121" s="12">
        <v>80</v>
      </c>
      <c r="AB121" s="18"/>
    </row>
    <row r="122" spans="1:28" x14ac:dyDescent="0.2">
      <c r="A122" s="33" t="s">
        <v>129</v>
      </c>
      <c r="B122" s="12">
        <v>23</v>
      </c>
      <c r="C122" s="13"/>
      <c r="D122" s="12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18"/>
    </row>
    <row r="123" spans="1:28" x14ac:dyDescent="0.2">
      <c r="A123" s="33" t="s">
        <v>132</v>
      </c>
      <c r="B123" s="12"/>
      <c r="C123" s="17"/>
      <c r="AB123" s="18"/>
    </row>
    <row r="124" spans="1:28" x14ac:dyDescent="0.2">
      <c r="A124" s="43" t="s">
        <v>130</v>
      </c>
      <c r="B124" s="12">
        <v>470</v>
      </c>
      <c r="C124" s="17"/>
      <c r="AB124" s="18"/>
    </row>
    <row r="125" spans="1:28" x14ac:dyDescent="0.2">
      <c r="A125" s="43" t="s">
        <v>131</v>
      </c>
      <c r="B125" s="12">
        <v>1200</v>
      </c>
      <c r="C125" s="12"/>
      <c r="AB125" s="18"/>
    </row>
    <row r="126" spans="1:28" x14ac:dyDescent="0.2">
      <c r="A126" s="43" t="s">
        <v>117</v>
      </c>
      <c r="B126" s="12">
        <v>13</v>
      </c>
      <c r="C126" s="12"/>
      <c r="AB126" s="18"/>
    </row>
    <row r="127" spans="1:28" x14ac:dyDescent="0.2">
      <c r="A127" s="43" t="s">
        <v>178</v>
      </c>
      <c r="B127" s="13">
        <v>0.05</v>
      </c>
      <c r="C127" s="12"/>
      <c r="AB127" s="18"/>
    </row>
    <row r="128" spans="1:28" x14ac:dyDescent="0.2">
      <c r="A128" s="33" t="s">
        <v>134</v>
      </c>
      <c r="B128" s="11"/>
      <c r="C128" s="13"/>
      <c r="D128" s="12"/>
      <c r="G128" s="13">
        <v>0.03</v>
      </c>
      <c r="H128" s="13">
        <v>0.03</v>
      </c>
      <c r="I128" s="13">
        <v>0.03</v>
      </c>
      <c r="J128" s="13">
        <v>0.03</v>
      </c>
      <c r="K128" s="13">
        <v>0.03</v>
      </c>
      <c r="L128" s="13">
        <v>0.02</v>
      </c>
      <c r="M128" s="13">
        <v>0.02</v>
      </c>
      <c r="N128" s="13">
        <v>0.02</v>
      </c>
      <c r="O128" s="13">
        <v>0.02</v>
      </c>
      <c r="P128" s="13">
        <v>0.02</v>
      </c>
      <c r="Q128" s="21">
        <v>0.01</v>
      </c>
      <c r="R128" s="21">
        <v>0.01</v>
      </c>
      <c r="S128" s="21">
        <v>0.01</v>
      </c>
      <c r="T128" s="21">
        <v>0.01</v>
      </c>
      <c r="U128" s="21">
        <v>0.01</v>
      </c>
      <c r="V128" s="21">
        <v>0.01</v>
      </c>
      <c r="W128" s="21">
        <v>0.01</v>
      </c>
      <c r="X128" s="21">
        <v>0.01</v>
      </c>
      <c r="Y128" s="21">
        <v>0.01</v>
      </c>
      <c r="Z128" s="21">
        <v>0.01</v>
      </c>
      <c r="AA128" s="21">
        <v>0.01</v>
      </c>
      <c r="AB128" s="18"/>
    </row>
    <row r="129" spans="1:28" x14ac:dyDescent="0.2">
      <c r="A129" s="33" t="s">
        <v>144</v>
      </c>
      <c r="B129" s="11"/>
      <c r="C129" s="10"/>
      <c r="D129" s="12"/>
      <c r="AB129" s="18"/>
    </row>
    <row r="130" spans="1:28" x14ac:dyDescent="0.2">
      <c r="A130" s="43" t="s">
        <v>120</v>
      </c>
      <c r="B130" s="10">
        <f>13.6*10000</f>
        <v>136000</v>
      </c>
      <c r="C130" s="10"/>
      <c r="D130" s="12"/>
      <c r="AB130" s="18"/>
    </row>
    <row r="131" spans="1:28" x14ac:dyDescent="0.2">
      <c r="A131" s="43" t="s">
        <v>145</v>
      </c>
      <c r="B131" s="14">
        <v>0.19</v>
      </c>
      <c r="C131" s="14"/>
      <c r="D131" s="12"/>
      <c r="AB131" s="18"/>
    </row>
    <row r="132" spans="1:28" x14ac:dyDescent="0.2">
      <c r="A132" s="43" t="s">
        <v>179</v>
      </c>
      <c r="B132" s="14">
        <v>0.41</v>
      </c>
      <c r="C132" s="14"/>
      <c r="D132" s="12"/>
      <c r="AB132" s="18"/>
    </row>
    <row r="133" spans="1:28" x14ac:dyDescent="0.2">
      <c r="A133" s="33" t="s">
        <v>146</v>
      </c>
      <c r="B133" s="14"/>
      <c r="C133" s="14"/>
      <c r="D133" s="12"/>
      <c r="AB133" s="18"/>
    </row>
    <row r="134" spans="1:28" x14ac:dyDescent="0.2">
      <c r="A134" s="43" t="s">
        <v>121</v>
      </c>
      <c r="B134" s="16">
        <v>5.0000000000000001E-3</v>
      </c>
      <c r="C134" s="15"/>
      <c r="D134" s="12"/>
      <c r="AB134" s="18"/>
    </row>
    <row r="135" spans="1:28" x14ac:dyDescent="0.2">
      <c r="A135" s="43" t="s">
        <v>122</v>
      </c>
      <c r="B135" s="16">
        <v>5.0000000000000001E-4</v>
      </c>
      <c r="C135" s="16"/>
      <c r="D135" s="12"/>
      <c r="AB135" s="18"/>
    </row>
    <row r="136" spans="1:28" x14ac:dyDescent="0.2">
      <c r="A136" s="43" t="s">
        <v>123</v>
      </c>
      <c r="B136" s="16">
        <v>5.0000000000000001E-4</v>
      </c>
      <c r="C136" s="16"/>
      <c r="D136" s="12"/>
      <c r="AB136" s="18"/>
    </row>
    <row r="137" spans="1:28" x14ac:dyDescent="0.2">
      <c r="A137" s="43" t="s">
        <v>124</v>
      </c>
      <c r="B137" s="16">
        <v>1.6999999999999999E-3</v>
      </c>
      <c r="C137" s="16"/>
      <c r="D137" s="12"/>
      <c r="AB137" s="18"/>
    </row>
    <row r="138" spans="1:28" x14ac:dyDescent="0.2">
      <c r="A138" s="43" t="s">
        <v>125</v>
      </c>
      <c r="B138" s="16">
        <v>7.7999999999999996E-3</v>
      </c>
      <c r="C138" s="16"/>
      <c r="D138" s="12"/>
      <c r="AB138" s="18"/>
    </row>
    <row r="139" spans="1:28" x14ac:dyDescent="0.2">
      <c r="A139" s="43" t="s">
        <v>126</v>
      </c>
      <c r="B139" s="16">
        <v>7.3000000000000001E-3</v>
      </c>
      <c r="C139" s="16"/>
      <c r="D139" s="12"/>
      <c r="AB139" s="18"/>
    </row>
    <row r="140" spans="1:28" x14ac:dyDescent="0.2">
      <c r="A140" s="2" t="s">
        <v>135</v>
      </c>
      <c r="B140" s="12"/>
      <c r="C140" s="15"/>
      <c r="AB140" s="18"/>
    </row>
    <row r="141" spans="1:28" x14ac:dyDescent="0.2">
      <c r="A141" s="69" t="s">
        <v>140</v>
      </c>
      <c r="B141" s="15">
        <v>0.1</v>
      </c>
      <c r="AB141" s="18"/>
    </row>
    <row r="142" spans="1:28" x14ac:dyDescent="0.2">
      <c r="A142" s="69" t="s">
        <v>136</v>
      </c>
      <c r="B142" s="12"/>
      <c r="C142" s="71" t="s">
        <v>193</v>
      </c>
      <c r="AB142" s="18"/>
    </row>
    <row r="143" spans="1:28" x14ac:dyDescent="0.2">
      <c r="A143" s="70" t="s">
        <v>137</v>
      </c>
      <c r="B143" s="15">
        <v>0</v>
      </c>
      <c r="C143" s="19">
        <v>2</v>
      </c>
      <c r="D143" s="12"/>
      <c r="AB143" s="18"/>
    </row>
    <row r="144" spans="1:28" x14ac:dyDescent="0.2">
      <c r="A144" s="70" t="s">
        <v>138</v>
      </c>
      <c r="B144" s="15">
        <f>17%/2</f>
        <v>8.5000000000000006E-2</v>
      </c>
      <c r="C144" s="19">
        <v>4</v>
      </c>
      <c r="D144" s="12"/>
      <c r="AB144" s="18"/>
    </row>
    <row r="145" spans="1:28" x14ac:dyDescent="0.2">
      <c r="A145" s="70" t="s">
        <v>138</v>
      </c>
      <c r="B145" s="15">
        <v>0.17</v>
      </c>
      <c r="C145" s="19">
        <v>4</v>
      </c>
      <c r="D145" s="12"/>
      <c r="AB145" s="18"/>
    </row>
    <row r="146" spans="1:28" x14ac:dyDescent="0.2">
      <c r="A146" s="70" t="s">
        <v>116</v>
      </c>
      <c r="B146" s="15">
        <v>0.2</v>
      </c>
      <c r="AB146" s="18"/>
    </row>
    <row r="147" spans="1:28" x14ac:dyDescent="0.2">
      <c r="A147" s="70" t="s">
        <v>139</v>
      </c>
      <c r="B147" s="72">
        <v>5</v>
      </c>
      <c r="AB147" s="18"/>
    </row>
    <row r="148" spans="1:28" ht="10.5" x14ac:dyDescent="0.25">
      <c r="AB148" s="18"/>
    </row>
    <row r="149" spans="1:28" ht="10.5" x14ac:dyDescent="0.25">
      <c r="AB149" s="18"/>
    </row>
    <row r="150" spans="1:28" x14ac:dyDescent="0.2">
      <c r="A150" s="27" t="s">
        <v>38</v>
      </c>
      <c r="AB150" s="18"/>
    </row>
    <row r="151" spans="1:28" ht="10.5" x14ac:dyDescent="0.25">
      <c r="A151" s="27"/>
      <c r="AB151" s="18"/>
    </row>
    <row r="152" spans="1:28" x14ac:dyDescent="0.2">
      <c r="A152" s="27" t="s">
        <v>65</v>
      </c>
      <c r="AB152" s="18"/>
    </row>
    <row r="153" spans="1:28" x14ac:dyDescent="0.2">
      <c r="A153" s="19" t="s">
        <v>39</v>
      </c>
      <c r="B153" s="30">
        <v>1</v>
      </c>
      <c r="C153" s="30">
        <f t="shared" ref="C153:AA154" si="4">B153*(1+C4)</f>
        <v>1.05</v>
      </c>
      <c r="D153" s="30">
        <f>C153*(1+D4)</f>
        <v>1.1025</v>
      </c>
      <c r="E153" s="30">
        <f t="shared" si="4"/>
        <v>1.1576250000000001</v>
      </c>
      <c r="F153" s="30">
        <f t="shared" si="4"/>
        <v>1.2155062500000002</v>
      </c>
      <c r="G153" s="30">
        <f t="shared" si="4"/>
        <v>1.2762815625000004</v>
      </c>
      <c r="H153" s="30">
        <f t="shared" si="4"/>
        <v>1.3400956406250004</v>
      </c>
      <c r="I153" s="30">
        <f t="shared" si="4"/>
        <v>1.4071004226562505</v>
      </c>
      <c r="J153" s="30">
        <f t="shared" si="4"/>
        <v>1.477455443789063</v>
      </c>
      <c r="K153" s="30">
        <f t="shared" si="4"/>
        <v>1.5513282159785162</v>
      </c>
      <c r="L153" s="30">
        <f t="shared" si="4"/>
        <v>1.628894626777442</v>
      </c>
      <c r="M153" s="30">
        <f t="shared" si="4"/>
        <v>1.7103393581163142</v>
      </c>
      <c r="N153" s="30">
        <f t="shared" si="4"/>
        <v>1.7958563260221301</v>
      </c>
      <c r="O153" s="30">
        <f t="shared" si="4"/>
        <v>1.8856491423232367</v>
      </c>
      <c r="P153" s="30">
        <f t="shared" si="4"/>
        <v>1.9799315994393987</v>
      </c>
      <c r="Q153" s="30">
        <f t="shared" si="4"/>
        <v>2.0789281794113688</v>
      </c>
      <c r="R153" s="30">
        <f t="shared" si="4"/>
        <v>2.1828745883819374</v>
      </c>
      <c r="S153" s="30">
        <f t="shared" si="4"/>
        <v>2.2920183178010345</v>
      </c>
      <c r="T153" s="30">
        <f t="shared" si="4"/>
        <v>2.4066192336910861</v>
      </c>
      <c r="U153" s="30">
        <f t="shared" si="4"/>
        <v>2.5269501953756404</v>
      </c>
      <c r="V153" s="30">
        <f t="shared" si="4"/>
        <v>2.6532977051444226</v>
      </c>
      <c r="W153" s="30">
        <f t="shared" si="4"/>
        <v>2.7859625904016441</v>
      </c>
      <c r="X153" s="30">
        <f t="shared" si="4"/>
        <v>2.9252607199217264</v>
      </c>
      <c r="Y153" s="30">
        <f t="shared" si="4"/>
        <v>3.0715237559178128</v>
      </c>
      <c r="Z153" s="30">
        <f t="shared" si="4"/>
        <v>3.2250999437137038</v>
      </c>
      <c r="AA153" s="30">
        <f t="shared" si="4"/>
        <v>3.3863549408993889</v>
      </c>
      <c r="AB153" s="18"/>
    </row>
    <row r="154" spans="1:28" x14ac:dyDescent="0.2">
      <c r="A154" s="19" t="s">
        <v>40</v>
      </c>
      <c r="B154" s="30">
        <v>1</v>
      </c>
      <c r="C154" s="30">
        <f t="shared" si="4"/>
        <v>1.018</v>
      </c>
      <c r="D154" s="30">
        <f t="shared" si="4"/>
        <v>1.036324</v>
      </c>
      <c r="E154" s="30">
        <f t="shared" si="4"/>
        <v>1.0549778320000001</v>
      </c>
      <c r="F154" s="30">
        <f t="shared" si="4"/>
        <v>1.0739674329760001</v>
      </c>
      <c r="G154" s="30">
        <f t="shared" si="4"/>
        <v>1.0932988467695681</v>
      </c>
      <c r="H154" s="30">
        <f t="shared" si="4"/>
        <v>1.1129782260114203</v>
      </c>
      <c r="I154" s="30">
        <f t="shared" si="4"/>
        <v>1.1330118340796258</v>
      </c>
      <c r="J154" s="30">
        <f t="shared" si="4"/>
        <v>1.1534060470930592</v>
      </c>
      <c r="K154" s="30">
        <f t="shared" si="4"/>
        <v>1.1741673559407342</v>
      </c>
      <c r="L154" s="30">
        <f t="shared" si="4"/>
        <v>1.1953023683476673</v>
      </c>
      <c r="M154" s="30">
        <f t="shared" si="4"/>
        <v>1.2168178109779253</v>
      </c>
      <c r="N154" s="30">
        <f t="shared" si="4"/>
        <v>1.2387205315755279</v>
      </c>
      <c r="O154" s="30">
        <f t="shared" si="4"/>
        <v>1.2610175011438873</v>
      </c>
      <c r="P154" s="30">
        <f t="shared" si="4"/>
        <v>1.2837158161644773</v>
      </c>
      <c r="Q154" s="30">
        <f t="shared" si="4"/>
        <v>1.3068227008554378</v>
      </c>
      <c r="R154" s="30">
        <f t="shared" si="4"/>
        <v>1.3303455094708356</v>
      </c>
      <c r="S154" s="30">
        <f t="shared" si="4"/>
        <v>1.3542917286413108</v>
      </c>
      <c r="T154" s="30">
        <f t="shared" si="4"/>
        <v>1.3786689797568543</v>
      </c>
      <c r="U154" s="30">
        <f t="shared" si="4"/>
        <v>1.4034850213924777</v>
      </c>
      <c r="V154" s="30">
        <f t="shared" si="4"/>
        <v>1.4287477517775422</v>
      </c>
      <c r="W154" s="30">
        <f t="shared" si="4"/>
        <v>1.454465211309538</v>
      </c>
      <c r="X154" s="30">
        <f t="shared" si="4"/>
        <v>1.4806455851131097</v>
      </c>
      <c r="Y154" s="30">
        <f t="shared" si="4"/>
        <v>1.5072972056451457</v>
      </c>
      <c r="Z154" s="30">
        <f t="shared" si="4"/>
        <v>1.5344285553467583</v>
      </c>
      <c r="AA154" s="30">
        <f t="shared" si="4"/>
        <v>1.562048269343</v>
      </c>
      <c r="AB154" s="18"/>
    </row>
    <row r="155" spans="1:28" x14ac:dyDescent="0.2">
      <c r="A155" s="19" t="s">
        <v>41</v>
      </c>
      <c r="B155" s="10">
        <f>B6</f>
        <v>21400</v>
      </c>
      <c r="C155" s="10">
        <f>$B$155*C153/C154</f>
        <v>22072.691552062868</v>
      </c>
      <c r="D155" s="10">
        <f t="shared" ref="D155:AA155" si="5">$B$155*D153/D154</f>
        <v>22766.528614603154</v>
      </c>
      <c r="E155" s="10">
        <f t="shared" si="5"/>
        <v>23482.175879502272</v>
      </c>
      <c r="F155" s="10">
        <f t="shared" si="5"/>
        <v>24220.318932688988</v>
      </c>
      <c r="G155" s="10">
        <f t="shared" si="5"/>
        <v>24981.664910926756</v>
      </c>
      <c r="H155" s="10">
        <f t="shared" si="5"/>
        <v>25766.943179246657</v>
      </c>
      <c r="I155" s="10">
        <f t="shared" si="5"/>
        <v>26576.906029674843</v>
      </c>
      <c r="J155" s="10">
        <f t="shared" si="5"/>
        <v>27412.329401923955</v>
      </c>
      <c r="K155" s="10">
        <f t="shared" si="5"/>
        <v>28274.013626738852</v>
      </c>
      <c r="L155" s="10">
        <f t="shared" si="5"/>
        <v>29162.784192608837</v>
      </c>
      <c r="M155" s="10">
        <f t="shared" si="5"/>
        <v>30079.492536580827</v>
      </c>
      <c r="N155" s="10">
        <f t="shared" si="5"/>
        <v>31025.016859931111</v>
      </c>
      <c r="O155" s="10">
        <f t="shared" si="5"/>
        <v>32000.262969477088</v>
      </c>
      <c r="P155" s="10">
        <f t="shared" si="5"/>
        <v>33006.165145334919</v>
      </c>
      <c r="Q155" s="10">
        <f t="shared" si="5"/>
        <v>34043.687035954485</v>
      </c>
      <c r="R155" s="10">
        <f t="shared" si="5"/>
        <v>35113.822581289009</v>
      </c>
      <c r="S155" s="10">
        <f t="shared" si="5"/>
        <v>36217.596964983757</v>
      </c>
      <c r="T155" s="10">
        <f t="shared" si="5"/>
        <v>37356.06759649601</v>
      </c>
      <c r="U155" s="10">
        <f t="shared" si="5"/>
        <v>38530.325124087241</v>
      </c>
      <c r="V155" s="10">
        <f t="shared" si="5"/>
        <v>39741.494479657769</v>
      </c>
      <c r="W155" s="10">
        <f t="shared" si="5"/>
        <v>40990.735956425015</v>
      </c>
      <c r="X155" s="10">
        <f t="shared" si="5"/>
        <v>42279.246320477665</v>
      </c>
      <c r="Y155" s="10">
        <f t="shared" si="5"/>
        <v>43608.259957270675</v>
      </c>
      <c r="Z155" s="10">
        <f t="shared" si="5"/>
        <v>44979.05005415935</v>
      </c>
      <c r="AA155" s="10">
        <f t="shared" si="5"/>
        <v>46392.929820105419</v>
      </c>
      <c r="AB155" s="18"/>
    </row>
    <row r="156" spans="1:28" ht="10.5" x14ac:dyDescent="0.25">
      <c r="AB156" s="18"/>
    </row>
    <row r="157" spans="1:28" x14ac:dyDescent="0.2">
      <c r="A157" s="27" t="s">
        <v>66</v>
      </c>
      <c r="AB157" s="18"/>
    </row>
    <row r="158" spans="1:28" x14ac:dyDescent="0.2">
      <c r="A158" s="27" t="s">
        <v>67</v>
      </c>
      <c r="AB158" s="18"/>
    </row>
    <row r="159" spans="1:28" x14ac:dyDescent="0.2">
      <c r="A159" s="23" t="s">
        <v>34</v>
      </c>
      <c r="AB159" s="18"/>
    </row>
    <row r="160" spans="1:28" s="55" customFormat="1" x14ac:dyDescent="0.2">
      <c r="A160" s="54" t="s">
        <v>1</v>
      </c>
      <c r="C160" s="56">
        <f t="shared" ref="C160:F173" si="6">$B9*C$39</f>
        <v>7596.96</v>
      </c>
      <c r="D160" s="56">
        <f t="shared" si="6"/>
        <v>73437.279999999999</v>
      </c>
      <c r="E160" s="56">
        <f t="shared" si="6"/>
        <v>126616</v>
      </c>
      <c r="F160" s="56">
        <f t="shared" si="6"/>
        <v>45581.759999999995</v>
      </c>
      <c r="AB160" s="57"/>
    </row>
    <row r="161" spans="1:28" x14ac:dyDescent="0.2">
      <c r="A161" s="24" t="s">
        <v>2</v>
      </c>
      <c r="C161" s="10">
        <f t="shared" si="6"/>
        <v>5151.87</v>
      </c>
      <c r="D161" s="10">
        <f t="shared" si="6"/>
        <v>49801.409999999996</v>
      </c>
      <c r="E161" s="10">
        <f t="shared" si="6"/>
        <v>85864.5</v>
      </c>
      <c r="F161" s="10">
        <f t="shared" si="6"/>
        <v>30911.219999999998</v>
      </c>
      <c r="AB161" s="18"/>
    </row>
    <row r="162" spans="1:28" x14ac:dyDescent="0.2">
      <c r="A162" s="24" t="s">
        <v>3</v>
      </c>
      <c r="C162" s="10">
        <f t="shared" si="6"/>
        <v>25.8</v>
      </c>
      <c r="D162" s="10">
        <f t="shared" si="6"/>
        <v>249.39999999999998</v>
      </c>
      <c r="E162" s="10">
        <f t="shared" si="6"/>
        <v>430</v>
      </c>
      <c r="F162" s="10">
        <f t="shared" si="6"/>
        <v>154.79999999999998</v>
      </c>
      <c r="AB162" s="18"/>
    </row>
    <row r="163" spans="1:28" x14ac:dyDescent="0.2">
      <c r="A163" s="24" t="s">
        <v>4</v>
      </c>
      <c r="C163" s="10">
        <f t="shared" si="6"/>
        <v>2419.29</v>
      </c>
      <c r="D163" s="10">
        <f t="shared" si="6"/>
        <v>23386.469999999998</v>
      </c>
      <c r="E163" s="10">
        <f t="shared" si="6"/>
        <v>40321.5</v>
      </c>
      <c r="F163" s="10">
        <f t="shared" si="6"/>
        <v>14515.74</v>
      </c>
      <c r="AB163" s="18"/>
    </row>
    <row r="164" spans="1:28" s="55" customFormat="1" x14ac:dyDescent="0.2">
      <c r="A164" s="54" t="s">
        <v>5</v>
      </c>
      <c r="C164" s="56">
        <f t="shared" si="6"/>
        <v>1244.43</v>
      </c>
      <c r="D164" s="56">
        <f t="shared" si="6"/>
        <v>12029.49</v>
      </c>
      <c r="E164" s="56">
        <f t="shared" si="6"/>
        <v>20740.5</v>
      </c>
      <c r="F164" s="56">
        <f t="shared" si="6"/>
        <v>7466.58</v>
      </c>
      <c r="AB164" s="57"/>
    </row>
    <row r="165" spans="1:28" s="55" customFormat="1" x14ac:dyDescent="0.2">
      <c r="A165" s="54" t="s">
        <v>6</v>
      </c>
      <c r="C165" s="56">
        <f t="shared" si="6"/>
        <v>3063.96</v>
      </c>
      <c r="D165" s="56">
        <f t="shared" si="6"/>
        <v>29618.28</v>
      </c>
      <c r="E165" s="56">
        <f t="shared" si="6"/>
        <v>51066</v>
      </c>
      <c r="F165" s="56">
        <f t="shared" si="6"/>
        <v>18383.759999999998</v>
      </c>
      <c r="AB165" s="57"/>
    </row>
    <row r="166" spans="1:28" x14ac:dyDescent="0.2">
      <c r="A166" s="4" t="s">
        <v>7</v>
      </c>
      <c r="C166" s="10">
        <f t="shared" si="6"/>
        <v>141.23999999999998</v>
      </c>
      <c r="D166" s="10">
        <f t="shared" si="6"/>
        <v>1365.32</v>
      </c>
      <c r="E166" s="10">
        <f t="shared" si="6"/>
        <v>2354</v>
      </c>
      <c r="F166" s="10">
        <f t="shared" si="6"/>
        <v>847.43999999999994</v>
      </c>
      <c r="AB166" s="18"/>
    </row>
    <row r="167" spans="1:28" x14ac:dyDescent="0.2">
      <c r="A167" s="4" t="s">
        <v>8</v>
      </c>
      <c r="C167" s="10">
        <f t="shared" si="6"/>
        <v>277.14</v>
      </c>
      <c r="D167" s="10">
        <f t="shared" si="6"/>
        <v>2679.02</v>
      </c>
      <c r="E167" s="10">
        <f t="shared" si="6"/>
        <v>4619</v>
      </c>
      <c r="F167" s="10">
        <f t="shared" si="6"/>
        <v>1662.84</v>
      </c>
      <c r="AB167" s="18"/>
    </row>
    <row r="168" spans="1:28" x14ac:dyDescent="0.2">
      <c r="A168" s="4" t="s">
        <v>9</v>
      </c>
      <c r="C168" s="10">
        <f t="shared" si="6"/>
        <v>0</v>
      </c>
      <c r="D168" s="10">
        <f t="shared" si="6"/>
        <v>0</v>
      </c>
      <c r="E168" s="10">
        <f t="shared" si="6"/>
        <v>0</v>
      </c>
      <c r="F168" s="10">
        <f t="shared" si="6"/>
        <v>0</v>
      </c>
      <c r="AB168" s="18"/>
    </row>
    <row r="169" spans="1:28" x14ac:dyDescent="0.2">
      <c r="A169" s="4" t="s">
        <v>10</v>
      </c>
      <c r="C169" s="10">
        <f t="shared" si="6"/>
        <v>2291.5499999999997</v>
      </c>
      <c r="D169" s="10">
        <f t="shared" si="6"/>
        <v>22151.649999999998</v>
      </c>
      <c r="E169" s="10">
        <f t="shared" si="6"/>
        <v>38192.5</v>
      </c>
      <c r="F169" s="10">
        <f t="shared" si="6"/>
        <v>13749.3</v>
      </c>
      <c r="AB169" s="18"/>
    </row>
    <row r="170" spans="1:28" x14ac:dyDescent="0.2">
      <c r="A170" s="4" t="s">
        <v>11</v>
      </c>
      <c r="C170" s="10">
        <f t="shared" si="6"/>
        <v>354.03</v>
      </c>
      <c r="D170" s="10">
        <f t="shared" si="6"/>
        <v>3422.29</v>
      </c>
      <c r="E170" s="10">
        <f t="shared" si="6"/>
        <v>5900.5</v>
      </c>
      <c r="F170" s="10">
        <f t="shared" si="6"/>
        <v>2124.1799999999998</v>
      </c>
      <c r="AB170" s="18"/>
    </row>
    <row r="171" spans="1:28" x14ac:dyDescent="0.2">
      <c r="A171" s="3" t="s">
        <v>12</v>
      </c>
      <c r="C171" s="10">
        <f t="shared" si="6"/>
        <v>0</v>
      </c>
      <c r="D171" s="10">
        <f t="shared" ref="D171:F171" si="7">$B20*D$39</f>
        <v>0</v>
      </c>
      <c r="E171" s="10">
        <f t="shared" si="7"/>
        <v>0</v>
      </c>
      <c r="F171" s="10">
        <f t="shared" si="7"/>
        <v>0</v>
      </c>
      <c r="AB171" s="18"/>
    </row>
    <row r="172" spans="1:28" s="268" customFormat="1" x14ac:dyDescent="0.2">
      <c r="A172" s="267" t="s">
        <v>194</v>
      </c>
      <c r="C172" s="269">
        <f t="shared" si="6"/>
        <v>33.51</v>
      </c>
      <c r="D172" s="269">
        <f t="shared" ref="D172:F172" si="8">$B21*D$39</f>
        <v>323.92999999999995</v>
      </c>
      <c r="E172" s="269">
        <f t="shared" si="8"/>
        <v>558.5</v>
      </c>
      <c r="F172" s="269">
        <f t="shared" si="8"/>
        <v>201.06</v>
      </c>
    </row>
    <row r="173" spans="1:28" x14ac:dyDescent="0.2">
      <c r="A173" s="5" t="s">
        <v>14</v>
      </c>
      <c r="C173" s="10">
        <f t="shared" si="6"/>
        <v>1193.8799999999999</v>
      </c>
      <c r="D173" s="10">
        <f t="shared" si="6"/>
        <v>11540.839999999998</v>
      </c>
      <c r="E173" s="10">
        <f t="shared" si="6"/>
        <v>19898</v>
      </c>
      <c r="F173" s="10">
        <f t="shared" si="6"/>
        <v>7163.28</v>
      </c>
      <c r="AB173" s="18"/>
    </row>
    <row r="174" spans="1:28" x14ac:dyDescent="0.2">
      <c r="A174" s="23" t="s">
        <v>35</v>
      </c>
      <c r="C174" s="10"/>
      <c r="D174" s="10"/>
      <c r="E174" s="10"/>
      <c r="F174" s="10"/>
      <c r="AB174" s="18"/>
    </row>
    <row r="175" spans="1:28" x14ac:dyDescent="0.2">
      <c r="A175" s="3" t="s">
        <v>15</v>
      </c>
      <c r="C175" s="10">
        <f t="shared" ref="C175:F189" si="9">$B24*C$39</f>
        <v>613.94999999999993</v>
      </c>
      <c r="D175" s="10">
        <f t="shared" si="9"/>
        <v>5934.8499999999995</v>
      </c>
      <c r="E175" s="10">
        <f t="shared" si="9"/>
        <v>10232.5</v>
      </c>
      <c r="F175" s="10">
        <f t="shared" si="9"/>
        <v>3683.7</v>
      </c>
      <c r="AB175" s="18"/>
    </row>
    <row r="176" spans="1:28" x14ac:dyDescent="0.2">
      <c r="A176" s="24" t="s">
        <v>16</v>
      </c>
      <c r="C176" s="10">
        <f t="shared" si="9"/>
        <v>6.63</v>
      </c>
      <c r="D176" s="10">
        <f t="shared" si="9"/>
        <v>64.089999999999989</v>
      </c>
      <c r="E176" s="10">
        <f t="shared" si="9"/>
        <v>110.5</v>
      </c>
      <c r="F176" s="10">
        <f t="shared" si="9"/>
        <v>39.78</v>
      </c>
      <c r="AB176" s="18"/>
    </row>
    <row r="177" spans="1:28" x14ac:dyDescent="0.2">
      <c r="A177" s="24" t="s">
        <v>17</v>
      </c>
      <c r="C177" s="10">
        <f t="shared" si="9"/>
        <v>607.31999999999994</v>
      </c>
      <c r="D177" s="10">
        <f t="shared" si="9"/>
        <v>5870.7599999999993</v>
      </c>
      <c r="E177" s="10">
        <f t="shared" si="9"/>
        <v>10122</v>
      </c>
      <c r="F177" s="10">
        <f t="shared" si="9"/>
        <v>3643.92</v>
      </c>
      <c r="AB177" s="18"/>
    </row>
    <row r="178" spans="1:28" x14ac:dyDescent="0.2">
      <c r="A178" s="25" t="s">
        <v>18</v>
      </c>
      <c r="C178" s="10">
        <f t="shared" si="9"/>
        <v>29010.3</v>
      </c>
      <c r="D178" s="10">
        <f t="shared" si="9"/>
        <v>280432.89999999997</v>
      </c>
      <c r="E178" s="10">
        <f t="shared" si="9"/>
        <v>483505</v>
      </c>
      <c r="F178" s="10">
        <f t="shared" si="9"/>
        <v>174061.8</v>
      </c>
      <c r="AB178" s="18"/>
    </row>
    <row r="179" spans="1:28" x14ac:dyDescent="0.2">
      <c r="A179" s="6" t="s">
        <v>19</v>
      </c>
      <c r="C179" s="10">
        <f t="shared" si="9"/>
        <v>28029.48</v>
      </c>
      <c r="D179" s="10">
        <f t="shared" si="9"/>
        <v>270951.63999999996</v>
      </c>
      <c r="E179" s="10">
        <f t="shared" si="9"/>
        <v>467158</v>
      </c>
      <c r="F179" s="10">
        <f t="shared" si="9"/>
        <v>168176.88</v>
      </c>
      <c r="AB179" s="18"/>
    </row>
    <row r="180" spans="1:28" x14ac:dyDescent="0.2">
      <c r="A180" s="24" t="s">
        <v>20</v>
      </c>
      <c r="C180" s="10">
        <f t="shared" si="9"/>
        <v>980.81999999999994</v>
      </c>
      <c r="D180" s="10">
        <f t="shared" si="9"/>
        <v>9481.26</v>
      </c>
      <c r="E180" s="10">
        <f t="shared" si="9"/>
        <v>16347</v>
      </c>
      <c r="F180" s="10">
        <f t="shared" si="9"/>
        <v>5884.92</v>
      </c>
      <c r="AB180" s="18"/>
    </row>
    <row r="181" spans="1:28" x14ac:dyDescent="0.2">
      <c r="A181" s="3" t="s">
        <v>6</v>
      </c>
      <c r="C181" s="10">
        <f t="shared" si="9"/>
        <v>5742.5999999999995</v>
      </c>
      <c r="D181" s="10">
        <f t="shared" si="9"/>
        <v>55511.799999999996</v>
      </c>
      <c r="E181" s="10">
        <f t="shared" si="9"/>
        <v>95710</v>
      </c>
      <c r="F181" s="10">
        <f t="shared" si="9"/>
        <v>34455.599999999999</v>
      </c>
      <c r="AB181" s="18"/>
    </row>
    <row r="182" spans="1:28" x14ac:dyDescent="0.2">
      <c r="A182" s="7" t="s">
        <v>7</v>
      </c>
      <c r="C182" s="10">
        <f t="shared" si="9"/>
        <v>0</v>
      </c>
      <c r="D182" s="10">
        <f t="shared" si="9"/>
        <v>0</v>
      </c>
      <c r="E182" s="10">
        <f t="shared" si="9"/>
        <v>0</v>
      </c>
      <c r="F182" s="10">
        <f t="shared" si="9"/>
        <v>0</v>
      </c>
      <c r="AB182" s="18"/>
    </row>
    <row r="183" spans="1:28" x14ac:dyDescent="0.2">
      <c r="A183" s="7" t="s">
        <v>21</v>
      </c>
      <c r="C183" s="10">
        <f t="shared" si="9"/>
        <v>0</v>
      </c>
      <c r="D183" s="10">
        <f t="shared" si="9"/>
        <v>0</v>
      </c>
      <c r="E183" s="10">
        <f t="shared" si="9"/>
        <v>0</v>
      </c>
      <c r="F183" s="10">
        <f t="shared" si="9"/>
        <v>0</v>
      </c>
      <c r="AB183" s="18"/>
    </row>
    <row r="184" spans="1:28" x14ac:dyDescent="0.2">
      <c r="A184" s="6" t="s">
        <v>22</v>
      </c>
      <c r="C184" s="10">
        <f t="shared" si="9"/>
        <v>452.25</v>
      </c>
      <c r="D184" s="10">
        <f t="shared" si="9"/>
        <v>4371.75</v>
      </c>
      <c r="E184" s="10">
        <f t="shared" si="9"/>
        <v>7537.5</v>
      </c>
      <c r="F184" s="10">
        <f t="shared" si="9"/>
        <v>2713.5</v>
      </c>
      <c r="AB184" s="18"/>
    </row>
    <row r="185" spans="1:28" x14ac:dyDescent="0.2">
      <c r="A185" s="7" t="s">
        <v>23</v>
      </c>
      <c r="C185" s="10">
        <f t="shared" si="9"/>
        <v>60.39</v>
      </c>
      <c r="D185" s="10">
        <f t="shared" si="9"/>
        <v>583.77</v>
      </c>
      <c r="E185" s="10">
        <f t="shared" si="9"/>
        <v>1006.5</v>
      </c>
      <c r="F185" s="10">
        <f t="shared" si="9"/>
        <v>362.34</v>
      </c>
      <c r="AB185" s="18"/>
    </row>
    <row r="186" spans="1:28" x14ac:dyDescent="0.2">
      <c r="A186" s="7" t="s">
        <v>24</v>
      </c>
      <c r="C186" s="10">
        <f t="shared" si="9"/>
        <v>5229.96</v>
      </c>
      <c r="D186" s="10">
        <f t="shared" si="9"/>
        <v>50556.28</v>
      </c>
      <c r="E186" s="10">
        <f t="shared" si="9"/>
        <v>87166</v>
      </c>
      <c r="F186" s="10">
        <f t="shared" si="9"/>
        <v>31379.759999999998</v>
      </c>
      <c r="AB186" s="18"/>
    </row>
    <row r="187" spans="1:28" x14ac:dyDescent="0.2">
      <c r="A187" s="3" t="s">
        <v>12</v>
      </c>
      <c r="C187" s="10">
        <f t="shared" si="9"/>
        <v>6744.8099999999995</v>
      </c>
      <c r="D187" s="10">
        <f t="shared" ref="D187:F187" si="10">$B36*D$39</f>
        <v>65199.829999999994</v>
      </c>
      <c r="E187" s="10">
        <f t="shared" si="10"/>
        <v>112413.5</v>
      </c>
      <c r="F187" s="10">
        <f t="shared" si="10"/>
        <v>40468.86</v>
      </c>
      <c r="AB187" s="18"/>
    </row>
    <row r="188" spans="1:28" s="268" customFormat="1" x14ac:dyDescent="0.2">
      <c r="A188" s="267" t="s">
        <v>194</v>
      </c>
      <c r="C188" s="269">
        <f t="shared" si="9"/>
        <v>101.36999999999999</v>
      </c>
      <c r="D188" s="269">
        <f t="shared" ref="D188:F188" si="11">$B37*D$39</f>
        <v>979.91</v>
      </c>
      <c r="E188" s="269">
        <f t="shared" si="11"/>
        <v>1689.5</v>
      </c>
      <c r="F188" s="269">
        <f t="shared" si="11"/>
        <v>608.22</v>
      </c>
    </row>
    <row r="189" spans="1:28" x14ac:dyDescent="0.2">
      <c r="A189" s="5" t="s">
        <v>14</v>
      </c>
      <c r="C189" s="10">
        <f t="shared" si="9"/>
        <v>3175.3199999999997</v>
      </c>
      <c r="D189" s="10">
        <f t="shared" si="9"/>
        <v>30694.76</v>
      </c>
      <c r="E189" s="10">
        <f t="shared" si="9"/>
        <v>52922</v>
      </c>
      <c r="F189" s="10">
        <f t="shared" si="9"/>
        <v>19051.919999999998</v>
      </c>
      <c r="AB189" s="18"/>
    </row>
    <row r="190" spans="1:28" x14ac:dyDescent="0.2">
      <c r="A190" s="27" t="s">
        <v>68</v>
      </c>
      <c r="AB190" s="18"/>
    </row>
    <row r="191" spans="1:28" x14ac:dyDescent="0.2">
      <c r="A191" s="23" t="s">
        <v>34</v>
      </c>
      <c r="AB191" s="18"/>
    </row>
    <row r="192" spans="1:28" x14ac:dyDescent="0.2">
      <c r="A192" s="3" t="s">
        <v>1</v>
      </c>
      <c r="C192" s="10">
        <f>C160*C$154</f>
        <v>7733.7052800000001</v>
      </c>
      <c r="D192" s="10">
        <f t="shared" ref="C192:F205" si="12">D160*D$154</f>
        <v>76104.815758719997</v>
      </c>
      <c r="E192" s="10">
        <f t="shared" si="12"/>
        <v>133577.073176512</v>
      </c>
      <c r="F192" s="10">
        <f t="shared" si="12"/>
        <v>48953.325777728118</v>
      </c>
      <c r="L192" s="10"/>
      <c r="M192" s="10"/>
      <c r="N192" s="10"/>
      <c r="O192" s="10"/>
      <c r="AB192" s="18"/>
    </row>
    <row r="193" spans="1:28" x14ac:dyDescent="0.2">
      <c r="A193" s="24" t="s">
        <v>2</v>
      </c>
      <c r="C193" s="10">
        <f t="shared" si="12"/>
        <v>5244.6036599999998</v>
      </c>
      <c r="D193" s="10">
        <f t="shared" si="12"/>
        <v>51610.396416839998</v>
      </c>
      <c r="E193" s="10">
        <f t="shared" si="12"/>
        <v>90585.144055764002</v>
      </c>
      <c r="F193" s="10">
        <f t="shared" si="12"/>
        <v>33197.643593556393</v>
      </c>
      <c r="L193" s="10"/>
      <c r="M193" s="10"/>
      <c r="N193" s="10"/>
      <c r="O193" s="10"/>
      <c r="AB193" s="18"/>
    </row>
    <row r="194" spans="1:28" x14ac:dyDescent="0.2">
      <c r="A194" s="24" t="s">
        <v>3</v>
      </c>
      <c r="C194" s="10">
        <f t="shared" si="12"/>
        <v>26.264400000000002</v>
      </c>
      <c r="D194" s="10">
        <f t="shared" si="12"/>
        <v>258.45920559999996</v>
      </c>
      <c r="E194" s="10">
        <f t="shared" si="12"/>
        <v>453.64046776000004</v>
      </c>
      <c r="F194" s="10">
        <f t="shared" si="12"/>
        <v>166.25015862468479</v>
      </c>
      <c r="L194" s="10"/>
      <c r="M194" s="10"/>
      <c r="N194" s="10"/>
      <c r="O194" s="10"/>
      <c r="AB194" s="18"/>
    </row>
    <row r="195" spans="1:28" x14ac:dyDescent="0.2">
      <c r="A195" s="24" t="s">
        <v>4</v>
      </c>
      <c r="C195" s="10">
        <f t="shared" si="12"/>
        <v>2462.8372199999999</v>
      </c>
      <c r="D195" s="10">
        <f t="shared" si="12"/>
        <v>24235.960136279999</v>
      </c>
      <c r="E195" s="10">
        <f t="shared" si="12"/>
        <v>42538.288652988005</v>
      </c>
      <c r="F195" s="10">
        <f t="shared" si="12"/>
        <v>15589.432025547043</v>
      </c>
      <c r="L195" s="10"/>
      <c r="M195" s="10"/>
      <c r="N195" s="10"/>
      <c r="O195" s="10"/>
      <c r="AB195" s="18"/>
    </row>
    <row r="196" spans="1:28" x14ac:dyDescent="0.2">
      <c r="A196" s="3" t="s">
        <v>5</v>
      </c>
      <c r="C196" s="10">
        <f t="shared" si="12"/>
        <v>1266.8297400000001</v>
      </c>
      <c r="D196" s="10">
        <f t="shared" si="12"/>
        <v>12466.44919476</v>
      </c>
      <c r="E196" s="10">
        <f t="shared" si="12"/>
        <v>21880.767724596</v>
      </c>
      <c r="F196" s="10">
        <f t="shared" si="12"/>
        <v>8018.8637557099428</v>
      </c>
      <c r="L196" s="10"/>
      <c r="M196" s="10"/>
      <c r="N196" s="10"/>
      <c r="O196" s="10"/>
      <c r="AB196" s="18"/>
    </row>
    <row r="197" spans="1:28" x14ac:dyDescent="0.2">
      <c r="A197" s="3" t="s">
        <v>6</v>
      </c>
      <c r="C197" s="10">
        <f t="shared" si="12"/>
        <v>3119.1112800000001</v>
      </c>
      <c r="D197" s="10">
        <f t="shared" si="12"/>
        <v>30694.134402719999</v>
      </c>
      <c r="E197" s="10">
        <f t="shared" si="12"/>
        <v>53873.497968912001</v>
      </c>
      <c r="F197" s="10">
        <f t="shared" si="12"/>
        <v>19743.559535646869</v>
      </c>
      <c r="L197" s="10"/>
      <c r="M197" s="10"/>
      <c r="N197" s="10"/>
      <c r="O197" s="10"/>
      <c r="AB197" s="18"/>
    </row>
    <row r="198" spans="1:28" x14ac:dyDescent="0.2">
      <c r="A198" s="4" t="s">
        <v>7</v>
      </c>
      <c r="C198" s="10">
        <f t="shared" si="12"/>
        <v>143.78231999999997</v>
      </c>
      <c r="D198" s="10">
        <f t="shared" si="12"/>
        <v>1414.91388368</v>
      </c>
      <c r="E198" s="10">
        <f t="shared" si="12"/>
        <v>2483.417816528</v>
      </c>
      <c r="F198" s="10">
        <f t="shared" si="12"/>
        <v>910.12296140118144</v>
      </c>
      <c r="L198" s="10"/>
      <c r="M198" s="10"/>
      <c r="N198" s="10"/>
      <c r="O198" s="10"/>
      <c r="AB198" s="18"/>
    </row>
    <row r="199" spans="1:28" x14ac:dyDescent="0.2">
      <c r="A199" s="4" t="s">
        <v>8</v>
      </c>
      <c r="C199" s="10">
        <f t="shared" si="12"/>
        <v>282.12851999999998</v>
      </c>
      <c r="D199" s="10">
        <f t="shared" si="12"/>
        <v>2776.33272248</v>
      </c>
      <c r="E199" s="10">
        <f t="shared" si="12"/>
        <v>4872.9426060080004</v>
      </c>
      <c r="F199" s="10">
        <f t="shared" si="12"/>
        <v>1785.8360062498118</v>
      </c>
      <c r="L199" s="10"/>
      <c r="M199" s="10"/>
      <c r="N199" s="10"/>
      <c r="O199" s="10"/>
      <c r="AB199" s="18"/>
    </row>
    <row r="200" spans="1:28" x14ac:dyDescent="0.2">
      <c r="A200" s="4" t="s">
        <v>9</v>
      </c>
      <c r="C200" s="10">
        <f t="shared" si="12"/>
        <v>0</v>
      </c>
      <c r="D200" s="10">
        <f t="shared" si="12"/>
        <v>0</v>
      </c>
      <c r="E200" s="10">
        <f t="shared" si="12"/>
        <v>0</v>
      </c>
      <c r="F200" s="10">
        <f t="shared" si="12"/>
        <v>0</v>
      </c>
      <c r="L200" s="10"/>
      <c r="M200" s="10"/>
      <c r="N200" s="10"/>
      <c r="O200" s="10"/>
      <c r="AB200" s="18"/>
    </row>
    <row r="201" spans="1:28" x14ac:dyDescent="0.2">
      <c r="A201" s="4" t="s">
        <v>10</v>
      </c>
      <c r="C201" s="10">
        <f t="shared" si="12"/>
        <v>2332.7978999999996</v>
      </c>
      <c r="D201" s="10">
        <f t="shared" si="12"/>
        <v>22956.2865346</v>
      </c>
      <c r="E201" s="10">
        <f t="shared" si="12"/>
        <v>40292.240848660003</v>
      </c>
      <c r="F201" s="10">
        <f t="shared" si="12"/>
        <v>14766.300426216916</v>
      </c>
      <c r="L201" s="10"/>
      <c r="M201" s="10"/>
      <c r="N201" s="10"/>
      <c r="O201" s="10"/>
      <c r="AB201" s="18"/>
    </row>
    <row r="202" spans="1:28" x14ac:dyDescent="0.2">
      <c r="A202" s="4" t="s">
        <v>11</v>
      </c>
      <c r="C202" s="10">
        <f t="shared" si="12"/>
        <v>360.40253999999999</v>
      </c>
      <c r="D202" s="10">
        <f t="shared" si="12"/>
        <v>3546.6012619600001</v>
      </c>
      <c r="E202" s="10">
        <f t="shared" si="12"/>
        <v>6224.8966977160007</v>
      </c>
      <c r="F202" s="10">
        <f t="shared" si="12"/>
        <v>2281.3001417789596</v>
      </c>
      <c r="L202" s="10"/>
      <c r="M202" s="10"/>
      <c r="N202" s="10"/>
      <c r="O202" s="10"/>
      <c r="AB202" s="18"/>
    </row>
    <row r="203" spans="1:28" x14ac:dyDescent="0.2">
      <c r="A203" s="3" t="s">
        <v>12</v>
      </c>
      <c r="C203" s="10">
        <f t="shared" si="12"/>
        <v>0</v>
      </c>
      <c r="D203" s="10">
        <f t="shared" si="12"/>
        <v>0</v>
      </c>
      <c r="E203" s="10">
        <f t="shared" si="12"/>
        <v>0</v>
      </c>
      <c r="F203" s="10">
        <f t="shared" si="12"/>
        <v>0</v>
      </c>
      <c r="L203" s="10"/>
      <c r="M203" s="10"/>
      <c r="N203" s="10"/>
      <c r="O203" s="10"/>
      <c r="AB203" s="18"/>
    </row>
    <row r="204" spans="1:28" x14ac:dyDescent="0.2">
      <c r="A204" s="3" t="s">
        <v>13</v>
      </c>
      <c r="C204" s="10">
        <f t="shared" si="12"/>
        <v>34.11318</v>
      </c>
      <c r="D204" s="10">
        <f t="shared" si="12"/>
        <v>335.69643331999998</v>
      </c>
      <c r="E204" s="10">
        <f t="shared" si="12"/>
        <v>589.20511917200008</v>
      </c>
      <c r="F204" s="10">
        <f t="shared" si="12"/>
        <v>215.93189207415458</v>
      </c>
      <c r="L204" s="10"/>
      <c r="M204" s="10"/>
      <c r="N204" s="10"/>
      <c r="O204" s="10"/>
      <c r="AB204" s="18"/>
    </row>
    <row r="205" spans="1:28" x14ac:dyDescent="0.2">
      <c r="A205" s="5" t="s">
        <v>14</v>
      </c>
      <c r="C205" s="10">
        <f t="shared" si="12"/>
        <v>1215.3698399999998</v>
      </c>
      <c r="D205" s="10">
        <f t="shared" si="12"/>
        <v>11960.049472159999</v>
      </c>
      <c r="E205" s="10">
        <f t="shared" si="12"/>
        <v>20991.948901136002</v>
      </c>
      <c r="F205" s="10">
        <f t="shared" si="12"/>
        <v>7693.1294332883217</v>
      </c>
      <c r="L205" s="10"/>
      <c r="M205" s="10"/>
      <c r="N205" s="10"/>
      <c r="O205" s="10"/>
      <c r="AB205" s="18"/>
    </row>
    <row r="206" spans="1:28" x14ac:dyDescent="0.2">
      <c r="A206" s="23" t="s">
        <v>35</v>
      </c>
      <c r="L206" s="10"/>
      <c r="M206" s="10"/>
      <c r="N206" s="10"/>
      <c r="O206" s="10"/>
      <c r="AB206" s="18"/>
    </row>
    <row r="207" spans="1:28" x14ac:dyDescent="0.2">
      <c r="A207" s="3" t="s">
        <v>15</v>
      </c>
      <c r="C207" s="10">
        <f>C175*C$153</f>
        <v>644.64749999999992</v>
      </c>
      <c r="D207" s="10">
        <f t="shared" ref="C207:F221" si="13">D175*D$153</f>
        <v>6543.1721250000001</v>
      </c>
      <c r="E207" s="10">
        <f t="shared" si="13"/>
        <v>11845.397812500001</v>
      </c>
      <c r="F207" s="10">
        <f t="shared" si="13"/>
        <v>4477.5603731250003</v>
      </c>
      <c r="L207" s="10"/>
      <c r="M207" s="10"/>
      <c r="N207" s="10"/>
      <c r="O207" s="10"/>
      <c r="AB207" s="18"/>
    </row>
    <row r="208" spans="1:28" x14ac:dyDescent="0.2">
      <c r="A208" s="24" t="s">
        <v>16</v>
      </c>
      <c r="C208" s="10">
        <f t="shared" si="13"/>
        <v>6.9615</v>
      </c>
      <c r="D208" s="10">
        <f t="shared" si="13"/>
        <v>70.659224999999992</v>
      </c>
      <c r="E208" s="10">
        <f t="shared" si="13"/>
        <v>127.91756250000002</v>
      </c>
      <c r="F208" s="10">
        <f t="shared" si="13"/>
        <v>48.352838625000011</v>
      </c>
      <c r="L208" s="10"/>
      <c r="M208" s="10"/>
      <c r="N208" s="10"/>
      <c r="O208" s="10"/>
      <c r="AB208" s="18"/>
    </row>
    <row r="209" spans="1:28" x14ac:dyDescent="0.2">
      <c r="A209" s="24" t="s">
        <v>17</v>
      </c>
      <c r="C209" s="10">
        <f t="shared" si="13"/>
        <v>637.68599999999992</v>
      </c>
      <c r="D209" s="10">
        <f t="shared" si="13"/>
        <v>6472.5128999999997</v>
      </c>
      <c r="E209" s="10">
        <f t="shared" si="13"/>
        <v>11717.480250000001</v>
      </c>
      <c r="F209" s="10">
        <f t="shared" si="13"/>
        <v>4429.2075345000012</v>
      </c>
      <c r="L209" s="10"/>
      <c r="M209" s="10"/>
      <c r="N209" s="10"/>
      <c r="O209" s="10"/>
      <c r="AB209" s="18"/>
    </row>
    <row r="210" spans="1:28" x14ac:dyDescent="0.2">
      <c r="A210" s="25" t="s">
        <v>18</v>
      </c>
      <c r="C210" s="10">
        <f t="shared" si="13"/>
        <v>30460.815000000002</v>
      </c>
      <c r="D210" s="10">
        <f t="shared" si="13"/>
        <v>309177.27224999998</v>
      </c>
      <c r="E210" s="10">
        <f t="shared" si="13"/>
        <v>559717.47562500008</v>
      </c>
      <c r="F210" s="10">
        <f t="shared" si="13"/>
        <v>211573.20578625004</v>
      </c>
      <c r="L210" s="10"/>
      <c r="M210" s="10"/>
      <c r="N210" s="10"/>
      <c r="O210" s="10"/>
      <c r="AB210" s="18"/>
    </row>
    <row r="211" spans="1:28" x14ac:dyDescent="0.2">
      <c r="A211" s="6" t="s">
        <v>19</v>
      </c>
      <c r="C211" s="10">
        <f t="shared" si="13"/>
        <v>29430.954000000002</v>
      </c>
      <c r="D211" s="10">
        <f t="shared" si="13"/>
        <v>298724.18309999997</v>
      </c>
      <c r="E211" s="10">
        <f t="shared" si="13"/>
        <v>540793.7797500001</v>
      </c>
      <c r="F211" s="10">
        <f t="shared" si="13"/>
        <v>204420.04874550004</v>
      </c>
      <c r="L211" s="10"/>
      <c r="M211" s="10"/>
      <c r="N211" s="10"/>
      <c r="O211" s="10"/>
      <c r="AB211" s="18"/>
    </row>
    <row r="212" spans="1:28" x14ac:dyDescent="0.2">
      <c r="A212" s="24" t="s">
        <v>20</v>
      </c>
      <c r="C212" s="10">
        <f t="shared" si="13"/>
        <v>1029.8609999999999</v>
      </c>
      <c r="D212" s="10">
        <f t="shared" si="13"/>
        <v>10453.08915</v>
      </c>
      <c r="E212" s="10">
        <f t="shared" si="13"/>
        <v>18923.695875000001</v>
      </c>
      <c r="F212" s="10">
        <f t="shared" si="13"/>
        <v>7153.1570407500012</v>
      </c>
      <c r="L212" s="10"/>
      <c r="M212" s="10"/>
      <c r="N212" s="10"/>
      <c r="O212" s="10"/>
      <c r="AB212" s="18"/>
    </row>
    <row r="213" spans="1:28" x14ac:dyDescent="0.2">
      <c r="A213" s="3" t="s">
        <v>6</v>
      </c>
      <c r="C213" s="10">
        <f t="shared" si="13"/>
        <v>6029.73</v>
      </c>
      <c r="D213" s="10">
        <f t="shared" si="13"/>
        <v>61201.7595</v>
      </c>
      <c r="E213" s="10">
        <f t="shared" si="13"/>
        <v>110796.28875000001</v>
      </c>
      <c r="F213" s="10">
        <f t="shared" si="13"/>
        <v>41880.997147500006</v>
      </c>
      <c r="L213" s="10"/>
      <c r="M213" s="10"/>
      <c r="N213" s="10"/>
      <c r="O213" s="10"/>
      <c r="AB213" s="18"/>
    </row>
    <row r="214" spans="1:28" x14ac:dyDescent="0.2">
      <c r="A214" s="7" t="s">
        <v>7</v>
      </c>
      <c r="C214" s="10">
        <f t="shared" si="13"/>
        <v>0</v>
      </c>
      <c r="D214" s="10">
        <f t="shared" si="13"/>
        <v>0</v>
      </c>
      <c r="E214" s="10">
        <f t="shared" si="13"/>
        <v>0</v>
      </c>
      <c r="F214" s="10">
        <f t="shared" si="13"/>
        <v>0</v>
      </c>
      <c r="L214" s="10"/>
      <c r="M214" s="10"/>
      <c r="N214" s="10"/>
      <c r="O214" s="10"/>
      <c r="AB214" s="18"/>
    </row>
    <row r="215" spans="1:28" x14ac:dyDescent="0.2">
      <c r="A215" s="7" t="s">
        <v>21</v>
      </c>
      <c r="C215" s="10">
        <f t="shared" si="13"/>
        <v>0</v>
      </c>
      <c r="D215" s="10">
        <f t="shared" si="13"/>
        <v>0</v>
      </c>
      <c r="E215" s="10">
        <f t="shared" si="13"/>
        <v>0</v>
      </c>
      <c r="F215" s="10">
        <f t="shared" si="13"/>
        <v>0</v>
      </c>
      <c r="L215" s="10"/>
      <c r="M215" s="10"/>
      <c r="N215" s="10"/>
      <c r="O215" s="10"/>
      <c r="AB215" s="18"/>
    </row>
    <row r="216" spans="1:28" x14ac:dyDescent="0.2">
      <c r="A216" s="6" t="s">
        <v>22</v>
      </c>
      <c r="C216" s="10">
        <f t="shared" si="13"/>
        <v>474.86250000000001</v>
      </c>
      <c r="D216" s="10">
        <f t="shared" si="13"/>
        <v>4819.8543749999999</v>
      </c>
      <c r="E216" s="10">
        <f t="shared" si="13"/>
        <v>8725.5984375000007</v>
      </c>
      <c r="F216" s="10">
        <f t="shared" si="13"/>
        <v>3298.2762093750007</v>
      </c>
      <c r="L216" s="10"/>
      <c r="M216" s="10"/>
      <c r="N216" s="10"/>
      <c r="O216" s="10"/>
      <c r="AB216" s="18"/>
    </row>
    <row r="217" spans="1:28" x14ac:dyDescent="0.2">
      <c r="A217" s="7" t="s">
        <v>23</v>
      </c>
      <c r="C217" s="10">
        <f t="shared" si="13"/>
        <v>63.409500000000001</v>
      </c>
      <c r="D217" s="10">
        <f t="shared" si="13"/>
        <v>643.60642499999994</v>
      </c>
      <c r="E217" s="10">
        <f t="shared" si="13"/>
        <v>1165.1495625000002</v>
      </c>
      <c r="F217" s="10">
        <f t="shared" si="13"/>
        <v>440.42653462500004</v>
      </c>
      <c r="L217" s="10"/>
      <c r="M217" s="10"/>
      <c r="N217" s="10"/>
      <c r="O217" s="10"/>
      <c r="AB217" s="18"/>
    </row>
    <row r="218" spans="1:28" x14ac:dyDescent="0.2">
      <c r="A218" s="7" t="s">
        <v>24</v>
      </c>
      <c r="C218" s="10">
        <f t="shared" si="13"/>
        <v>5491.4580000000005</v>
      </c>
      <c r="D218" s="10">
        <f t="shared" si="13"/>
        <v>55738.298699999999</v>
      </c>
      <c r="E218" s="10">
        <f t="shared" si="13"/>
        <v>100905.54075000001</v>
      </c>
      <c r="F218" s="10">
        <f t="shared" si="13"/>
        <v>38142.294403500004</v>
      </c>
      <c r="L218" s="10"/>
      <c r="M218" s="10"/>
      <c r="N218" s="10"/>
      <c r="O218" s="10"/>
      <c r="AB218" s="18"/>
    </row>
    <row r="219" spans="1:28" x14ac:dyDescent="0.2">
      <c r="A219" s="3" t="s">
        <v>12</v>
      </c>
      <c r="C219" s="10">
        <f t="shared" si="13"/>
        <v>7082.0504999999994</v>
      </c>
      <c r="D219" s="10">
        <f t="shared" si="13"/>
        <v>71882.812574999989</v>
      </c>
      <c r="E219" s="10">
        <f t="shared" si="13"/>
        <v>130132.67793750002</v>
      </c>
      <c r="F219" s="10">
        <f t="shared" si="13"/>
        <v>49190.152260375013</v>
      </c>
      <c r="L219" s="10"/>
      <c r="M219" s="10"/>
      <c r="N219" s="10"/>
      <c r="O219" s="10"/>
      <c r="AB219" s="18"/>
    </row>
    <row r="220" spans="1:28" x14ac:dyDescent="0.2">
      <c r="A220" s="3" t="s">
        <v>13</v>
      </c>
      <c r="C220" s="10">
        <f t="shared" si="13"/>
        <v>106.43849999999999</v>
      </c>
      <c r="D220" s="10">
        <f t="shared" si="13"/>
        <v>1080.3507750000001</v>
      </c>
      <c r="E220" s="10">
        <f t="shared" si="13"/>
        <v>1955.8074375000001</v>
      </c>
      <c r="F220" s="10">
        <f t="shared" si="13"/>
        <v>739.29521137500012</v>
      </c>
      <c r="L220" s="10"/>
      <c r="M220" s="10"/>
      <c r="N220" s="10"/>
      <c r="O220" s="10"/>
      <c r="AB220" s="18"/>
    </row>
    <row r="221" spans="1:28" x14ac:dyDescent="0.2">
      <c r="A221" s="5" t="s">
        <v>14</v>
      </c>
      <c r="C221" s="10">
        <f t="shared" si="13"/>
        <v>3334.0859999999998</v>
      </c>
      <c r="D221" s="10">
        <f t="shared" si="13"/>
        <v>33840.972900000001</v>
      </c>
      <c r="E221" s="10">
        <f t="shared" si="13"/>
        <v>61263.830250000006</v>
      </c>
      <c r="F221" s="10">
        <f t="shared" si="13"/>
        <v>23157.727834500001</v>
      </c>
      <c r="L221" s="10"/>
      <c r="M221" s="10"/>
      <c r="N221" s="10"/>
      <c r="O221" s="10"/>
      <c r="AB221" s="18"/>
    </row>
    <row r="222" spans="1:28" x14ac:dyDescent="0.2">
      <c r="A222" s="23" t="s">
        <v>43</v>
      </c>
      <c r="L222" s="10"/>
      <c r="M222" s="10"/>
      <c r="N222" s="10"/>
      <c r="O222" s="10"/>
      <c r="AB222" s="18"/>
    </row>
    <row r="223" spans="1:28" x14ac:dyDescent="0.2">
      <c r="A223" s="3" t="s">
        <v>15</v>
      </c>
      <c r="C223" s="10">
        <f>C207/C$155*1000</f>
        <v>29.205658878504671</v>
      </c>
      <c r="D223" s="10">
        <f t="shared" ref="D223:F223" si="14">D207/D$155*1000</f>
        <v>287.40315380373835</v>
      </c>
      <c r="E223" s="10">
        <f t="shared" si="14"/>
        <v>504.44208719345795</v>
      </c>
      <c r="F223" s="10">
        <f t="shared" si="14"/>
        <v>184.86793611465845</v>
      </c>
      <c r="L223" s="10"/>
      <c r="M223" s="10"/>
      <c r="N223" s="10"/>
      <c r="O223" s="10"/>
      <c r="AB223" s="18"/>
    </row>
    <row r="224" spans="1:28" x14ac:dyDescent="0.2">
      <c r="A224" s="24" t="s">
        <v>16</v>
      </c>
      <c r="C224" s="10">
        <f t="shared" ref="C224:F237" si="15">C208/C$155*1000</f>
        <v>0.31538971962616824</v>
      </c>
      <c r="D224" s="10">
        <f t="shared" si="15"/>
        <v>3.1036451009345791</v>
      </c>
      <c r="E224" s="10">
        <f t="shared" si="15"/>
        <v>5.4474322633644867</v>
      </c>
      <c r="F224" s="10">
        <f t="shared" si="15"/>
        <v>1.9963749758778169</v>
      </c>
      <c r="L224" s="10"/>
      <c r="M224" s="10"/>
      <c r="N224" s="10"/>
      <c r="O224" s="10"/>
      <c r="AB224" s="18"/>
    </row>
    <row r="225" spans="1:28" x14ac:dyDescent="0.2">
      <c r="A225" s="24" t="s">
        <v>17</v>
      </c>
      <c r="C225" s="10">
        <f t="shared" si="15"/>
        <v>28.8902691588785</v>
      </c>
      <c r="D225" s="10">
        <f t="shared" si="15"/>
        <v>284.29950870280373</v>
      </c>
      <c r="E225" s="10">
        <f t="shared" si="15"/>
        <v>498.99465493009347</v>
      </c>
      <c r="F225" s="10">
        <f t="shared" si="15"/>
        <v>182.87156113878066</v>
      </c>
      <c r="L225" s="10"/>
      <c r="M225" s="10"/>
      <c r="N225" s="10"/>
      <c r="O225" s="10"/>
      <c r="AB225" s="18"/>
    </row>
    <row r="226" spans="1:28" x14ac:dyDescent="0.2">
      <c r="A226" s="25" t="s">
        <v>18</v>
      </c>
      <c r="C226" s="10">
        <f t="shared" si="15"/>
        <v>1380.0226822429909</v>
      </c>
      <c r="D226" s="10">
        <f t="shared" si="15"/>
        <v>13580.343208392524</v>
      </c>
      <c r="E226" s="10">
        <f t="shared" si="15"/>
        <v>23835.84376921309</v>
      </c>
      <c r="F226" s="10">
        <f t="shared" si="15"/>
        <v>8735.3600245412126</v>
      </c>
      <c r="L226" s="10"/>
      <c r="M226" s="10"/>
      <c r="N226" s="10"/>
      <c r="O226" s="10"/>
      <c r="AB226" s="18"/>
    </row>
    <row r="227" spans="1:28" x14ac:dyDescent="0.2">
      <c r="A227" s="6" t="s">
        <v>19</v>
      </c>
      <c r="C227" s="10">
        <f t="shared" si="15"/>
        <v>1333.3649831775701</v>
      </c>
      <c r="D227" s="10">
        <f t="shared" si="15"/>
        <v>13121.200344456074</v>
      </c>
      <c r="E227" s="10">
        <f t="shared" si="15"/>
        <v>23029.968880441873</v>
      </c>
      <c r="F227" s="10">
        <f t="shared" si="15"/>
        <v>8440.0229953043363</v>
      </c>
      <c r="L227" s="10"/>
      <c r="M227" s="10"/>
      <c r="N227" s="10"/>
      <c r="O227" s="10"/>
      <c r="AB227" s="18"/>
    </row>
    <row r="228" spans="1:28" x14ac:dyDescent="0.2">
      <c r="A228" s="24" t="s">
        <v>20</v>
      </c>
      <c r="C228" s="10">
        <f t="shared" si="15"/>
        <v>46.657699065420552</v>
      </c>
      <c r="D228" s="10">
        <f t="shared" si="15"/>
        <v>459.14286393644858</v>
      </c>
      <c r="E228" s="10">
        <f t="shared" si="15"/>
        <v>805.87488877121496</v>
      </c>
      <c r="F228" s="10">
        <f t="shared" si="15"/>
        <v>295.33702923687486</v>
      </c>
      <c r="L228" s="10"/>
      <c r="M228" s="10"/>
      <c r="N228" s="10"/>
      <c r="O228" s="10"/>
      <c r="AB228" s="18"/>
    </row>
    <row r="229" spans="1:28" x14ac:dyDescent="0.2">
      <c r="A229" s="3" t="s">
        <v>6</v>
      </c>
      <c r="C229" s="10">
        <f t="shared" si="15"/>
        <v>273.17601869158875</v>
      </c>
      <c r="D229" s="10">
        <f t="shared" si="15"/>
        <v>2688.2341412710284</v>
      </c>
      <c r="E229" s="10">
        <f t="shared" si="15"/>
        <v>4718.3144065757015</v>
      </c>
      <c r="F229" s="10">
        <f t="shared" si="15"/>
        <v>1729.1678637218629</v>
      </c>
      <c r="L229" s="10"/>
      <c r="M229" s="10"/>
      <c r="N229" s="10"/>
      <c r="O229" s="10"/>
      <c r="AB229" s="18"/>
    </row>
    <row r="230" spans="1:28" x14ac:dyDescent="0.2">
      <c r="A230" s="7" t="s">
        <v>7</v>
      </c>
      <c r="C230" s="10">
        <f t="shared" si="15"/>
        <v>0</v>
      </c>
      <c r="D230" s="10">
        <f t="shared" si="15"/>
        <v>0</v>
      </c>
      <c r="E230" s="10">
        <f t="shared" si="15"/>
        <v>0</v>
      </c>
      <c r="F230" s="10">
        <f t="shared" si="15"/>
        <v>0</v>
      </c>
      <c r="L230" s="10"/>
      <c r="M230" s="10"/>
      <c r="N230" s="10"/>
      <c r="O230" s="10"/>
      <c r="AB230" s="18"/>
    </row>
    <row r="231" spans="1:28" x14ac:dyDescent="0.2">
      <c r="A231" s="7" t="s">
        <v>21</v>
      </c>
      <c r="C231" s="10">
        <f t="shared" si="15"/>
        <v>0</v>
      </c>
      <c r="D231" s="10">
        <f t="shared" si="15"/>
        <v>0</v>
      </c>
      <c r="E231" s="10">
        <f t="shared" si="15"/>
        <v>0</v>
      </c>
      <c r="F231" s="10">
        <f t="shared" si="15"/>
        <v>0</v>
      </c>
      <c r="L231" s="10"/>
      <c r="M231" s="10"/>
      <c r="N231" s="10"/>
      <c r="O231" s="10"/>
      <c r="AB231" s="18"/>
    </row>
    <row r="232" spans="1:28" x14ac:dyDescent="0.2">
      <c r="A232" s="6" t="s">
        <v>22</v>
      </c>
      <c r="C232" s="10">
        <f t="shared" si="15"/>
        <v>21.513574766355141</v>
      </c>
      <c r="D232" s="10">
        <f t="shared" si="15"/>
        <v>211.70791808411215</v>
      </c>
      <c r="E232" s="10">
        <f t="shared" si="15"/>
        <v>371.58389760280375</v>
      </c>
      <c r="F232" s="10">
        <f t="shared" si="15"/>
        <v>136.17806679347552</v>
      </c>
      <c r="L232" s="10"/>
      <c r="M232" s="10"/>
      <c r="N232" s="10"/>
      <c r="O232" s="10"/>
      <c r="AB232" s="18"/>
    </row>
    <row r="233" spans="1:28" x14ac:dyDescent="0.2">
      <c r="A233" s="7" t="s">
        <v>23</v>
      </c>
      <c r="C233" s="10">
        <f t="shared" si="15"/>
        <v>2.8727579439252335</v>
      </c>
      <c r="D233" s="10">
        <f t="shared" si="15"/>
        <v>28.269853340186913</v>
      </c>
      <c r="E233" s="10">
        <f t="shared" si="15"/>
        <v>49.618466724672906</v>
      </c>
      <c r="F233" s="10">
        <f t="shared" si="15"/>
        <v>18.184175685258122</v>
      </c>
      <c r="L233" s="10"/>
      <c r="M233" s="10"/>
      <c r="N233" s="10"/>
      <c r="O233" s="10"/>
      <c r="AB233" s="18"/>
    </row>
    <row r="234" spans="1:28" x14ac:dyDescent="0.2">
      <c r="A234" s="7" t="s">
        <v>24</v>
      </c>
      <c r="C234" s="10">
        <f t="shared" si="15"/>
        <v>248.78968598130842</v>
      </c>
      <c r="D234" s="10">
        <f t="shared" si="15"/>
        <v>2448.2563698467288</v>
      </c>
      <c r="E234" s="10">
        <f t="shared" si="15"/>
        <v>4297.1120422482245</v>
      </c>
      <c r="F234" s="10">
        <f t="shared" si="15"/>
        <v>1574.8056212431293</v>
      </c>
      <c r="L234" s="10"/>
      <c r="M234" s="10"/>
      <c r="N234" s="10"/>
      <c r="O234" s="10"/>
      <c r="AB234" s="18"/>
    </row>
    <row r="235" spans="1:28" x14ac:dyDescent="0.2">
      <c r="A235" s="3" t="s">
        <v>12</v>
      </c>
      <c r="C235" s="10">
        <f t="shared" si="15"/>
        <v>320.85124205607474</v>
      </c>
      <c r="D235" s="10">
        <f t="shared" si="15"/>
        <v>3157.3901226598127</v>
      </c>
      <c r="E235" s="10">
        <f t="shared" si="15"/>
        <v>5541.7640428753275</v>
      </c>
      <c r="F235" s="10">
        <f t="shared" si="15"/>
        <v>2030.94568643295</v>
      </c>
      <c r="L235" s="10"/>
      <c r="M235" s="10"/>
      <c r="N235" s="10"/>
      <c r="O235" s="10"/>
      <c r="AB235" s="18"/>
    </row>
    <row r="236" spans="1:28" x14ac:dyDescent="0.2">
      <c r="A236" s="3" t="s">
        <v>13</v>
      </c>
      <c r="C236" s="10">
        <f t="shared" si="15"/>
        <v>4.8221803738317748</v>
      </c>
      <c r="D236" s="10">
        <f t="shared" si="15"/>
        <v>47.45346966542057</v>
      </c>
      <c r="E236" s="10">
        <f t="shared" si="15"/>
        <v>83.289020895514014</v>
      </c>
      <c r="F236" s="10">
        <f t="shared" si="15"/>
        <v>30.52376037778798</v>
      </c>
      <c r="L236" s="10"/>
      <c r="M236" s="10"/>
      <c r="N236" s="10"/>
      <c r="O236" s="10"/>
      <c r="AB236" s="18"/>
    </row>
    <row r="237" spans="1:28" x14ac:dyDescent="0.2">
      <c r="A237" s="5" t="s">
        <v>14</v>
      </c>
      <c r="C237" s="10">
        <f t="shared" si="15"/>
        <v>151.05026915887851</v>
      </c>
      <c r="D237" s="10">
        <f t="shared" si="15"/>
        <v>1486.4353487028038</v>
      </c>
      <c r="E237" s="10">
        <f t="shared" si="15"/>
        <v>2608.9503189300935</v>
      </c>
      <c r="F237" s="10">
        <f t="shared" si="15"/>
        <v>956.12811288150056</v>
      </c>
      <c r="L237" s="10"/>
      <c r="M237" s="10"/>
      <c r="N237" s="10"/>
      <c r="O237" s="10"/>
      <c r="AB237" s="18"/>
    </row>
    <row r="238" spans="1:28" ht="10.5" x14ac:dyDescent="0.25">
      <c r="A238" s="5"/>
      <c r="C238" s="10"/>
      <c r="D238" s="10"/>
      <c r="E238" s="10"/>
      <c r="F238" s="10"/>
      <c r="AB238" s="18"/>
    </row>
    <row r="239" spans="1:28" x14ac:dyDescent="0.2">
      <c r="A239" s="27" t="s">
        <v>47</v>
      </c>
      <c r="C239" s="2">
        <f>C192+C196+C197+C203+C205+C223+C226+C229+C235+C237</f>
        <v>15489.322011028038</v>
      </c>
      <c r="D239" s="2">
        <f>D192+D196+D197+D203+D205+D223+D226+D229+D235+D237</f>
        <v>152425.25480318995</v>
      </c>
      <c r="E239" s="2">
        <f>E192+E196+E197+E203+E205+E223+E226+E229+E235+E237</f>
        <v>267532.60239594366</v>
      </c>
      <c r="F239" s="2">
        <f>F192+F196+F197+F203+F205+F223+F226+F229+F235+F237</f>
        <v>98045.348126065452</v>
      </c>
      <c r="AB239" s="18"/>
    </row>
    <row r="240" spans="1:28" ht="10.5" x14ac:dyDescent="0.25">
      <c r="AB240" s="18"/>
    </row>
    <row r="241" spans="1:43" x14ac:dyDescent="0.2">
      <c r="A241" s="27" t="s">
        <v>69</v>
      </c>
      <c r="AB241" s="18"/>
    </row>
    <row r="242" spans="1:43" x14ac:dyDescent="0.2">
      <c r="A242" s="8" t="s">
        <v>50</v>
      </c>
      <c r="C242" s="10">
        <v>0</v>
      </c>
      <c r="D242" s="10">
        <f>C247</f>
        <v>0</v>
      </c>
      <c r="E242" s="10">
        <f t="shared" ref="E242:M242" si="16">D247</f>
        <v>23275</v>
      </c>
      <c r="F242" s="10">
        <f t="shared" si="16"/>
        <v>268101.5</v>
      </c>
      <c r="G242" s="10">
        <f t="shared" si="16"/>
        <v>380982.59</v>
      </c>
      <c r="H242" s="10">
        <f t="shared" si="16"/>
        <v>326556.50571428571</v>
      </c>
      <c r="I242" s="10">
        <f t="shared" si="16"/>
        <v>272130.4214285714</v>
      </c>
      <c r="J242" s="10">
        <f t="shared" si="16"/>
        <v>217704.33714285711</v>
      </c>
      <c r="K242" s="10">
        <f t="shared" si="16"/>
        <v>163278.25285714283</v>
      </c>
      <c r="L242" s="10">
        <f t="shared" si="16"/>
        <v>108852.16857142854</v>
      </c>
      <c r="M242" s="10">
        <f t="shared" si="16"/>
        <v>54426.084285714249</v>
      </c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34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</row>
    <row r="243" spans="1:43" x14ac:dyDescent="0.2">
      <c r="A243" s="8" t="s">
        <v>51</v>
      </c>
      <c r="C243" s="10">
        <f>C47</f>
        <v>0</v>
      </c>
      <c r="D243" s="10">
        <f>D47</f>
        <v>23275</v>
      </c>
      <c r="E243" s="10">
        <f>E47</f>
        <v>243430</v>
      </c>
      <c r="F243" s="10">
        <f>F47</f>
        <v>96795</v>
      </c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34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</row>
    <row r="244" spans="1:43" x14ac:dyDescent="0.2">
      <c r="A244" s="8" t="s">
        <v>58</v>
      </c>
      <c r="C244" s="10">
        <f>C242*$B$48</f>
        <v>0</v>
      </c>
      <c r="D244" s="10">
        <f>D242*$B$48</f>
        <v>0</v>
      </c>
      <c r="E244" s="10">
        <f>E242*$B$48</f>
        <v>1396.5</v>
      </c>
      <c r="F244" s="10">
        <f t="shared" ref="F244" si="17">F242*$B$48</f>
        <v>16086.09</v>
      </c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34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</row>
    <row r="245" spans="1:43" x14ac:dyDescent="0.2">
      <c r="A245" s="9" t="s">
        <v>53</v>
      </c>
      <c r="C245" s="10"/>
      <c r="D245" s="10"/>
      <c r="E245" s="10"/>
      <c r="F245" s="10"/>
      <c r="G245" s="10">
        <f>G242*$B$48</f>
        <v>22858.955399999999</v>
      </c>
      <c r="H245" s="10">
        <f t="shared" ref="H245:M245" si="18">H242*$B$48</f>
        <v>19593.390342857143</v>
      </c>
      <c r="I245" s="10">
        <f t="shared" si="18"/>
        <v>16327.825285714283</v>
      </c>
      <c r="J245" s="10">
        <f t="shared" si="18"/>
        <v>13062.260228571426</v>
      </c>
      <c r="K245" s="10">
        <f t="shared" si="18"/>
        <v>9796.6951714285697</v>
      </c>
      <c r="L245" s="10">
        <f t="shared" si="18"/>
        <v>6531.1301142857119</v>
      </c>
      <c r="M245" s="10">
        <f t="shared" si="18"/>
        <v>3265.5650571428546</v>
      </c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34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</row>
    <row r="246" spans="1:43" x14ac:dyDescent="0.2">
      <c r="A246" s="9" t="s">
        <v>54</v>
      </c>
      <c r="C246" s="10"/>
      <c r="D246" s="10"/>
      <c r="E246" s="10"/>
      <c r="F246" s="10"/>
      <c r="G246" s="10">
        <f t="shared" ref="G246:M246" si="19">$F$247/$B$49</f>
        <v>54426.084285714292</v>
      </c>
      <c r="H246" s="10">
        <f t="shared" si="19"/>
        <v>54426.084285714292</v>
      </c>
      <c r="I246" s="10">
        <f t="shared" si="19"/>
        <v>54426.084285714292</v>
      </c>
      <c r="J246" s="10">
        <f t="shared" si="19"/>
        <v>54426.084285714292</v>
      </c>
      <c r="K246" s="10">
        <f t="shared" si="19"/>
        <v>54426.084285714292</v>
      </c>
      <c r="L246" s="10">
        <f t="shared" si="19"/>
        <v>54426.084285714292</v>
      </c>
      <c r="M246" s="10">
        <f t="shared" si="19"/>
        <v>54426.084285714292</v>
      </c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34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</row>
    <row r="247" spans="1:43" x14ac:dyDescent="0.2">
      <c r="A247" s="8" t="s">
        <v>55</v>
      </c>
      <c r="C247" s="10">
        <f>C242+C243+C244-C246</f>
        <v>0</v>
      </c>
      <c r="D247" s="10">
        <f>D242+D243+D244-D246</f>
        <v>23275</v>
      </c>
      <c r="E247" s="10">
        <f t="shared" ref="E247:F247" si="20">E242+E243+E244-E246</f>
        <v>268101.5</v>
      </c>
      <c r="F247" s="10">
        <f t="shared" si="20"/>
        <v>380982.59</v>
      </c>
      <c r="G247" s="10">
        <f>G242+G243-G246</f>
        <v>326556.50571428571</v>
      </c>
      <c r="H247" s="10">
        <f t="shared" ref="H247:M247" si="21">H242+H243-H246</f>
        <v>272130.4214285714</v>
      </c>
      <c r="I247" s="10">
        <f t="shared" si="21"/>
        <v>217704.33714285711</v>
      </c>
      <c r="J247" s="10">
        <f t="shared" si="21"/>
        <v>163278.25285714283</v>
      </c>
      <c r="K247" s="10">
        <f t="shared" si="21"/>
        <v>108852.16857142854</v>
      </c>
      <c r="L247" s="10">
        <f t="shared" si="21"/>
        <v>54426.084285714249</v>
      </c>
      <c r="M247" s="10">
        <f t="shared" si="21"/>
        <v>0</v>
      </c>
      <c r="N247" s="10"/>
      <c r="O247" s="10"/>
      <c r="AB247" s="18"/>
    </row>
    <row r="248" spans="1:43" ht="10.5" x14ac:dyDescent="0.25">
      <c r="A248" s="8"/>
      <c r="AB248" s="18"/>
    </row>
    <row r="249" spans="1:43" s="60" customFormat="1" x14ac:dyDescent="0.2">
      <c r="A249" s="64" t="s">
        <v>56</v>
      </c>
      <c r="C249" s="61">
        <f>C243-C245-C246</f>
        <v>0</v>
      </c>
      <c r="D249" s="61">
        <f t="shared" ref="D249:M249" si="22">D243-D245-D246</f>
        <v>23275</v>
      </c>
      <c r="E249" s="61">
        <f t="shared" si="22"/>
        <v>243430</v>
      </c>
      <c r="F249" s="61">
        <f t="shared" si="22"/>
        <v>96795</v>
      </c>
      <c r="G249" s="61">
        <f t="shared" si="22"/>
        <v>-77285.039685714291</v>
      </c>
      <c r="H249" s="61">
        <f t="shared" si="22"/>
        <v>-74019.474628571435</v>
      </c>
      <c r="I249" s="61">
        <f t="shared" si="22"/>
        <v>-70753.90957142858</v>
      </c>
      <c r="J249" s="61">
        <f t="shared" si="22"/>
        <v>-67488.344514285724</v>
      </c>
      <c r="K249" s="61">
        <f t="shared" si="22"/>
        <v>-64222.77945714286</v>
      </c>
      <c r="L249" s="61">
        <f t="shared" si="22"/>
        <v>-60957.214400000004</v>
      </c>
      <c r="M249" s="61">
        <f t="shared" si="22"/>
        <v>-57691.649342857148</v>
      </c>
      <c r="AB249" s="62"/>
    </row>
    <row r="250" spans="1:43" x14ac:dyDescent="0.2">
      <c r="A250" s="8" t="s">
        <v>57</v>
      </c>
      <c r="B250" s="21">
        <f>IRR(C249:M249)</f>
        <v>5.9999999999999831E-2</v>
      </c>
      <c r="AB250" s="18"/>
    </row>
    <row r="251" spans="1:43" x14ac:dyDescent="0.2">
      <c r="A251" s="19" t="s">
        <v>52</v>
      </c>
      <c r="B251" s="10">
        <f>SUM(C244:F244)</f>
        <v>17482.59</v>
      </c>
      <c r="AB251" s="18"/>
    </row>
    <row r="252" spans="1:43" ht="10.5" x14ac:dyDescent="0.25">
      <c r="B252" s="10"/>
      <c r="AB252" s="18"/>
    </row>
    <row r="253" spans="1:43" x14ac:dyDescent="0.2">
      <c r="A253" s="27" t="s">
        <v>70</v>
      </c>
      <c r="AB253" s="18"/>
    </row>
    <row r="254" spans="1:43" x14ac:dyDescent="0.2">
      <c r="A254" s="27" t="s">
        <v>48</v>
      </c>
      <c r="AB254" s="18"/>
    </row>
    <row r="255" spans="1:43" x14ac:dyDescent="0.2">
      <c r="A255" s="3" t="s">
        <v>45</v>
      </c>
      <c r="B255" s="10">
        <f>SUM(C192:F192)+SUM(C223:F223)</f>
        <v>267374.83882895048</v>
      </c>
      <c r="AB255" s="18"/>
    </row>
    <row r="256" spans="1:43" x14ac:dyDescent="0.2">
      <c r="A256" s="3" t="s">
        <v>44</v>
      </c>
      <c r="B256" s="10">
        <f>SUM(C196:F196)+SUM(C227:F227)</f>
        <v>89557.467618445808</v>
      </c>
      <c r="AB256" s="18"/>
    </row>
    <row r="257" spans="1:28" x14ac:dyDescent="0.2">
      <c r="A257" s="3" t="s">
        <v>46</v>
      </c>
      <c r="B257" s="10">
        <f>SUM(C197:F197)+SUM(C203:F205)+SUM(C228:F229)+SUM(C235:F237)+B251</f>
        <v>195383.84594470946</v>
      </c>
      <c r="AB257" s="18"/>
    </row>
    <row r="258" spans="1:28" s="60" customFormat="1" x14ac:dyDescent="0.2">
      <c r="A258" s="60" t="s">
        <v>49</v>
      </c>
      <c r="B258" s="61">
        <f>SUM(B255:B257)</f>
        <v>552316.15239210578</v>
      </c>
      <c r="AB258" s="62"/>
    </row>
    <row r="259" spans="1:28" x14ac:dyDescent="0.2">
      <c r="A259" s="10" t="s">
        <v>59</v>
      </c>
      <c r="G259" s="10">
        <f t="shared" ref="G259:N260" si="23">$B255/$B43</f>
        <v>33421.85485361881</v>
      </c>
      <c r="H259" s="10">
        <f t="shared" si="23"/>
        <v>33421.85485361881</v>
      </c>
      <c r="I259" s="10">
        <f t="shared" si="23"/>
        <v>33421.85485361881</v>
      </c>
      <c r="J259" s="10">
        <f t="shared" si="23"/>
        <v>33421.85485361881</v>
      </c>
      <c r="K259" s="10">
        <f t="shared" si="23"/>
        <v>33421.85485361881</v>
      </c>
      <c r="L259" s="10">
        <f t="shared" si="23"/>
        <v>33421.85485361881</v>
      </c>
      <c r="M259" s="10">
        <f t="shared" si="23"/>
        <v>33421.85485361881</v>
      </c>
      <c r="N259" s="10">
        <f t="shared" si="23"/>
        <v>33421.85485361881</v>
      </c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AB259" s="18"/>
    </row>
    <row r="260" spans="1:28" x14ac:dyDescent="0.2">
      <c r="A260" s="10" t="s">
        <v>60</v>
      </c>
      <c r="G260" s="10">
        <f t="shared" si="23"/>
        <v>7463.1223015371506</v>
      </c>
      <c r="H260" s="10">
        <f t="shared" si="23"/>
        <v>7463.1223015371506</v>
      </c>
      <c r="I260" s="10">
        <f t="shared" si="23"/>
        <v>7463.1223015371506</v>
      </c>
      <c r="J260" s="10">
        <f t="shared" si="23"/>
        <v>7463.1223015371506</v>
      </c>
      <c r="K260" s="10">
        <f t="shared" si="23"/>
        <v>7463.1223015371506</v>
      </c>
      <c r="L260" s="10">
        <f t="shared" si="23"/>
        <v>7463.1223015371506</v>
      </c>
      <c r="M260" s="10">
        <f t="shared" si="23"/>
        <v>7463.1223015371506</v>
      </c>
      <c r="N260" s="10">
        <f t="shared" si="23"/>
        <v>7463.1223015371506</v>
      </c>
      <c r="O260" s="10">
        <f>$B256/$B44</f>
        <v>7463.1223015371506</v>
      </c>
      <c r="P260" s="10">
        <f>$B256/$B44</f>
        <v>7463.1223015371506</v>
      </c>
      <c r="Q260" s="10">
        <f>$B256/$B44</f>
        <v>7463.1223015371506</v>
      </c>
      <c r="R260" s="10">
        <f>$B256/$B44</f>
        <v>7463.1223015371506</v>
      </c>
      <c r="S260" s="10"/>
      <c r="T260" s="10"/>
      <c r="U260" s="10"/>
      <c r="V260" s="10"/>
      <c r="W260" s="10"/>
      <c r="X260" s="10"/>
      <c r="AB260" s="18"/>
    </row>
    <row r="261" spans="1:28" x14ac:dyDescent="0.2">
      <c r="A261" s="19" t="s">
        <v>61</v>
      </c>
      <c r="G261" s="10">
        <f>$B257/$B45</f>
        <v>39076.769188941893</v>
      </c>
      <c r="H261" s="10">
        <f>$B257/$B45</f>
        <v>39076.769188941893</v>
      </c>
      <c r="I261" s="10">
        <f>$B257/$B45</f>
        <v>39076.769188941893</v>
      </c>
      <c r="J261" s="10">
        <f>$B257/$B45</f>
        <v>39076.769188941893</v>
      </c>
      <c r="K261" s="10">
        <f>$B257/$B45</f>
        <v>39076.769188941893</v>
      </c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AB261" s="18"/>
    </row>
    <row r="262" spans="1:28" s="60" customFormat="1" x14ac:dyDescent="0.2">
      <c r="A262" s="60" t="s">
        <v>62</v>
      </c>
      <c r="G262" s="61">
        <f>SUM(G259:G261)</f>
        <v>79961.746344097861</v>
      </c>
      <c r="H262" s="61">
        <f t="shared" ref="H262:R262" si="24">SUM(H259:H261)</f>
        <v>79961.746344097861</v>
      </c>
      <c r="I262" s="61">
        <f t="shared" si="24"/>
        <v>79961.746344097861</v>
      </c>
      <c r="J262" s="61">
        <f t="shared" si="24"/>
        <v>79961.746344097861</v>
      </c>
      <c r="K262" s="61">
        <f t="shared" si="24"/>
        <v>79961.746344097861</v>
      </c>
      <c r="L262" s="61">
        <f t="shared" si="24"/>
        <v>40884.977155155961</v>
      </c>
      <c r="M262" s="61">
        <f t="shared" si="24"/>
        <v>40884.977155155961</v>
      </c>
      <c r="N262" s="61">
        <f t="shared" si="24"/>
        <v>40884.977155155961</v>
      </c>
      <c r="O262" s="61">
        <f t="shared" si="24"/>
        <v>7463.1223015371506</v>
      </c>
      <c r="P262" s="61">
        <f t="shared" si="24"/>
        <v>7463.1223015371506</v>
      </c>
      <c r="Q262" s="61">
        <f t="shared" si="24"/>
        <v>7463.1223015371506</v>
      </c>
      <c r="R262" s="61">
        <f t="shared" si="24"/>
        <v>7463.1223015371506</v>
      </c>
      <c r="AB262" s="62"/>
    </row>
    <row r="263" spans="1:28" ht="10.5" x14ac:dyDescent="0.25">
      <c r="AB263" s="18"/>
    </row>
    <row r="264" spans="1:28" s="80" customFormat="1" x14ac:dyDescent="0.2">
      <c r="A264" s="79" t="s">
        <v>71</v>
      </c>
    </row>
    <row r="265" spans="1:28" x14ac:dyDescent="0.2">
      <c r="A265" s="19" t="s">
        <v>72</v>
      </c>
      <c r="G265" s="10">
        <f t="shared" ref="G265:AA265" si="25">$B$52*G53</f>
        <v>337500</v>
      </c>
      <c r="H265" s="10">
        <f t="shared" si="25"/>
        <v>405000</v>
      </c>
      <c r="I265" s="10">
        <f t="shared" si="25"/>
        <v>450000</v>
      </c>
      <c r="J265" s="10">
        <f t="shared" si="25"/>
        <v>450000</v>
      </c>
      <c r="K265" s="10">
        <f t="shared" si="25"/>
        <v>450000</v>
      </c>
      <c r="L265" s="10">
        <f t="shared" si="25"/>
        <v>450000</v>
      </c>
      <c r="M265" s="10">
        <f t="shared" si="25"/>
        <v>450000</v>
      </c>
      <c r="N265" s="10">
        <f t="shared" si="25"/>
        <v>450000</v>
      </c>
      <c r="O265" s="10">
        <f t="shared" si="25"/>
        <v>450000</v>
      </c>
      <c r="P265" s="10">
        <f t="shared" si="25"/>
        <v>450000</v>
      </c>
      <c r="Q265" s="10">
        <f t="shared" si="25"/>
        <v>450000</v>
      </c>
      <c r="R265" s="10">
        <f t="shared" si="25"/>
        <v>450000</v>
      </c>
      <c r="S265" s="10">
        <f t="shared" si="25"/>
        <v>450000</v>
      </c>
      <c r="T265" s="10">
        <f t="shared" si="25"/>
        <v>450000</v>
      </c>
      <c r="U265" s="10">
        <f t="shared" si="25"/>
        <v>450000</v>
      </c>
      <c r="V265" s="10">
        <f t="shared" si="25"/>
        <v>450000</v>
      </c>
      <c r="W265" s="10">
        <f t="shared" si="25"/>
        <v>450000</v>
      </c>
      <c r="X265" s="10">
        <f t="shared" si="25"/>
        <v>360000</v>
      </c>
      <c r="Y265" s="10">
        <f t="shared" si="25"/>
        <v>270000.00000000006</v>
      </c>
      <c r="Z265" s="10">
        <f t="shared" si="25"/>
        <v>180000.00000000003</v>
      </c>
      <c r="AA265" s="10">
        <f t="shared" si="25"/>
        <v>90000.000000000029</v>
      </c>
      <c r="AB265" s="18"/>
    </row>
    <row r="266" spans="1:28" x14ac:dyDescent="0.2">
      <c r="A266" s="19" t="s">
        <v>74</v>
      </c>
      <c r="G266" s="10">
        <f>$B$54*G154</f>
        <v>552.1159176186319</v>
      </c>
      <c r="H266" s="10">
        <f>$B$54*H154</f>
        <v>562.05400413576729</v>
      </c>
      <c r="I266" s="10">
        <f t="shared" ref="I266:AA266" si="26">$B$54*I154</f>
        <v>572.17097621021105</v>
      </c>
      <c r="J266" s="10">
        <f t="shared" si="26"/>
        <v>582.47005378199492</v>
      </c>
      <c r="K266" s="10">
        <f t="shared" si="26"/>
        <v>592.95451475007076</v>
      </c>
      <c r="L266" s="10">
        <f t="shared" si="26"/>
        <v>603.62769601557204</v>
      </c>
      <c r="M266" s="10">
        <f t="shared" si="26"/>
        <v>614.49299454385232</v>
      </c>
      <c r="N266" s="10">
        <f t="shared" si="26"/>
        <v>625.55386844564157</v>
      </c>
      <c r="O266" s="10">
        <f t="shared" si="26"/>
        <v>636.81383807766315</v>
      </c>
      <c r="P266" s="10">
        <f t="shared" si="26"/>
        <v>648.27648716306101</v>
      </c>
      <c r="Q266" s="10">
        <f t="shared" si="26"/>
        <v>659.94546393199607</v>
      </c>
      <c r="R266" s="10">
        <f t="shared" si="26"/>
        <v>671.82448228277201</v>
      </c>
      <c r="S266" s="10">
        <f t="shared" si="26"/>
        <v>683.91732296386192</v>
      </c>
      <c r="T266" s="10">
        <f t="shared" si="26"/>
        <v>696.22783477721146</v>
      </c>
      <c r="U266" s="10">
        <f t="shared" si="26"/>
        <v>708.75993580320119</v>
      </c>
      <c r="V266" s="10">
        <f t="shared" si="26"/>
        <v>721.51761464765877</v>
      </c>
      <c r="W266" s="10">
        <f t="shared" si="26"/>
        <v>734.50493171131666</v>
      </c>
      <c r="X266" s="10">
        <f t="shared" si="26"/>
        <v>747.72602048212036</v>
      </c>
      <c r="Y266" s="10">
        <f t="shared" si="26"/>
        <v>761.18508885079859</v>
      </c>
      <c r="Z266" s="10">
        <f t="shared" si="26"/>
        <v>774.88642045011295</v>
      </c>
      <c r="AA266" s="10">
        <f t="shared" si="26"/>
        <v>788.83437601821504</v>
      </c>
      <c r="AB266" s="18"/>
    </row>
    <row r="267" spans="1:28" x14ac:dyDescent="0.2">
      <c r="A267" s="19" t="s">
        <v>141</v>
      </c>
      <c r="G267" s="10">
        <f>G266*G265/1000</f>
        <v>186339.12219628826</v>
      </c>
      <c r="H267" s="10">
        <f t="shared" ref="H267:AA267" si="27">H266*H265/1000</f>
        <v>227631.87167498574</v>
      </c>
      <c r="I267" s="10">
        <f t="shared" si="27"/>
        <v>257476.93929459498</v>
      </c>
      <c r="J267" s="10">
        <f t="shared" si="27"/>
        <v>262111.5242018977</v>
      </c>
      <c r="K267" s="10">
        <f t="shared" si="27"/>
        <v>266829.53163753182</v>
      </c>
      <c r="L267" s="10">
        <f t="shared" si="27"/>
        <v>271632.46320700739</v>
      </c>
      <c r="M267" s="10">
        <f t="shared" si="27"/>
        <v>276521.84754473355</v>
      </c>
      <c r="N267" s="10">
        <f t="shared" si="27"/>
        <v>281499.24080053874</v>
      </c>
      <c r="O267" s="10">
        <f t="shared" si="27"/>
        <v>286566.22713494842</v>
      </c>
      <c r="P267" s="10">
        <f t="shared" si="27"/>
        <v>291724.41922337748</v>
      </c>
      <c r="Q267" s="10">
        <f t="shared" si="27"/>
        <v>296975.45876939822</v>
      </c>
      <c r="R267" s="10">
        <f t="shared" si="27"/>
        <v>302321.01702724741</v>
      </c>
      <c r="S267" s="10">
        <f t="shared" si="27"/>
        <v>307762.79533373786</v>
      </c>
      <c r="T267" s="10">
        <f t="shared" si="27"/>
        <v>313302.52564974519</v>
      </c>
      <c r="U267" s="10">
        <f t="shared" si="27"/>
        <v>318941.97111144057</v>
      </c>
      <c r="V267" s="10">
        <f t="shared" si="27"/>
        <v>324682.92659144645</v>
      </c>
      <c r="W267" s="10">
        <f t="shared" si="27"/>
        <v>330527.21927009249</v>
      </c>
      <c r="X267" s="10">
        <f t="shared" si="27"/>
        <v>269181.36737356335</v>
      </c>
      <c r="Y267" s="10">
        <f t="shared" si="27"/>
        <v>205519.97398971565</v>
      </c>
      <c r="Z267" s="10">
        <f t="shared" si="27"/>
        <v>139479.55568102034</v>
      </c>
      <c r="AA267" s="10">
        <f t="shared" si="27"/>
        <v>70995.093841639376</v>
      </c>
      <c r="AB267" s="18"/>
    </row>
    <row r="268" spans="1:28" x14ac:dyDescent="0.2">
      <c r="A268" s="19" t="s">
        <v>142</v>
      </c>
      <c r="G268" s="10">
        <f>G267*(1+$B$141)</f>
        <v>204973.03441591709</v>
      </c>
      <c r="H268" s="10">
        <f t="shared" ref="H268:AA268" si="28">H267*(1+$B$141)</f>
        <v>250395.05884248434</v>
      </c>
      <c r="I268" s="10">
        <f t="shared" si="28"/>
        <v>283224.63322405447</v>
      </c>
      <c r="J268" s="10">
        <f t="shared" si="28"/>
        <v>288322.67662208749</v>
      </c>
      <c r="K268" s="10">
        <f t="shared" si="28"/>
        <v>293512.48480128503</v>
      </c>
      <c r="L268" s="10">
        <f t="shared" si="28"/>
        <v>298795.70952770812</v>
      </c>
      <c r="M268" s="10">
        <f t="shared" si="28"/>
        <v>304174.03229920694</v>
      </c>
      <c r="N268" s="10">
        <f t="shared" si="28"/>
        <v>309649.16488059267</v>
      </c>
      <c r="O268" s="10">
        <f t="shared" si="28"/>
        <v>315222.84984844329</v>
      </c>
      <c r="P268" s="10">
        <f t="shared" si="28"/>
        <v>320896.86114571523</v>
      </c>
      <c r="Q268" s="10">
        <f t="shared" si="28"/>
        <v>326673.00464633806</v>
      </c>
      <c r="R268" s="10">
        <f t="shared" si="28"/>
        <v>332553.11872997216</v>
      </c>
      <c r="S268" s="10">
        <f t="shared" si="28"/>
        <v>338539.07486711169</v>
      </c>
      <c r="T268" s="10">
        <f t="shared" si="28"/>
        <v>344632.77821471973</v>
      </c>
      <c r="U268" s="10">
        <f t="shared" si="28"/>
        <v>350836.16822258465</v>
      </c>
      <c r="V268" s="10">
        <f t="shared" si="28"/>
        <v>357151.21925059112</v>
      </c>
      <c r="W268" s="10">
        <f t="shared" si="28"/>
        <v>363579.94119710178</v>
      </c>
      <c r="X268" s="10">
        <f t="shared" si="28"/>
        <v>296099.50411091972</v>
      </c>
      <c r="Y268" s="10">
        <f t="shared" si="28"/>
        <v>226071.97138868723</v>
      </c>
      <c r="Z268" s="10">
        <f t="shared" si="28"/>
        <v>153427.51124912238</v>
      </c>
      <c r="AA268" s="10">
        <f t="shared" si="28"/>
        <v>78094.603225803323</v>
      </c>
      <c r="AB268" s="18"/>
    </row>
    <row r="269" spans="1:28" ht="10.5" x14ac:dyDescent="0.25">
      <c r="AB269" s="18"/>
    </row>
    <row r="270" spans="1:28" x14ac:dyDescent="0.2">
      <c r="A270" s="27" t="s">
        <v>75</v>
      </c>
      <c r="AB270" s="18"/>
    </row>
    <row r="271" spans="1:28" x14ac:dyDescent="0.2">
      <c r="A271" s="19" t="s">
        <v>77</v>
      </c>
      <c r="G271" s="30">
        <f t="shared" ref="G271:AA271" si="29">$C$56*(1+$B$57)^(G1-1)</f>
        <v>7.3930116528000003</v>
      </c>
      <c r="H271" s="30">
        <f t="shared" si="29"/>
        <v>7.5408718858560002</v>
      </c>
      <c r="I271" s="30">
        <f t="shared" si="29"/>
        <v>7.6916893235731205</v>
      </c>
      <c r="J271" s="30">
        <f t="shared" si="29"/>
        <v>7.8455231100445815</v>
      </c>
      <c r="K271" s="30">
        <f t="shared" si="29"/>
        <v>8.002433572245474</v>
      </c>
      <c r="L271" s="30">
        <f t="shared" si="29"/>
        <v>8.1624822436903823</v>
      </c>
      <c r="M271" s="30">
        <f t="shared" si="29"/>
        <v>8.3257318885641904</v>
      </c>
      <c r="N271" s="30">
        <f t="shared" si="29"/>
        <v>8.4922465263354727</v>
      </c>
      <c r="O271" s="30">
        <f t="shared" si="29"/>
        <v>8.6620914568621838</v>
      </c>
      <c r="P271" s="30">
        <f t="shared" si="29"/>
        <v>8.8353332859994271</v>
      </c>
      <c r="Q271" s="30">
        <f t="shared" si="29"/>
        <v>9.0120399517194176</v>
      </c>
      <c r="R271" s="30">
        <f t="shared" si="29"/>
        <v>9.1922807507538025</v>
      </c>
      <c r="S271" s="30">
        <f t="shared" si="29"/>
        <v>9.3761263657688811</v>
      </c>
      <c r="T271" s="30">
        <f t="shared" si="29"/>
        <v>9.5636488930842596</v>
      </c>
      <c r="U271" s="30">
        <f t="shared" si="29"/>
        <v>9.7549218709459424</v>
      </c>
      <c r="V271" s="30">
        <f t="shared" si="29"/>
        <v>9.9500203083648611</v>
      </c>
      <c r="W271" s="30">
        <f t="shared" si="29"/>
        <v>10.14902071453216</v>
      </c>
      <c r="X271" s="30">
        <f t="shared" si="29"/>
        <v>10.352001128822803</v>
      </c>
      <c r="Y271" s="30">
        <f t="shared" si="29"/>
        <v>10.559041151399258</v>
      </c>
      <c r="Z271" s="30">
        <f t="shared" si="29"/>
        <v>10.770221974427242</v>
      </c>
      <c r="AA271" s="30">
        <f t="shared" si="29"/>
        <v>10.985626413915787</v>
      </c>
      <c r="AB271" s="18"/>
    </row>
    <row r="272" spans="1:28" x14ac:dyDescent="0.2">
      <c r="A272" s="19" t="s">
        <v>83</v>
      </c>
      <c r="F272" s="10">
        <f>F60</f>
        <v>12500</v>
      </c>
      <c r="G272" s="10">
        <f t="shared" ref="G272:AA272" si="30">F272*(1+G4)</f>
        <v>13125</v>
      </c>
      <c r="H272" s="10">
        <f t="shared" si="30"/>
        <v>13781.25</v>
      </c>
      <c r="I272" s="10">
        <f t="shared" si="30"/>
        <v>14470.3125</v>
      </c>
      <c r="J272" s="10">
        <f t="shared" si="30"/>
        <v>15193.828125</v>
      </c>
      <c r="K272" s="10">
        <f t="shared" si="30"/>
        <v>15953.51953125</v>
      </c>
      <c r="L272" s="10">
        <f t="shared" si="30"/>
        <v>16751.195507812499</v>
      </c>
      <c r="M272" s="10">
        <f t="shared" si="30"/>
        <v>17588.755283203125</v>
      </c>
      <c r="N272" s="10">
        <f t="shared" si="30"/>
        <v>18468.193047363282</v>
      </c>
      <c r="O272" s="10">
        <f t="shared" si="30"/>
        <v>19391.602699731448</v>
      </c>
      <c r="P272" s="10">
        <f t="shared" si="30"/>
        <v>20361.18283471802</v>
      </c>
      <c r="Q272" s="10">
        <f t="shared" si="30"/>
        <v>21379.241976453923</v>
      </c>
      <c r="R272" s="10">
        <f t="shared" si="30"/>
        <v>22448.204075276619</v>
      </c>
      <c r="S272" s="10">
        <f t="shared" si="30"/>
        <v>23570.614279040452</v>
      </c>
      <c r="T272" s="10">
        <f t="shared" si="30"/>
        <v>24749.144992992475</v>
      </c>
      <c r="U272" s="10">
        <f t="shared" si="30"/>
        <v>25986.6022426421</v>
      </c>
      <c r="V272" s="10">
        <f t="shared" si="30"/>
        <v>27285.932354774206</v>
      </c>
      <c r="W272" s="10">
        <f t="shared" si="30"/>
        <v>28650.228972512916</v>
      </c>
      <c r="X272" s="10">
        <f t="shared" si="30"/>
        <v>30082.740421138562</v>
      </c>
      <c r="Y272" s="10">
        <f t="shared" si="30"/>
        <v>31586.877442195491</v>
      </c>
      <c r="Z272" s="10">
        <f t="shared" si="30"/>
        <v>33166.221314305265</v>
      </c>
      <c r="AA272" s="10">
        <f t="shared" si="30"/>
        <v>34824.53238002053</v>
      </c>
      <c r="AB272" s="18"/>
    </row>
    <row r="273" spans="1:28" x14ac:dyDescent="0.2">
      <c r="A273" s="27" t="s">
        <v>127</v>
      </c>
      <c r="E273" s="58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8"/>
    </row>
    <row r="274" spans="1:28" x14ac:dyDescent="0.2">
      <c r="A274" s="19" t="s">
        <v>78</v>
      </c>
      <c r="G274" s="10">
        <f t="shared" ref="G274:AA274" si="31">G271*$B$58*G53/1000</f>
        <v>76803.347666261674</v>
      </c>
      <c r="H274" s="10">
        <f t="shared" si="31"/>
        <v>94007.297543504304</v>
      </c>
      <c r="I274" s="10">
        <f t="shared" si="31"/>
        <v>106541.6038826382</v>
      </c>
      <c r="J274" s="10">
        <f t="shared" si="31"/>
        <v>108672.43596029094</v>
      </c>
      <c r="K274" s="10">
        <f t="shared" si="31"/>
        <v>110845.88467949678</v>
      </c>
      <c r="L274" s="10">
        <f t="shared" si="31"/>
        <v>113062.80237308668</v>
      </c>
      <c r="M274" s="10">
        <f t="shared" si="31"/>
        <v>115324.05842054843</v>
      </c>
      <c r="N274" s="10">
        <f t="shared" si="31"/>
        <v>117630.53958895938</v>
      </c>
      <c r="O274" s="10">
        <f t="shared" si="31"/>
        <v>119983.15038073859</v>
      </c>
      <c r="P274" s="10">
        <f t="shared" si="31"/>
        <v>122382.81338835336</v>
      </c>
      <c r="Q274" s="10">
        <f t="shared" si="31"/>
        <v>124830.46965612045</v>
      </c>
      <c r="R274" s="10">
        <f t="shared" si="31"/>
        <v>127327.07904924281</v>
      </c>
      <c r="S274" s="10">
        <f t="shared" si="31"/>
        <v>129873.6206302277</v>
      </c>
      <c r="T274" s="10">
        <f t="shared" si="31"/>
        <v>132471.09304283228</v>
      </c>
      <c r="U274" s="10">
        <f t="shared" si="31"/>
        <v>135120.51490368889</v>
      </c>
      <c r="V274" s="10">
        <f t="shared" si="31"/>
        <v>137822.92520176264</v>
      </c>
      <c r="W274" s="10">
        <f t="shared" si="31"/>
        <v>140579.38370579795</v>
      </c>
      <c r="X274" s="10">
        <f t="shared" si="31"/>
        <v>114712.77710393113</v>
      </c>
      <c r="Y274" s="10">
        <f t="shared" si="31"/>
        <v>87755.274484507303</v>
      </c>
      <c r="Z274" s="10">
        <f t="shared" si="31"/>
        <v>59673.586649464967</v>
      </c>
      <c r="AA274" s="10">
        <f t="shared" si="31"/>
        <v>30433.529191227139</v>
      </c>
      <c r="AB274" s="18"/>
    </row>
    <row r="275" spans="1:28" x14ac:dyDescent="0.2">
      <c r="A275" s="19" t="s">
        <v>81</v>
      </c>
      <c r="G275" s="10">
        <f>$B$59*G53*G272/G155/1000</f>
        <v>157.45798024372246</v>
      </c>
      <c r="H275" s="10">
        <f t="shared" ref="H275:AA275" si="32">$B$59*H53*H272/H155/1000</f>
        <v>192.35066866573135</v>
      </c>
      <c r="I275" s="10">
        <f t="shared" si="32"/>
        <v>217.56997855746056</v>
      </c>
      <c r="J275" s="10">
        <f t="shared" si="32"/>
        <v>221.48623817149485</v>
      </c>
      <c r="K275" s="10">
        <f t="shared" si="32"/>
        <v>225.47299045858176</v>
      </c>
      <c r="L275" s="10">
        <f t="shared" si="32"/>
        <v>229.53150428683622</v>
      </c>
      <c r="M275" s="10">
        <f t="shared" si="32"/>
        <v>233.66307136399925</v>
      </c>
      <c r="N275" s="10">
        <f t="shared" si="32"/>
        <v>237.86900664855122</v>
      </c>
      <c r="O275" s="10">
        <f t="shared" si="32"/>
        <v>242.1506487682251</v>
      </c>
      <c r="P275" s="10">
        <f t="shared" si="32"/>
        <v>246.50936044605311</v>
      </c>
      <c r="Q275" s="10">
        <f t="shared" si="32"/>
        <v>250.9465289340821</v>
      </c>
      <c r="R275" s="10">
        <f t="shared" si="32"/>
        <v>255.46356645489556</v>
      </c>
      <c r="S275" s="10">
        <f t="shared" si="32"/>
        <v>260.06191065108362</v>
      </c>
      <c r="T275" s="10">
        <f t="shared" si="32"/>
        <v>264.7430250428032</v>
      </c>
      <c r="U275" s="10">
        <f t="shared" si="32"/>
        <v>269.50839949357362</v>
      </c>
      <c r="V275" s="10">
        <f t="shared" si="32"/>
        <v>274.35955068445799</v>
      </c>
      <c r="W275" s="10">
        <f t="shared" si="32"/>
        <v>279.2980225967782</v>
      </c>
      <c r="X275" s="10">
        <f t="shared" si="32"/>
        <v>227.46030960281612</v>
      </c>
      <c r="Y275" s="10">
        <f t="shared" si="32"/>
        <v>173.66594638175016</v>
      </c>
      <c r="Z275" s="10">
        <f t="shared" si="32"/>
        <v>117.86128894441443</v>
      </c>
      <c r="AA275" s="10">
        <f t="shared" si="32"/>
        <v>59.991396072706955</v>
      </c>
      <c r="AB275" s="18"/>
    </row>
    <row r="276" spans="1:28" s="58" customFormat="1" x14ac:dyDescent="0.2">
      <c r="A276" s="19" t="s">
        <v>82</v>
      </c>
      <c r="E276" s="19"/>
      <c r="G276" s="14">
        <f>$B$61*$B$62*G53*G153/G155/1000</f>
        <v>6.2776300184347766</v>
      </c>
      <c r="H276" s="14">
        <f t="shared" ref="H276:AA276" si="33">$B$61*$B$62*H53*H153/H155/1000</f>
        <v>7.6687528305199217</v>
      </c>
      <c r="I276" s="14">
        <f t="shared" si="33"/>
        <v>8.6742115349658686</v>
      </c>
      <c r="J276" s="14">
        <f t="shared" si="33"/>
        <v>8.8303473425952532</v>
      </c>
      <c r="K276" s="14">
        <f t="shared" si="33"/>
        <v>8.9892935947619677</v>
      </c>
      <c r="L276" s="14">
        <f t="shared" si="33"/>
        <v>9.151100879467684</v>
      </c>
      <c r="M276" s="14">
        <f t="shared" si="33"/>
        <v>9.3158206952981004</v>
      </c>
      <c r="N276" s="14">
        <f t="shared" si="33"/>
        <v>9.4835054678134671</v>
      </c>
      <c r="O276" s="14">
        <f t="shared" si="33"/>
        <v>9.6542085662341091</v>
      </c>
      <c r="P276" s="14">
        <f t="shared" si="33"/>
        <v>9.8279843204263209</v>
      </c>
      <c r="Q276" s="14">
        <f t="shared" si="33"/>
        <v>10.004888038193997</v>
      </c>
      <c r="R276" s="14">
        <f t="shared" si="33"/>
        <v>10.184976022881486</v>
      </c>
      <c r="S276" s="14">
        <f t="shared" si="33"/>
        <v>10.368305591293353</v>
      </c>
      <c r="T276" s="14">
        <f t="shared" si="33"/>
        <v>10.554935091936635</v>
      </c>
      <c r="U276" s="14">
        <f t="shared" si="33"/>
        <v>10.744923923591495</v>
      </c>
      <c r="V276" s="14">
        <f t="shared" si="33"/>
        <v>10.938332554216142</v>
      </c>
      <c r="W276" s="14">
        <f t="shared" si="33"/>
        <v>11.135222540192032</v>
      </c>
      <c r="X276" s="14">
        <f t="shared" si="33"/>
        <v>9.0685252367323894</v>
      </c>
      <c r="Y276" s="14">
        <f t="shared" si="33"/>
        <v>6.9238190182451813</v>
      </c>
      <c r="Z276" s="14">
        <f t="shared" si="33"/>
        <v>4.6989651737157301</v>
      </c>
      <c r="AA276" s="14">
        <f t="shared" si="33"/>
        <v>2.3917732734213066</v>
      </c>
      <c r="AB276" s="59"/>
    </row>
    <row r="277" spans="1:28" x14ac:dyDescent="0.2">
      <c r="A277" s="19" t="s">
        <v>99</v>
      </c>
      <c r="G277" s="10">
        <f t="shared" ref="G277:AA277" si="34">SUMPRODUCT($B$64:$B$76,$B$78:$B$90)*G53*G154/1000</f>
        <v>555.23159126978578</v>
      </c>
      <c r="H277" s="10">
        <f t="shared" si="34"/>
        <v>678.27091189517034</v>
      </c>
      <c r="I277" s="10">
        <f t="shared" si="34"/>
        <v>767.19976478809258</v>
      </c>
      <c r="J277" s="10">
        <f t="shared" si="34"/>
        <v>781.00936055427826</v>
      </c>
      <c r="K277" s="10">
        <f t="shared" si="34"/>
        <v>795.06752904425525</v>
      </c>
      <c r="L277" s="10">
        <f t="shared" si="34"/>
        <v>809.37874456705185</v>
      </c>
      <c r="M277" s="10">
        <f t="shared" si="34"/>
        <v>823.94756196925869</v>
      </c>
      <c r="N277" s="10">
        <f t="shared" si="34"/>
        <v>838.77861808470527</v>
      </c>
      <c r="O277" s="10">
        <f t="shared" si="34"/>
        <v>853.87663321023001</v>
      </c>
      <c r="P277" s="10">
        <f t="shared" si="34"/>
        <v>869.24641260801411</v>
      </c>
      <c r="Q277" s="10">
        <f t="shared" si="34"/>
        <v>884.89284803495832</v>
      </c>
      <c r="R277" s="10">
        <f t="shared" si="34"/>
        <v>900.82091929958744</v>
      </c>
      <c r="S277" s="10">
        <f t="shared" si="34"/>
        <v>917.03569584698016</v>
      </c>
      <c r="T277" s="10">
        <f t="shared" si="34"/>
        <v>933.5423383722258</v>
      </c>
      <c r="U277" s="10">
        <f t="shared" si="34"/>
        <v>950.34610046292585</v>
      </c>
      <c r="V277" s="10">
        <f t="shared" si="34"/>
        <v>967.45233027125846</v>
      </c>
      <c r="W277" s="10">
        <f t="shared" si="34"/>
        <v>984.86647221614123</v>
      </c>
      <c r="X277" s="10">
        <f t="shared" si="34"/>
        <v>802.07525497282541</v>
      </c>
      <c r="Y277" s="10">
        <f t="shared" si="34"/>
        <v>612.38445717175227</v>
      </c>
      <c r="Z277" s="10">
        <f t="shared" si="34"/>
        <v>415.60491826722921</v>
      </c>
      <c r="AA277" s="10">
        <f t="shared" si="34"/>
        <v>211.54290339801969</v>
      </c>
      <c r="AB277" s="18"/>
    </row>
    <row r="278" spans="1:28" x14ac:dyDescent="0.2">
      <c r="A278" s="19" t="s">
        <v>100</v>
      </c>
      <c r="G278" s="10">
        <f t="shared" ref="G278:AA278" si="35">SUMPRODUCT($B$92:$B$105,$B$107:$B$120)*G53*G154/1000</f>
        <v>697.65658892094064</v>
      </c>
      <c r="H278" s="10">
        <f t="shared" si="35"/>
        <v>852.25728902582091</v>
      </c>
      <c r="I278" s="10">
        <f t="shared" si="35"/>
        <v>963.99768914253968</v>
      </c>
      <c r="J278" s="10">
        <f t="shared" si="35"/>
        <v>981.34964754710541</v>
      </c>
      <c r="K278" s="10">
        <f t="shared" si="35"/>
        <v>999.01394120295333</v>
      </c>
      <c r="L278" s="10">
        <f t="shared" si="35"/>
        <v>1016.9961921446064</v>
      </c>
      <c r="M278" s="10">
        <f t="shared" si="35"/>
        <v>1035.3021236032093</v>
      </c>
      <c r="N278" s="10">
        <f t="shared" si="35"/>
        <v>1053.9375618280671</v>
      </c>
      <c r="O278" s="10">
        <f t="shared" si="35"/>
        <v>1072.9084379409721</v>
      </c>
      <c r="P278" s="10">
        <f t="shared" si="35"/>
        <v>1092.2207898239096</v>
      </c>
      <c r="Q278" s="10">
        <f t="shared" si="35"/>
        <v>1111.8807640407399</v>
      </c>
      <c r="R278" s="10">
        <f t="shared" si="35"/>
        <v>1131.8946177934731</v>
      </c>
      <c r="S278" s="10">
        <f t="shared" si="35"/>
        <v>1152.2687209137557</v>
      </c>
      <c r="T278" s="10">
        <f t="shared" si="35"/>
        <v>1173.0095578902033</v>
      </c>
      <c r="U278" s="10">
        <f t="shared" si="35"/>
        <v>1194.123729932227</v>
      </c>
      <c r="V278" s="10">
        <f t="shared" si="35"/>
        <v>1215.6179570710069</v>
      </c>
      <c r="W278" s="10">
        <f t="shared" si="35"/>
        <v>1237.4990802982852</v>
      </c>
      <c r="X278" s="10">
        <f t="shared" si="35"/>
        <v>1007.8192509949236</v>
      </c>
      <c r="Y278" s="10">
        <f t="shared" si="35"/>
        <v>769.46999813462423</v>
      </c>
      <c r="Z278" s="10">
        <f t="shared" si="35"/>
        <v>522.21363873403163</v>
      </c>
      <c r="AA278" s="10">
        <f t="shared" si="35"/>
        <v>265.80674211562217</v>
      </c>
      <c r="AB278" s="18"/>
    </row>
    <row r="279" spans="1:28" x14ac:dyDescent="0.2">
      <c r="A279" s="19" t="s">
        <v>128</v>
      </c>
      <c r="G279" s="10">
        <f t="shared" ref="G279:AA279" si="36">G121*$B$124*$B$126*G154*(1+$B$127)^G1/1000</f>
        <v>2063.2030045616789</v>
      </c>
      <c r="H279" s="10">
        <f t="shared" si="36"/>
        <v>2761.2536386261213</v>
      </c>
      <c r="I279" s="10">
        <f t="shared" si="36"/>
        <v>2951.5040143274618</v>
      </c>
      <c r="J279" s="10">
        <f t="shared" si="36"/>
        <v>3154.8626409146236</v>
      </c>
      <c r="K279" s="10">
        <f t="shared" si="36"/>
        <v>3372.2326768736416</v>
      </c>
      <c r="L279" s="10">
        <f t="shared" si="36"/>
        <v>3604.5795083102357</v>
      </c>
      <c r="M279" s="10">
        <f t="shared" si="36"/>
        <v>3852.9350364328106</v>
      </c>
      <c r="N279" s="10">
        <f t="shared" si="36"/>
        <v>4118.4022604430302</v>
      </c>
      <c r="O279" s="10">
        <f t="shared" si="36"/>
        <v>4402.1601761875554</v>
      </c>
      <c r="P279" s="10">
        <f t="shared" si="36"/>
        <v>4705.4690123268765</v>
      </c>
      <c r="Q279" s="10">
        <f t="shared" si="36"/>
        <v>5029.6758272761999</v>
      </c>
      <c r="R279" s="10">
        <f t="shared" si="36"/>
        <v>5376.2204917755298</v>
      </c>
      <c r="S279" s="10">
        <f t="shared" si="36"/>
        <v>5746.642083658865</v>
      </c>
      <c r="T279" s="10">
        <f t="shared" si="36"/>
        <v>6142.585723222961</v>
      </c>
      <c r="U279" s="10">
        <f t="shared" si="36"/>
        <v>6565.8098795530223</v>
      </c>
      <c r="V279" s="10">
        <f t="shared" si="36"/>
        <v>7018.1941802542251</v>
      </c>
      <c r="W279" s="10">
        <f t="shared" si="36"/>
        <v>7501.7477592737405</v>
      </c>
      <c r="X279" s="10">
        <f t="shared" si="36"/>
        <v>6351.3807365447155</v>
      </c>
      <c r="Y279" s="10">
        <f t="shared" si="36"/>
        <v>5091.7431519694837</v>
      </c>
      <c r="Z279" s="10">
        <f t="shared" si="36"/>
        <v>4384.287872196257</v>
      </c>
      <c r="AA279" s="10">
        <f t="shared" si="36"/>
        <v>2585.5808588085956</v>
      </c>
      <c r="AB279" s="18"/>
    </row>
    <row r="280" spans="1:28" x14ac:dyDescent="0.2">
      <c r="A280" s="27" t="s">
        <v>133</v>
      </c>
      <c r="AB280" s="18"/>
    </row>
    <row r="281" spans="1:28" x14ac:dyDescent="0.2">
      <c r="A281" s="19" t="s">
        <v>118</v>
      </c>
      <c r="G281" s="10">
        <f t="shared" ref="G281:AA281" si="37">G268*G128</f>
        <v>6149.1910324775126</v>
      </c>
      <c r="H281" s="10">
        <f t="shared" si="37"/>
        <v>7511.8517652745304</v>
      </c>
      <c r="I281" s="10">
        <f t="shared" si="37"/>
        <v>8496.7389967216332</v>
      </c>
      <c r="J281" s="10">
        <f t="shared" si="37"/>
        <v>8649.6802986626244</v>
      </c>
      <c r="K281" s="10">
        <f t="shared" si="37"/>
        <v>8805.3745440385501</v>
      </c>
      <c r="L281" s="10">
        <f t="shared" si="37"/>
        <v>5975.9141905541628</v>
      </c>
      <c r="M281" s="10">
        <f t="shared" si="37"/>
        <v>6083.4806459841393</v>
      </c>
      <c r="N281" s="10">
        <f t="shared" si="37"/>
        <v>6192.9832976118532</v>
      </c>
      <c r="O281" s="10">
        <f t="shared" si="37"/>
        <v>6304.4569969688664</v>
      </c>
      <c r="P281" s="10">
        <f t="shared" si="37"/>
        <v>6417.9372229143046</v>
      </c>
      <c r="Q281" s="10">
        <f t="shared" si="37"/>
        <v>3266.7300464633809</v>
      </c>
      <c r="R281" s="10">
        <f t="shared" si="37"/>
        <v>3325.5311872997218</v>
      </c>
      <c r="S281" s="10">
        <f t="shared" si="37"/>
        <v>3385.3907486711169</v>
      </c>
      <c r="T281" s="10">
        <f t="shared" si="37"/>
        <v>3446.3277821471975</v>
      </c>
      <c r="U281" s="10">
        <f t="shared" si="37"/>
        <v>3508.3616822258464</v>
      </c>
      <c r="V281" s="10">
        <f t="shared" si="37"/>
        <v>3571.5121925059111</v>
      </c>
      <c r="W281" s="10">
        <f t="shared" si="37"/>
        <v>3635.7994119710179</v>
      </c>
      <c r="X281" s="10">
        <f t="shared" si="37"/>
        <v>2960.9950411091972</v>
      </c>
      <c r="Y281" s="10">
        <f t="shared" si="37"/>
        <v>2260.7197138868723</v>
      </c>
      <c r="Z281" s="10">
        <f t="shared" si="37"/>
        <v>1534.2751124912238</v>
      </c>
      <c r="AA281" s="10">
        <f t="shared" si="37"/>
        <v>780.94603225803326</v>
      </c>
      <c r="AB281" s="18"/>
    </row>
    <row r="282" spans="1:28" x14ac:dyDescent="0.2">
      <c r="A282" s="19" t="s">
        <v>143</v>
      </c>
      <c r="G282" s="10">
        <f t="shared" ref="G282:AA282" si="38">$B$122*$B$125*$B$126*G154*(1+$B$127)^G1/1000</f>
        <v>500.65414916390313</v>
      </c>
      <c r="H282" s="10">
        <f t="shared" si="38"/>
        <v>535.14922004129596</v>
      </c>
      <c r="I282" s="10">
        <f t="shared" si="38"/>
        <v>572.02100130214137</v>
      </c>
      <c r="J282" s="10">
        <f t="shared" si="38"/>
        <v>611.43324829185883</v>
      </c>
      <c r="K282" s="10">
        <f t="shared" si="38"/>
        <v>653.56099909916793</v>
      </c>
      <c r="L282" s="10">
        <f t="shared" si="38"/>
        <v>698.59135193710063</v>
      </c>
      <c r="M282" s="10">
        <f t="shared" si="38"/>
        <v>746.72429608556683</v>
      </c>
      <c r="N282" s="10">
        <f t="shared" si="38"/>
        <v>798.17360008586218</v>
      </c>
      <c r="O282" s="10">
        <f t="shared" si="38"/>
        <v>853.16776113177821</v>
      </c>
      <c r="P282" s="10">
        <f t="shared" si="38"/>
        <v>911.95101987375745</v>
      </c>
      <c r="Q282" s="10">
        <f t="shared" si="38"/>
        <v>974.78444514305966</v>
      </c>
      <c r="R282" s="10">
        <f t="shared" si="38"/>
        <v>1041.9470934134163</v>
      </c>
      <c r="S282" s="10">
        <f t="shared" si="38"/>
        <v>1113.7372481496011</v>
      </c>
      <c r="T282" s="10">
        <f t="shared" si="38"/>
        <v>1190.4737445471085</v>
      </c>
      <c r="U282" s="10">
        <f t="shared" si="38"/>
        <v>1272.4973855464041</v>
      </c>
      <c r="V282" s="10">
        <f t="shared" si="38"/>
        <v>1360.1724554105513</v>
      </c>
      <c r="W282" s="10">
        <f t="shared" si="38"/>
        <v>1453.8883375883383</v>
      </c>
      <c r="X282" s="10">
        <f t="shared" si="38"/>
        <v>1554.0612440481748</v>
      </c>
      <c r="Y282" s="10">
        <f t="shared" si="38"/>
        <v>1661.1360637630942</v>
      </c>
      <c r="Z282" s="10">
        <f t="shared" si="38"/>
        <v>1775.5883385563711</v>
      </c>
      <c r="AA282" s="10">
        <f t="shared" si="38"/>
        <v>1897.9263750829055</v>
      </c>
      <c r="AB282" s="18"/>
    </row>
    <row r="283" spans="1:28" x14ac:dyDescent="0.2">
      <c r="A283" s="19" t="s">
        <v>119</v>
      </c>
      <c r="G283" s="10">
        <f>$B$130*($B$131+$B$132)/1000</f>
        <v>81.599999999999994</v>
      </c>
      <c r="H283" s="10">
        <f t="shared" ref="H283:AA283" si="39">$B$130*($B$131+$B$132)/1000</f>
        <v>81.599999999999994</v>
      </c>
      <c r="I283" s="10">
        <f t="shared" si="39"/>
        <v>81.599999999999994</v>
      </c>
      <c r="J283" s="10">
        <f t="shared" si="39"/>
        <v>81.599999999999994</v>
      </c>
      <c r="K283" s="10">
        <f t="shared" si="39"/>
        <v>81.599999999999994</v>
      </c>
      <c r="L283" s="10">
        <f t="shared" si="39"/>
        <v>81.599999999999994</v>
      </c>
      <c r="M283" s="10">
        <f t="shared" si="39"/>
        <v>81.599999999999994</v>
      </c>
      <c r="N283" s="10">
        <f t="shared" si="39"/>
        <v>81.599999999999994</v>
      </c>
      <c r="O283" s="10">
        <f t="shared" si="39"/>
        <v>81.599999999999994</v>
      </c>
      <c r="P283" s="10">
        <f t="shared" si="39"/>
        <v>81.599999999999994</v>
      </c>
      <c r="Q283" s="10">
        <f t="shared" si="39"/>
        <v>81.599999999999994</v>
      </c>
      <c r="R283" s="10">
        <f t="shared" si="39"/>
        <v>81.599999999999994</v>
      </c>
      <c r="S283" s="10">
        <f t="shared" si="39"/>
        <v>81.599999999999994</v>
      </c>
      <c r="T283" s="10">
        <f t="shared" si="39"/>
        <v>81.599999999999994</v>
      </c>
      <c r="U283" s="10">
        <f t="shared" si="39"/>
        <v>81.599999999999994</v>
      </c>
      <c r="V283" s="10">
        <f t="shared" si="39"/>
        <v>81.599999999999994</v>
      </c>
      <c r="W283" s="10">
        <f t="shared" si="39"/>
        <v>81.599999999999994</v>
      </c>
      <c r="X283" s="10">
        <f t="shared" si="39"/>
        <v>81.599999999999994</v>
      </c>
      <c r="Y283" s="10">
        <f t="shared" si="39"/>
        <v>81.599999999999994</v>
      </c>
      <c r="Z283" s="10">
        <f t="shared" si="39"/>
        <v>81.599999999999994</v>
      </c>
      <c r="AA283" s="10">
        <f t="shared" si="39"/>
        <v>81.599999999999994</v>
      </c>
      <c r="AB283" s="18"/>
    </row>
    <row r="284" spans="1:28" x14ac:dyDescent="0.2">
      <c r="A284" s="19" t="s">
        <v>121</v>
      </c>
      <c r="G284" s="10">
        <f t="shared" ref="G284:AA289" si="40">$B$258*$B134*G$154/$F$154</f>
        <v>2811.2892156758185</v>
      </c>
      <c r="H284" s="10">
        <f t="shared" si="40"/>
        <v>2861.8924215579832</v>
      </c>
      <c r="I284" s="10">
        <f t="shared" si="40"/>
        <v>2913.4064851460271</v>
      </c>
      <c r="J284" s="10">
        <f t="shared" si="40"/>
        <v>2965.8478018786554</v>
      </c>
      <c r="K284" s="10">
        <f t="shared" si="40"/>
        <v>3019.2330623124708</v>
      </c>
      <c r="L284" s="10">
        <f t="shared" si="40"/>
        <v>3073.5792574340953</v>
      </c>
      <c r="M284" s="10">
        <f t="shared" si="40"/>
        <v>3128.9036840679091</v>
      </c>
      <c r="N284" s="10">
        <f t="shared" si="40"/>
        <v>3185.2239503811311</v>
      </c>
      <c r="O284" s="10">
        <f t="shared" si="40"/>
        <v>3242.5579814879911</v>
      </c>
      <c r="P284" s="10">
        <f t="shared" si="40"/>
        <v>3300.9240251547749</v>
      </c>
      <c r="Q284" s="10">
        <f t="shared" si="40"/>
        <v>3360.3406576075608</v>
      </c>
      <c r="R284" s="10">
        <f t="shared" si="40"/>
        <v>3420.8267894444966</v>
      </c>
      <c r="S284" s="10">
        <f t="shared" si="40"/>
        <v>3482.4016716544984</v>
      </c>
      <c r="T284" s="10">
        <f t="shared" si="40"/>
        <v>3545.0849017442788</v>
      </c>
      <c r="U284" s="10">
        <f t="shared" si="40"/>
        <v>3608.8964299756758</v>
      </c>
      <c r="V284" s="10">
        <f t="shared" si="40"/>
        <v>3673.856565715238</v>
      </c>
      <c r="W284" s="10">
        <f t="shared" si="40"/>
        <v>3739.9859838981124</v>
      </c>
      <c r="X284" s="10">
        <f t="shared" si="40"/>
        <v>3807.3057316082786</v>
      </c>
      <c r="Y284" s="10">
        <f t="shared" si="40"/>
        <v>3875.8372347772279</v>
      </c>
      <c r="Z284" s="10">
        <f t="shared" si="40"/>
        <v>3945.6023050032177</v>
      </c>
      <c r="AA284" s="10">
        <f t="shared" si="40"/>
        <v>4016.6231464932757</v>
      </c>
      <c r="AB284" s="18"/>
    </row>
    <row r="285" spans="1:28" x14ac:dyDescent="0.2">
      <c r="A285" s="19" t="s">
        <v>122</v>
      </c>
      <c r="G285" s="10">
        <f t="shared" si="40"/>
        <v>281.12892156758181</v>
      </c>
      <c r="H285" s="10">
        <f t="shared" si="40"/>
        <v>286.1892421557983</v>
      </c>
      <c r="I285" s="10">
        <f t="shared" si="40"/>
        <v>291.34064851460266</v>
      </c>
      <c r="J285" s="10">
        <f t="shared" si="40"/>
        <v>296.58478018786553</v>
      </c>
      <c r="K285" s="10">
        <f t="shared" si="40"/>
        <v>301.92330623124712</v>
      </c>
      <c r="L285" s="10">
        <f t="shared" si="40"/>
        <v>307.35792574340957</v>
      </c>
      <c r="M285" s="10">
        <f t="shared" si="40"/>
        <v>312.89036840679091</v>
      </c>
      <c r="N285" s="10">
        <f t="shared" si="40"/>
        <v>318.52239503811313</v>
      </c>
      <c r="O285" s="10">
        <f t="shared" si="40"/>
        <v>324.25579814879916</v>
      </c>
      <c r="P285" s="10">
        <f t="shared" si="40"/>
        <v>330.09240251547754</v>
      </c>
      <c r="Q285" s="10">
        <f t="shared" si="40"/>
        <v>336.03406576075611</v>
      </c>
      <c r="R285" s="10">
        <f t="shared" si="40"/>
        <v>342.0826789444497</v>
      </c>
      <c r="S285" s="10">
        <f t="shared" si="40"/>
        <v>348.2401671654498</v>
      </c>
      <c r="T285" s="10">
        <f t="shared" si="40"/>
        <v>354.50849017442789</v>
      </c>
      <c r="U285" s="10">
        <f t="shared" si="40"/>
        <v>360.88964299756759</v>
      </c>
      <c r="V285" s="10">
        <f t="shared" si="40"/>
        <v>367.38565657152384</v>
      </c>
      <c r="W285" s="10">
        <f t="shared" si="40"/>
        <v>373.99859838981126</v>
      </c>
      <c r="X285" s="10">
        <f t="shared" si="40"/>
        <v>380.73057316082787</v>
      </c>
      <c r="Y285" s="10">
        <f t="shared" si="40"/>
        <v>387.58372347772274</v>
      </c>
      <c r="Z285" s="10">
        <f t="shared" si="40"/>
        <v>394.56023050032172</v>
      </c>
      <c r="AA285" s="10">
        <f t="shared" si="40"/>
        <v>401.66231464932758</v>
      </c>
      <c r="AB285" s="18"/>
    </row>
    <row r="286" spans="1:28" x14ac:dyDescent="0.2">
      <c r="A286" s="19" t="s">
        <v>123</v>
      </c>
      <c r="G286" s="10">
        <f t="shared" si="40"/>
        <v>281.12892156758181</v>
      </c>
      <c r="H286" s="10">
        <f t="shared" si="40"/>
        <v>286.1892421557983</v>
      </c>
      <c r="I286" s="10">
        <f t="shared" si="40"/>
        <v>291.34064851460266</v>
      </c>
      <c r="J286" s="10">
        <f t="shared" si="40"/>
        <v>296.58478018786553</v>
      </c>
      <c r="K286" s="10">
        <f t="shared" si="40"/>
        <v>301.92330623124712</v>
      </c>
      <c r="L286" s="10">
        <f t="shared" si="40"/>
        <v>307.35792574340957</v>
      </c>
      <c r="M286" s="10">
        <f t="shared" si="40"/>
        <v>312.89036840679091</v>
      </c>
      <c r="N286" s="10">
        <f t="shared" si="40"/>
        <v>318.52239503811313</v>
      </c>
      <c r="O286" s="10">
        <f t="shared" si="40"/>
        <v>324.25579814879916</v>
      </c>
      <c r="P286" s="10">
        <f t="shared" si="40"/>
        <v>330.09240251547754</v>
      </c>
      <c r="Q286" s="10">
        <f t="shared" si="40"/>
        <v>336.03406576075611</v>
      </c>
      <c r="R286" s="10">
        <f t="shared" si="40"/>
        <v>342.0826789444497</v>
      </c>
      <c r="S286" s="10">
        <f t="shared" si="40"/>
        <v>348.2401671654498</v>
      </c>
      <c r="T286" s="10">
        <f t="shared" si="40"/>
        <v>354.50849017442789</v>
      </c>
      <c r="U286" s="10">
        <f t="shared" si="40"/>
        <v>360.88964299756759</v>
      </c>
      <c r="V286" s="10">
        <f t="shared" si="40"/>
        <v>367.38565657152384</v>
      </c>
      <c r="W286" s="10">
        <f t="shared" si="40"/>
        <v>373.99859838981126</v>
      </c>
      <c r="X286" s="10">
        <f t="shared" si="40"/>
        <v>380.73057316082787</v>
      </c>
      <c r="Y286" s="10">
        <f t="shared" si="40"/>
        <v>387.58372347772274</v>
      </c>
      <c r="Z286" s="10">
        <f t="shared" si="40"/>
        <v>394.56023050032172</v>
      </c>
      <c r="AA286" s="10">
        <f t="shared" si="40"/>
        <v>401.66231464932758</v>
      </c>
      <c r="AB286" s="18"/>
    </row>
    <row r="287" spans="1:28" x14ac:dyDescent="0.2">
      <c r="A287" s="19" t="s">
        <v>124</v>
      </c>
      <c r="G287" s="10">
        <f t="shared" si="40"/>
        <v>955.83833332977815</v>
      </c>
      <c r="H287" s="10">
        <f t="shared" si="40"/>
        <v>973.04342332971419</v>
      </c>
      <c r="I287" s="10">
        <f t="shared" si="40"/>
        <v>990.55820494964905</v>
      </c>
      <c r="J287" s="10">
        <f t="shared" si="40"/>
        <v>1008.3882526387429</v>
      </c>
      <c r="K287" s="10">
        <f t="shared" si="40"/>
        <v>1026.5392411862401</v>
      </c>
      <c r="L287" s="10">
        <f t="shared" si="40"/>
        <v>1045.0169475275925</v>
      </c>
      <c r="M287" s="10">
        <f t="shared" si="40"/>
        <v>1063.8272525830889</v>
      </c>
      <c r="N287" s="10">
        <f t="shared" si="40"/>
        <v>1082.9761431295847</v>
      </c>
      <c r="O287" s="10">
        <f t="shared" si="40"/>
        <v>1102.469713705917</v>
      </c>
      <c r="P287" s="10">
        <f t="shared" si="40"/>
        <v>1122.3141685526236</v>
      </c>
      <c r="Q287" s="10">
        <f t="shared" si="40"/>
        <v>1142.5158235865706</v>
      </c>
      <c r="R287" s="10">
        <f t="shared" si="40"/>
        <v>1163.081108411129</v>
      </c>
      <c r="S287" s="10">
        <f t="shared" si="40"/>
        <v>1184.0165683625294</v>
      </c>
      <c r="T287" s="10">
        <f t="shared" si="40"/>
        <v>1205.328866593055</v>
      </c>
      <c r="U287" s="10">
        <f t="shared" si="40"/>
        <v>1227.0247861917296</v>
      </c>
      <c r="V287" s="10">
        <f t="shared" si="40"/>
        <v>1249.1112323431807</v>
      </c>
      <c r="W287" s="10">
        <f t="shared" si="40"/>
        <v>1271.5952345253581</v>
      </c>
      <c r="X287" s="10">
        <f t="shared" si="40"/>
        <v>1294.4839487468148</v>
      </c>
      <c r="Y287" s="10">
        <f t="shared" si="40"/>
        <v>1317.7846598242575</v>
      </c>
      <c r="Z287" s="10">
        <f t="shared" si="40"/>
        <v>1341.5047837010939</v>
      </c>
      <c r="AA287" s="10">
        <f t="shared" si="40"/>
        <v>1365.6518698077136</v>
      </c>
      <c r="AB287" s="18"/>
    </row>
    <row r="288" spans="1:28" x14ac:dyDescent="0.2">
      <c r="A288" s="19" t="s">
        <v>125</v>
      </c>
      <c r="G288" s="10">
        <f t="shared" si="40"/>
        <v>4385.6111764542775</v>
      </c>
      <c r="H288" s="10">
        <f t="shared" si="40"/>
        <v>4464.552177630454</v>
      </c>
      <c r="I288" s="10">
        <f t="shared" si="40"/>
        <v>4544.914116827802</v>
      </c>
      <c r="J288" s="10">
        <f t="shared" si="40"/>
        <v>4626.7225709307022</v>
      </c>
      <c r="K288" s="10">
        <f t="shared" si="40"/>
        <v>4710.0035772074552</v>
      </c>
      <c r="L288" s="10">
        <f t="shared" si="40"/>
        <v>4794.7836415971897</v>
      </c>
      <c r="M288" s="10">
        <f t="shared" si="40"/>
        <v>4881.0897471459384</v>
      </c>
      <c r="N288" s="10">
        <f t="shared" si="40"/>
        <v>4968.9493625945652</v>
      </c>
      <c r="O288" s="10">
        <f t="shared" si="40"/>
        <v>5058.3904511212668</v>
      </c>
      <c r="P288" s="10">
        <f t="shared" si="40"/>
        <v>5149.4414792414491</v>
      </c>
      <c r="Q288" s="10">
        <f t="shared" si="40"/>
        <v>5242.1314258677958</v>
      </c>
      <c r="R288" s="10">
        <f t="shared" si="40"/>
        <v>5336.4897915334159</v>
      </c>
      <c r="S288" s="10">
        <f t="shared" si="40"/>
        <v>5432.546607781017</v>
      </c>
      <c r="T288" s="10">
        <f t="shared" si="40"/>
        <v>5530.3324467210759</v>
      </c>
      <c r="U288" s="10">
        <f t="shared" si="40"/>
        <v>5629.8784307620544</v>
      </c>
      <c r="V288" s="10">
        <f t="shared" si="40"/>
        <v>5731.2162425157712</v>
      </c>
      <c r="W288" s="10">
        <f t="shared" si="40"/>
        <v>5834.3781348810562</v>
      </c>
      <c r="X288" s="10">
        <f t="shared" si="40"/>
        <v>5939.3969413089144</v>
      </c>
      <c r="Y288" s="10">
        <f t="shared" si="40"/>
        <v>6046.3060862524753</v>
      </c>
      <c r="Z288" s="10">
        <f t="shared" si="40"/>
        <v>6155.1395958050198</v>
      </c>
      <c r="AA288" s="10">
        <f t="shared" si="40"/>
        <v>6265.9321085295105</v>
      </c>
      <c r="AB288" s="18"/>
    </row>
    <row r="289" spans="1:28" x14ac:dyDescent="0.2">
      <c r="A289" s="19" t="s">
        <v>126</v>
      </c>
      <c r="G289" s="10">
        <f t="shared" si="40"/>
        <v>4104.482254886695</v>
      </c>
      <c r="H289" s="10">
        <f t="shared" si="40"/>
        <v>4178.3629354746554</v>
      </c>
      <c r="I289" s="10">
        <f t="shared" si="40"/>
        <v>4253.5734683131986</v>
      </c>
      <c r="J289" s="10">
        <f t="shared" si="40"/>
        <v>4330.1377907428368</v>
      </c>
      <c r="K289" s="10">
        <f t="shared" si="40"/>
        <v>4408.0802709762083</v>
      </c>
      <c r="L289" s="10">
        <f t="shared" si="40"/>
        <v>4487.4257158537794</v>
      </c>
      <c r="M289" s="10">
        <f t="shared" si="40"/>
        <v>4568.1993787391466</v>
      </c>
      <c r="N289" s="10">
        <f t="shared" si="40"/>
        <v>4650.4269675564519</v>
      </c>
      <c r="O289" s="10">
        <f t="shared" si="40"/>
        <v>4734.1346529724678</v>
      </c>
      <c r="P289" s="10">
        <f t="shared" si="40"/>
        <v>4819.3490767259718</v>
      </c>
      <c r="Q289" s="10">
        <f t="shared" si="40"/>
        <v>4906.09736010704</v>
      </c>
      <c r="R289" s="10">
        <f t="shared" si="40"/>
        <v>4994.4071125889659</v>
      </c>
      <c r="S289" s="10">
        <f t="shared" si="40"/>
        <v>5084.3064406155672</v>
      </c>
      <c r="T289" s="10">
        <f t="shared" si="40"/>
        <v>5175.8239565466474</v>
      </c>
      <c r="U289" s="10">
        <f t="shared" si="40"/>
        <v>5268.9887877644869</v>
      </c>
      <c r="V289" s="10">
        <f t="shared" si="40"/>
        <v>5363.8305859442471</v>
      </c>
      <c r="W289" s="10">
        <f t="shared" si="40"/>
        <v>5460.3795364912439</v>
      </c>
      <c r="X289" s="10">
        <f t="shared" si="40"/>
        <v>5558.6663681480868</v>
      </c>
      <c r="Y289" s="10">
        <f t="shared" si="40"/>
        <v>5658.7223627747517</v>
      </c>
      <c r="Z289" s="10">
        <f t="shared" si="40"/>
        <v>5760.5793653046976</v>
      </c>
      <c r="AA289" s="10">
        <f t="shared" si="40"/>
        <v>5864.2697938801821</v>
      </c>
      <c r="AB289" s="18"/>
    </row>
    <row r="290" spans="1:28" ht="10.5" x14ac:dyDescent="0.25">
      <c r="AB290" s="18"/>
    </row>
    <row r="291" spans="1:28" x14ac:dyDescent="0.2">
      <c r="A291" s="27" t="s">
        <v>152</v>
      </c>
      <c r="AB291" s="18"/>
    </row>
    <row r="292" spans="1:28" x14ac:dyDescent="0.2">
      <c r="A292" s="19" t="s">
        <v>147</v>
      </c>
      <c r="G292" s="10">
        <f>G267</f>
        <v>186339.12219628826</v>
      </c>
      <c r="H292" s="10">
        <f>H267</f>
        <v>227631.87167498574</v>
      </c>
      <c r="I292" s="10">
        <f>I267</f>
        <v>257476.93929459498</v>
      </c>
      <c r="J292" s="10">
        <f t="shared" ref="J292:L292" si="41">J267</f>
        <v>262111.5242018977</v>
      </c>
      <c r="K292" s="10">
        <f t="shared" si="41"/>
        <v>266829.53163753182</v>
      </c>
      <c r="L292" s="10">
        <f t="shared" si="41"/>
        <v>271632.46320700739</v>
      </c>
      <c r="M292" s="10">
        <f>M267</f>
        <v>276521.84754473355</v>
      </c>
      <c r="N292" s="10">
        <f t="shared" ref="N292:AA292" si="42">N267</f>
        <v>281499.24080053874</v>
      </c>
      <c r="O292" s="10">
        <f t="shared" si="42"/>
        <v>286566.22713494842</v>
      </c>
      <c r="P292" s="10">
        <f t="shared" si="42"/>
        <v>291724.41922337748</v>
      </c>
      <c r="Q292" s="10">
        <f t="shared" si="42"/>
        <v>296975.45876939822</v>
      </c>
      <c r="R292" s="10">
        <f t="shared" si="42"/>
        <v>302321.01702724741</v>
      </c>
      <c r="S292" s="10">
        <f t="shared" si="42"/>
        <v>307762.79533373786</v>
      </c>
      <c r="T292" s="10">
        <f t="shared" si="42"/>
        <v>313302.52564974519</v>
      </c>
      <c r="U292" s="10">
        <f t="shared" si="42"/>
        <v>318941.97111144057</v>
      </c>
      <c r="V292" s="10">
        <f t="shared" si="42"/>
        <v>324682.92659144645</v>
      </c>
      <c r="W292" s="10">
        <f t="shared" si="42"/>
        <v>330527.21927009249</v>
      </c>
      <c r="X292" s="10">
        <f t="shared" si="42"/>
        <v>269181.36737356335</v>
      </c>
      <c r="Y292" s="10">
        <f t="shared" si="42"/>
        <v>205519.97398971565</v>
      </c>
      <c r="Z292" s="10">
        <f t="shared" si="42"/>
        <v>139479.55568102034</v>
      </c>
      <c r="AA292" s="10">
        <f t="shared" si="42"/>
        <v>70995.093841639376</v>
      </c>
      <c r="AB292" s="18"/>
    </row>
    <row r="293" spans="1:28" x14ac:dyDescent="0.2">
      <c r="A293" s="35" t="s">
        <v>153</v>
      </c>
      <c r="G293" s="10">
        <f>SUM(G274:G279)+SUM(G281:G289)</f>
        <v>99834.098466399388</v>
      </c>
      <c r="H293" s="10">
        <f>SUM(H274:H279)+SUM(H281:H289)</f>
        <v>119677.92923216789</v>
      </c>
      <c r="I293" s="10">
        <f>SUM(I274:I279)+SUM(I281:I289)</f>
        <v>133886.04311127838</v>
      </c>
      <c r="J293" s="10">
        <f t="shared" ref="J293:L293" si="43">SUM(J274:J279)+SUM(J281:J289)</f>
        <v>136686.95371834218</v>
      </c>
      <c r="K293" s="10">
        <f t="shared" si="43"/>
        <v>139554.89941795357</v>
      </c>
      <c r="L293" s="10">
        <f t="shared" si="43"/>
        <v>139504.06637966563</v>
      </c>
      <c r="M293" s="10">
        <f>SUM(M274:M279)+SUM(M281:M289)</f>
        <v>142458.82777603238</v>
      </c>
      <c r="N293" s="10">
        <f t="shared" ref="N293:Q293" si="44">SUM(N274:N279)+SUM(N281:N289)</f>
        <v>145486.38865286723</v>
      </c>
      <c r="O293" s="10">
        <f t="shared" si="44"/>
        <v>148589.18963909769</v>
      </c>
      <c r="P293" s="10">
        <f t="shared" si="44"/>
        <v>151769.7887453725</v>
      </c>
      <c r="Q293" s="10">
        <f t="shared" si="44"/>
        <v>151764.13840274158</v>
      </c>
      <c r="R293" s="10">
        <f t="shared" ref="R293:AA293" si="45">SUM(R274:R279)+SUM(R281:R289)</f>
        <v>155049.71206116924</v>
      </c>
      <c r="S293" s="10">
        <f t="shared" si="45"/>
        <v>158420.47696645494</v>
      </c>
      <c r="T293" s="10">
        <f t="shared" si="45"/>
        <v>161879.51730110066</v>
      </c>
      <c r="U293" s="10">
        <f t="shared" si="45"/>
        <v>165430.07472551559</v>
      </c>
      <c r="V293" s="10">
        <f t="shared" si="45"/>
        <v>169075.55814017571</v>
      </c>
      <c r="W293" s="10">
        <f t="shared" si="45"/>
        <v>172819.55409885786</v>
      </c>
      <c r="X293" s="10">
        <f t="shared" si="45"/>
        <v>145068.55160257427</v>
      </c>
      <c r="Y293" s="10">
        <f t="shared" si="45"/>
        <v>116086.73542541728</v>
      </c>
      <c r="Z293" s="10">
        <f t="shared" si="45"/>
        <v>86501.663294642873</v>
      </c>
      <c r="AA293" s="10">
        <f t="shared" si="45"/>
        <v>54635.116820245777</v>
      </c>
      <c r="AB293" s="18"/>
    </row>
    <row r="294" spans="1:28" x14ac:dyDescent="0.2">
      <c r="A294" s="35" t="s">
        <v>154</v>
      </c>
      <c r="G294" s="10">
        <f>G262</f>
        <v>79961.746344097861</v>
      </c>
      <c r="H294" s="10">
        <f>H262</f>
        <v>79961.746344097861</v>
      </c>
      <c r="I294" s="10">
        <f>I262</f>
        <v>79961.746344097861</v>
      </c>
      <c r="J294" s="10">
        <f t="shared" ref="J294:L294" si="46">J262</f>
        <v>79961.746344097861</v>
      </c>
      <c r="K294" s="10">
        <f t="shared" si="46"/>
        <v>79961.746344097861</v>
      </c>
      <c r="L294" s="10">
        <f t="shared" si="46"/>
        <v>40884.977155155961</v>
      </c>
      <c r="M294" s="10">
        <f>M262</f>
        <v>40884.977155155961</v>
      </c>
      <c r="N294" s="10">
        <f t="shared" ref="N294:AA294" si="47">N262</f>
        <v>40884.977155155961</v>
      </c>
      <c r="O294" s="10">
        <f t="shared" si="47"/>
        <v>7463.1223015371506</v>
      </c>
      <c r="P294" s="10">
        <f t="shared" si="47"/>
        <v>7463.1223015371506</v>
      </c>
      <c r="Q294" s="10">
        <f t="shared" si="47"/>
        <v>7463.1223015371506</v>
      </c>
      <c r="R294" s="10">
        <f t="shared" si="47"/>
        <v>7463.1223015371506</v>
      </c>
      <c r="S294" s="10">
        <f t="shared" si="47"/>
        <v>0</v>
      </c>
      <c r="T294" s="10">
        <f t="shared" si="47"/>
        <v>0</v>
      </c>
      <c r="U294" s="10">
        <f t="shared" si="47"/>
        <v>0</v>
      </c>
      <c r="V294" s="10">
        <f t="shared" si="47"/>
        <v>0</v>
      </c>
      <c r="W294" s="10">
        <f t="shared" si="47"/>
        <v>0</v>
      </c>
      <c r="X294" s="10">
        <f t="shared" si="47"/>
        <v>0</v>
      </c>
      <c r="Y294" s="10">
        <f t="shared" si="47"/>
        <v>0</v>
      </c>
      <c r="Z294" s="10">
        <f t="shared" si="47"/>
        <v>0</v>
      </c>
      <c r="AA294" s="10">
        <f t="shared" si="47"/>
        <v>0</v>
      </c>
      <c r="AB294" s="18"/>
    </row>
    <row r="295" spans="1:28" x14ac:dyDescent="0.2">
      <c r="A295" s="19" t="s">
        <v>148</v>
      </c>
      <c r="G295" s="10">
        <f>G292-G293-G294</f>
        <v>6543.277385791007</v>
      </c>
      <c r="H295" s="10">
        <f>H292-H293-H294</f>
        <v>27992.196098719985</v>
      </c>
      <c r="I295" s="10">
        <f>I292-I293-I294</f>
        <v>43629.149839218735</v>
      </c>
      <c r="J295" s="10">
        <f t="shared" ref="J295:L295" si="48">J292-J293-J294</f>
        <v>45462.824139457662</v>
      </c>
      <c r="K295" s="10">
        <f t="shared" si="48"/>
        <v>47312.885875480395</v>
      </c>
      <c r="L295" s="10">
        <f t="shared" si="48"/>
        <v>91243.419672185788</v>
      </c>
      <c r="M295" s="10">
        <f>M292-M293-M294</f>
        <v>93178.0426135452</v>
      </c>
      <c r="N295" s="10">
        <f t="shared" ref="N295:AA295" si="49">N292-N293-N294</f>
        <v>95127.874992515543</v>
      </c>
      <c r="O295" s="10">
        <f t="shared" si="49"/>
        <v>130513.91519431358</v>
      </c>
      <c r="P295" s="10">
        <f t="shared" si="49"/>
        <v>132491.50817646785</v>
      </c>
      <c r="Q295" s="10">
        <f t="shared" si="49"/>
        <v>137748.1980651195</v>
      </c>
      <c r="R295" s="10">
        <f t="shared" si="49"/>
        <v>139808.182664541</v>
      </c>
      <c r="S295" s="10">
        <f t="shared" si="49"/>
        <v>149342.31836728292</v>
      </c>
      <c r="T295" s="10">
        <f t="shared" si="49"/>
        <v>151423.00834864454</v>
      </c>
      <c r="U295" s="10">
        <f t="shared" si="49"/>
        <v>153511.89638592498</v>
      </c>
      <c r="V295" s="10">
        <f t="shared" si="49"/>
        <v>155607.36845127074</v>
      </c>
      <c r="W295" s="10">
        <f t="shared" si="49"/>
        <v>157707.66517123464</v>
      </c>
      <c r="X295" s="10">
        <f t="shared" si="49"/>
        <v>124112.81577098908</v>
      </c>
      <c r="Y295" s="10">
        <f t="shared" si="49"/>
        <v>89433.238564298372</v>
      </c>
      <c r="Z295" s="10">
        <f t="shared" si="49"/>
        <v>52977.892386377469</v>
      </c>
      <c r="AA295" s="10">
        <f t="shared" si="49"/>
        <v>16359.977021393599</v>
      </c>
      <c r="AB295" s="18"/>
    </row>
    <row r="296" spans="1:28" x14ac:dyDescent="0.2">
      <c r="A296" s="35" t="s">
        <v>155</v>
      </c>
      <c r="G296" s="10">
        <f t="shared" ref="G296:AA296" si="50">G245</f>
        <v>22858.955399999999</v>
      </c>
      <c r="H296" s="10">
        <f t="shared" si="50"/>
        <v>19593.390342857143</v>
      </c>
      <c r="I296" s="10">
        <f t="shared" si="50"/>
        <v>16327.825285714283</v>
      </c>
      <c r="J296" s="10">
        <f t="shared" si="50"/>
        <v>13062.260228571426</v>
      </c>
      <c r="K296" s="10">
        <f t="shared" si="50"/>
        <v>9796.6951714285697</v>
      </c>
      <c r="L296" s="10">
        <f t="shared" si="50"/>
        <v>6531.1301142857119</v>
      </c>
      <c r="M296" s="10">
        <f t="shared" si="50"/>
        <v>3265.5650571428546</v>
      </c>
      <c r="N296" s="10">
        <f t="shared" si="50"/>
        <v>0</v>
      </c>
      <c r="O296" s="10">
        <f t="shared" si="50"/>
        <v>0</v>
      </c>
      <c r="P296" s="10">
        <f t="shared" si="50"/>
        <v>0</v>
      </c>
      <c r="Q296" s="10">
        <f t="shared" si="50"/>
        <v>0</v>
      </c>
      <c r="R296" s="10">
        <f t="shared" si="50"/>
        <v>0</v>
      </c>
      <c r="S296" s="10">
        <f t="shared" si="50"/>
        <v>0</v>
      </c>
      <c r="T296" s="10">
        <f t="shared" si="50"/>
        <v>0</v>
      </c>
      <c r="U296" s="10">
        <f t="shared" si="50"/>
        <v>0</v>
      </c>
      <c r="V296" s="10">
        <f t="shared" si="50"/>
        <v>0</v>
      </c>
      <c r="W296" s="10">
        <f t="shared" si="50"/>
        <v>0</v>
      </c>
      <c r="X296" s="10">
        <f t="shared" si="50"/>
        <v>0</v>
      </c>
      <c r="Y296" s="10">
        <f t="shared" si="50"/>
        <v>0</v>
      </c>
      <c r="Z296" s="10">
        <f t="shared" si="50"/>
        <v>0</v>
      </c>
      <c r="AA296" s="10">
        <f t="shared" si="50"/>
        <v>0</v>
      </c>
      <c r="AB296" s="18"/>
    </row>
    <row r="297" spans="1:28" x14ac:dyDescent="0.2">
      <c r="A297" s="19" t="s">
        <v>149</v>
      </c>
      <c r="G297" s="10">
        <f>G295-G296</f>
        <v>-16315.678014208992</v>
      </c>
      <c r="H297" s="10">
        <f>H295-H296</f>
        <v>8398.8057558628425</v>
      </c>
      <c r="I297" s="10">
        <f>I295-I296</f>
        <v>27301.324553504452</v>
      </c>
      <c r="J297" s="10">
        <f t="shared" ref="J297:L297" si="51">J295-J296</f>
        <v>32400.563910886238</v>
      </c>
      <c r="K297" s="10">
        <f t="shared" si="51"/>
        <v>37516.190704051827</v>
      </c>
      <c r="L297" s="10">
        <f t="shared" si="51"/>
        <v>84712.289557900076</v>
      </c>
      <c r="M297" s="10">
        <f>M295-M296</f>
        <v>89912.477556402344</v>
      </c>
      <c r="N297" s="10">
        <f t="shared" ref="N297:AA297" si="52">N295-N296</f>
        <v>95127.874992515543</v>
      </c>
      <c r="O297" s="10">
        <f t="shared" si="52"/>
        <v>130513.91519431358</v>
      </c>
      <c r="P297" s="10">
        <f t="shared" si="52"/>
        <v>132491.50817646785</v>
      </c>
      <c r="Q297" s="10">
        <f t="shared" si="52"/>
        <v>137748.1980651195</v>
      </c>
      <c r="R297" s="10">
        <f t="shared" si="52"/>
        <v>139808.182664541</v>
      </c>
      <c r="S297" s="10">
        <f t="shared" si="52"/>
        <v>149342.31836728292</v>
      </c>
      <c r="T297" s="10">
        <f t="shared" si="52"/>
        <v>151423.00834864454</v>
      </c>
      <c r="U297" s="10">
        <f t="shared" si="52"/>
        <v>153511.89638592498</v>
      </c>
      <c r="V297" s="10">
        <f t="shared" si="52"/>
        <v>155607.36845127074</v>
      </c>
      <c r="W297" s="10">
        <f t="shared" si="52"/>
        <v>157707.66517123464</v>
      </c>
      <c r="X297" s="10">
        <f t="shared" si="52"/>
        <v>124112.81577098908</v>
      </c>
      <c r="Y297" s="10">
        <f t="shared" si="52"/>
        <v>89433.238564298372</v>
      </c>
      <c r="Z297" s="10">
        <f t="shared" si="52"/>
        <v>52977.892386377469</v>
      </c>
      <c r="AA297" s="10">
        <f t="shared" si="52"/>
        <v>16359.977021393599</v>
      </c>
      <c r="AB297" s="18"/>
    </row>
    <row r="298" spans="1:28" s="55" customFormat="1" x14ac:dyDescent="0.2">
      <c r="A298" s="66" t="s">
        <v>186</v>
      </c>
      <c r="G298" s="56">
        <f ca="1">tnct($G$297:$AA$297,G1-4,$B$147)</f>
        <v>0</v>
      </c>
      <c r="H298" s="56">
        <f t="shared" ref="H298:AA298" ca="1" si="53">tnct($G$297:$AA$297,H1-4,$B$147)</f>
        <v>0</v>
      </c>
      <c r="I298" s="56">
        <f t="shared" ca="1" si="53"/>
        <v>19384.452295158302</v>
      </c>
      <c r="J298" s="56">
        <f t="shared" ca="1" si="53"/>
        <v>32400.563910886238</v>
      </c>
      <c r="K298" s="56">
        <f t="shared" ca="1" si="53"/>
        <v>37516.190704051827</v>
      </c>
      <c r="L298" s="56">
        <f t="shared" ca="1" si="53"/>
        <v>84712.289557900076</v>
      </c>
      <c r="M298" s="56">
        <f t="shared" ca="1" si="53"/>
        <v>89912.477556402344</v>
      </c>
      <c r="N298" s="56">
        <f t="shared" ca="1" si="53"/>
        <v>95127.874992515543</v>
      </c>
      <c r="O298" s="56">
        <f t="shared" ca="1" si="53"/>
        <v>130513.91519431358</v>
      </c>
      <c r="P298" s="56">
        <f t="shared" ca="1" si="53"/>
        <v>132491.50817646785</v>
      </c>
      <c r="Q298" s="56">
        <f t="shared" ca="1" si="53"/>
        <v>137748.1980651195</v>
      </c>
      <c r="R298" s="56">
        <f t="shared" ca="1" si="53"/>
        <v>139808.182664541</v>
      </c>
      <c r="S298" s="56">
        <f t="shared" ca="1" si="53"/>
        <v>149342.31836728292</v>
      </c>
      <c r="T298" s="56">
        <f t="shared" ca="1" si="53"/>
        <v>151423.00834864454</v>
      </c>
      <c r="U298" s="56">
        <f t="shared" ca="1" si="53"/>
        <v>153511.89638592498</v>
      </c>
      <c r="V298" s="56">
        <f t="shared" ca="1" si="53"/>
        <v>155607.36845127074</v>
      </c>
      <c r="W298" s="56">
        <f t="shared" ca="1" si="53"/>
        <v>157707.66517123464</v>
      </c>
      <c r="X298" s="56">
        <f t="shared" ca="1" si="53"/>
        <v>124112.81577098908</v>
      </c>
      <c r="Y298" s="56">
        <f t="shared" ca="1" si="53"/>
        <v>89433.238564298372</v>
      </c>
      <c r="Z298" s="56">
        <f t="shared" ca="1" si="53"/>
        <v>52977.892386377469</v>
      </c>
      <c r="AA298" s="56">
        <f t="shared" ca="1" si="53"/>
        <v>16359.977021393599</v>
      </c>
      <c r="AB298" s="57"/>
    </row>
    <row r="299" spans="1:28" s="55" customFormat="1" x14ac:dyDescent="0.2">
      <c r="A299" s="66" t="s">
        <v>187</v>
      </c>
      <c r="G299" s="67">
        <f ca="1">IF(G298=0,0,IF(G1-4-COUNTIF($G$298:G298,0)&lt;=$C$143,$B$143,IF(G1-4-COUNTIF($G$298:G298,0)&lt;=$C$143+$C$144,$B$144,IF(G1-4-COUNTIF($G$298:G298,0)&lt;=$C$143+$C$144+$C$145,$B$145,$B$146))))</f>
        <v>0</v>
      </c>
      <c r="H299" s="67">
        <f ca="1">IF(H298=0,0,IF(H1-4-COUNTIF($G$298:H298,0)&lt;=$C$143,$B$143,IF(H1-4-COUNTIF($G$298:H298,0)&lt;=$C$143+$C$144,$B$144,IF(H1-4-COUNTIF($G$298:H298,0)&lt;=$C$143+$C$144+$C$145,$B$145,$B$146))))</f>
        <v>0</v>
      </c>
      <c r="I299" s="67">
        <f ca="1">IF(I298=0,0,IF(I1-4-COUNTIF($G$298:I298,0)&lt;=$C$143,$B$143,IF(I1-4-COUNTIF($G$298:I298,0)&lt;=$C$143+$C$144,$B$144,IF(I1-4-COUNTIF($G$298:I298,0)&lt;=$C$143+$C$144+$C$145,$B$145,$B$146))))</f>
        <v>0</v>
      </c>
      <c r="J299" s="67">
        <f ca="1">IF(J298=0,0,IF(J1-4-COUNTIF($G$298:J298,0)&lt;=$C$143,$B$143,IF(J1-4-COUNTIF($G$298:J298,0)&lt;=$C$143+$C$144,$B$144,IF(J1-4-COUNTIF($G$298:J298,0)&lt;=$C$143+$C$144+$C$145,$B$145,$B$146))))</f>
        <v>0</v>
      </c>
      <c r="K299" s="67">
        <f ca="1">IF(K298=0,0,IF(K1-4-COUNTIF($G$298:K298,0)&lt;=$C$143,$B$143,IF(K1-4-COUNTIF($G$298:K298,0)&lt;=$C$143+$C$144,$B$144,IF(K1-4-COUNTIF($G$298:K298,0)&lt;=$C$143+$C$144+$C$145,$B$145,$B$146))))</f>
        <v>8.5000000000000006E-2</v>
      </c>
      <c r="L299" s="67">
        <f ca="1">IF(L298=0,0,IF(L1-4-COUNTIF($G$298:L298,0)&lt;=$C$143,$B$143,IF(L1-4-COUNTIF($G$298:L298,0)&lt;=$C$143+$C$144,$B$144,IF(L1-4-COUNTIF($G$298:L298,0)&lt;=$C$143+$C$144+$C$145,$B$145,$B$146))))</f>
        <v>8.5000000000000006E-2</v>
      </c>
      <c r="M299" s="67">
        <f ca="1">IF(M298=0,0,IF(M1-4-COUNTIF($G$298:M298,0)&lt;=$C$143,$B$143,IF(M1-4-COUNTIF($G$298:M298,0)&lt;=$C$143+$C$144,$B$144,IF(M1-4-COUNTIF($G$298:M298,0)&lt;=$C$143+$C$144+$C$145,$B$145,$B$146))))</f>
        <v>8.5000000000000006E-2</v>
      </c>
      <c r="N299" s="67">
        <f ca="1">IF(N298=0,0,IF(N1-4-COUNTIF($G$298:N298,0)&lt;=$C$143,$B$143,IF(N1-4-COUNTIF($G$298:N298,0)&lt;=$C$143+$C$144,$B$144,IF(N1-4-COUNTIF($G$298:N298,0)&lt;=$C$143+$C$144+$C$145,$B$145,$B$146))))</f>
        <v>8.5000000000000006E-2</v>
      </c>
      <c r="O299" s="67">
        <f ca="1">IF(O298=0,0,IF(O1-4-COUNTIF($G$298:O298,0)&lt;=$C$143,$B$143,IF(O1-4-COUNTIF($G$298:O298,0)&lt;=$C$143+$C$144,$B$144,IF(O1-4-COUNTIF($G$298:O298,0)&lt;=$C$143+$C$144+$C$145,$B$145,$B$146))))</f>
        <v>0.17</v>
      </c>
      <c r="P299" s="67">
        <f ca="1">IF(P298=0,0,IF(P1-4-COUNTIF($G$298:P298,0)&lt;=$C$143,$B$143,IF(P1-4-COUNTIF($G$298:P298,0)&lt;=$C$143+$C$144,$B$144,IF(P1-4-COUNTIF($G$298:P298,0)&lt;=$C$143+$C$144+$C$145,$B$145,$B$146))))</f>
        <v>0.17</v>
      </c>
      <c r="Q299" s="67">
        <f ca="1">IF(Q298=0,0,IF(Q1-4-COUNTIF($G$298:Q298,0)&lt;=$C$143,$B$143,IF(Q1-4-COUNTIF($G$298:Q298,0)&lt;=$C$143+$C$144,$B$144,IF(Q1-4-COUNTIF($G$298:Q298,0)&lt;=$C$143+$C$144+$C$145,$B$145,$B$146))))</f>
        <v>0.17</v>
      </c>
      <c r="R299" s="67">
        <f ca="1">IF(R298=0,0,IF(R1-4-COUNTIF($G$298:R298,0)&lt;=$C$143,$B$143,IF(R1-4-COUNTIF($G$298:R298,0)&lt;=$C$143+$C$144,$B$144,IF(R1-4-COUNTIF($G$298:R298,0)&lt;=$C$143+$C$144+$C$145,$B$145,$B$146))))</f>
        <v>0.17</v>
      </c>
      <c r="S299" s="67">
        <f ca="1">IF(S298=0,0,IF(S1-4-COUNTIF($G$298:S298,0)&lt;=$C$143,$B$143,IF(S1-4-COUNTIF($G$298:S298,0)&lt;=$C$143+$C$144,$B$144,IF(S1-4-COUNTIF($G$298:S298,0)&lt;=$C$143+$C$144+$C$145,$B$145,$B$146))))</f>
        <v>0.2</v>
      </c>
      <c r="T299" s="67">
        <f ca="1">IF(T298=0,0,IF(T1-4-COUNTIF($G$298:T298,0)&lt;=$C$143,$B$143,IF(T1-4-COUNTIF($G$298:T298,0)&lt;=$C$143+$C$144,$B$144,IF(T1-4-COUNTIF($G$298:T298,0)&lt;=$C$143+$C$144+$C$145,$B$145,$B$146))))</f>
        <v>0.2</v>
      </c>
      <c r="U299" s="67">
        <f ca="1">IF(U298=0,0,IF(U1-4-COUNTIF($G$298:U298,0)&lt;=$C$143,$B$143,IF(U1-4-COUNTIF($G$298:U298,0)&lt;=$C$143+$C$144,$B$144,IF(U1-4-COUNTIF($G$298:U298,0)&lt;=$C$143+$C$144+$C$145,$B$145,$B$146))))</f>
        <v>0.2</v>
      </c>
      <c r="V299" s="67">
        <f ca="1">IF(V298=0,0,IF(V1-4-COUNTIF($G$298:V298,0)&lt;=$C$143,$B$143,IF(V1-4-COUNTIF($G$298:V298,0)&lt;=$C$143+$C$144,$B$144,IF(V1-4-COUNTIF($G$298:V298,0)&lt;=$C$143+$C$144+$C$145,$B$145,$B$146))))</f>
        <v>0.2</v>
      </c>
      <c r="W299" s="67">
        <f ca="1">IF(W298=0,0,IF(W1-4-COUNTIF($G$298:W298,0)&lt;=$C$143,$B$143,IF(W1-4-COUNTIF($G$298:W298,0)&lt;=$C$143+$C$144,$B$144,IF(W1-4-COUNTIF($G$298:W298,0)&lt;=$C$143+$C$144+$C$145,$B$145,$B$146))))</f>
        <v>0.2</v>
      </c>
      <c r="X299" s="67">
        <f ca="1">IF(X298=0,0,IF(X1-4-COUNTIF($G$298:X298,0)&lt;=$C$143,$B$143,IF(X1-4-COUNTIF($G$298:X298,0)&lt;=$C$143+$C$144,$B$144,IF(X1-4-COUNTIF($G$298:X298,0)&lt;=$C$143+$C$144+$C$145,$B$145,$B$146))))</f>
        <v>0.2</v>
      </c>
      <c r="Y299" s="67">
        <f ca="1">IF(Y298=0,0,IF(Y1-4-COUNTIF($G$298:Y298,0)&lt;=$C$143,$B$143,IF(Y1-4-COUNTIF($G$298:Y298,0)&lt;=$C$143+$C$144,$B$144,IF(Y1-4-COUNTIF($G$298:Y298,0)&lt;=$C$143+$C$144+$C$145,$B$145,$B$146))))</f>
        <v>0.2</v>
      </c>
      <c r="Z299" s="67">
        <f ca="1">IF(Z298=0,0,IF(Z1-4-COUNTIF($G$298:Z298,0)&lt;=$C$143,$B$143,IF(Z1-4-COUNTIF($G$298:Z298,0)&lt;=$C$143+$C$144,$B$144,IF(Z1-4-COUNTIF($G$298:Z298,0)&lt;=$C$143+$C$144+$C$145,$B$145,$B$146))))</f>
        <v>0.2</v>
      </c>
      <c r="AA299" s="67">
        <f ca="1">IF(AA298=0,0,IF(AA1-4-COUNTIF($G$298:AA298,0)&lt;=$C$143,$B$143,IF(AA1-4-COUNTIF($G$298:AA298,0)&lt;=$C$143+$C$144,$B$144,IF(AA1-4-COUNTIF($G$298:AA298,0)&lt;=$C$143+$C$144+$C$145,$B$145,$B$146))))</f>
        <v>0.2</v>
      </c>
      <c r="AB299" s="57"/>
    </row>
    <row r="300" spans="1:28" x14ac:dyDescent="0.2">
      <c r="A300" s="19" t="s">
        <v>150</v>
      </c>
      <c r="G300" s="10">
        <f ca="1">G298*G299</f>
        <v>0</v>
      </c>
      <c r="H300" s="10">
        <f t="shared" ref="H300:AA300" ca="1" si="54">H298*H299</f>
        <v>0</v>
      </c>
      <c r="I300" s="10">
        <f t="shared" ca="1" si="54"/>
        <v>0</v>
      </c>
      <c r="J300" s="10">
        <f t="shared" ca="1" si="54"/>
        <v>0</v>
      </c>
      <c r="K300" s="10">
        <f t="shared" ca="1" si="54"/>
        <v>3188.8762098444054</v>
      </c>
      <c r="L300" s="10">
        <f t="shared" ca="1" si="54"/>
        <v>7200.5446124215068</v>
      </c>
      <c r="M300" s="10">
        <f t="shared" ca="1" si="54"/>
        <v>7642.5605922941995</v>
      </c>
      <c r="N300" s="10">
        <f t="shared" ca="1" si="54"/>
        <v>8085.8693743638214</v>
      </c>
      <c r="O300" s="10">
        <f t="shared" ca="1" si="54"/>
        <v>22187.365583033312</v>
      </c>
      <c r="P300" s="10">
        <f t="shared" ca="1" si="54"/>
        <v>22523.556389999536</v>
      </c>
      <c r="Q300" s="10">
        <f t="shared" ca="1" si="54"/>
        <v>23417.193671070316</v>
      </c>
      <c r="R300" s="10">
        <f t="shared" ca="1" si="54"/>
        <v>23767.391052971972</v>
      </c>
      <c r="S300" s="10">
        <f t="shared" ca="1" si="54"/>
        <v>29868.463673456587</v>
      </c>
      <c r="T300" s="10">
        <f t="shared" ca="1" si="54"/>
        <v>30284.601669728909</v>
      </c>
      <c r="U300" s="10">
        <f t="shared" ca="1" si="54"/>
        <v>30702.379277184999</v>
      </c>
      <c r="V300" s="10">
        <f t="shared" ca="1" si="54"/>
        <v>31121.473690254148</v>
      </c>
      <c r="W300" s="10">
        <f t="shared" ca="1" si="54"/>
        <v>31541.533034246928</v>
      </c>
      <c r="X300" s="10">
        <f t="shared" ca="1" si="54"/>
        <v>24822.563154197818</v>
      </c>
      <c r="Y300" s="10">
        <f t="shared" ca="1" si="54"/>
        <v>17886.647712859674</v>
      </c>
      <c r="Z300" s="10">
        <f t="shared" ca="1" si="54"/>
        <v>10595.578477275494</v>
      </c>
      <c r="AA300" s="10">
        <f t="shared" ca="1" si="54"/>
        <v>3271.9954042787199</v>
      </c>
      <c r="AB300" s="18"/>
    </row>
    <row r="301" spans="1:28" x14ac:dyDescent="0.2">
      <c r="A301" s="19" t="s">
        <v>151</v>
      </c>
      <c r="G301" s="10">
        <f ca="1">G297-G300</f>
        <v>-16315.678014208992</v>
      </c>
      <c r="H301" s="10">
        <f ca="1">H297-H300</f>
        <v>8398.8057558628425</v>
      </c>
      <c r="I301" s="10">
        <f ca="1">I297-I300</f>
        <v>27301.324553504452</v>
      </c>
      <c r="J301" s="10">
        <f t="shared" ref="J301:L301" ca="1" si="55">J297-J300</f>
        <v>32400.563910886238</v>
      </c>
      <c r="K301" s="10">
        <f t="shared" ca="1" si="55"/>
        <v>34327.314494207421</v>
      </c>
      <c r="L301" s="10">
        <f t="shared" ca="1" si="55"/>
        <v>77511.744945478567</v>
      </c>
      <c r="M301" s="10">
        <f ca="1">M297-M300</f>
        <v>82269.916964108139</v>
      </c>
      <c r="N301" s="10">
        <f t="shared" ref="N301:Z301" ca="1" si="56">N297-N300</f>
        <v>87042.005618151714</v>
      </c>
      <c r="O301" s="10">
        <f t="shared" ca="1" si="56"/>
        <v>108326.54961128026</v>
      </c>
      <c r="P301" s="10">
        <f t="shared" ca="1" si="56"/>
        <v>109967.95178646831</v>
      </c>
      <c r="Q301" s="10">
        <f t="shared" ca="1" si="56"/>
        <v>114331.00439404919</v>
      </c>
      <c r="R301" s="10">
        <f t="shared" ca="1" si="56"/>
        <v>116040.79161156903</v>
      </c>
      <c r="S301" s="10">
        <f t="shared" ca="1" si="56"/>
        <v>119473.85469382633</v>
      </c>
      <c r="T301" s="10">
        <f t="shared" ca="1" si="56"/>
        <v>121138.40667891563</v>
      </c>
      <c r="U301" s="10">
        <f t="shared" ca="1" si="56"/>
        <v>122809.51710873998</v>
      </c>
      <c r="V301" s="10">
        <f t="shared" ca="1" si="56"/>
        <v>124485.89476101659</v>
      </c>
      <c r="W301" s="10">
        <f t="shared" ca="1" si="56"/>
        <v>126166.13213698771</v>
      </c>
      <c r="X301" s="10">
        <f t="shared" ca="1" si="56"/>
        <v>99290.252616791258</v>
      </c>
      <c r="Y301" s="10">
        <f t="shared" ca="1" si="56"/>
        <v>71546.590851438697</v>
      </c>
      <c r="Z301" s="10">
        <f t="shared" ca="1" si="56"/>
        <v>42382.313909101977</v>
      </c>
      <c r="AA301" s="10">
        <f ca="1">AA297-AA300</f>
        <v>13087.98161711488</v>
      </c>
      <c r="AB301" s="18"/>
    </row>
    <row r="302" spans="1:28" ht="10.5" x14ac:dyDescent="0.25">
      <c r="AB302" s="18"/>
    </row>
    <row r="303" spans="1:28" x14ac:dyDescent="0.2">
      <c r="A303" s="27" t="s">
        <v>159</v>
      </c>
      <c r="AB303" s="18"/>
    </row>
    <row r="304" spans="1:28" ht="10.5" x14ac:dyDescent="0.25">
      <c r="AB304" s="18"/>
    </row>
    <row r="305" spans="1:28" x14ac:dyDescent="0.2">
      <c r="A305" s="19" t="s">
        <v>156</v>
      </c>
      <c r="AB305" s="18"/>
    </row>
    <row r="306" spans="1:28" s="60" customFormat="1" ht="10.5" x14ac:dyDescent="0.25">
      <c r="A306" s="63" t="s">
        <v>84</v>
      </c>
      <c r="C306" s="60">
        <v>0</v>
      </c>
      <c r="D306" s="60">
        <v>0</v>
      </c>
      <c r="E306" s="60">
        <v>0</v>
      </c>
      <c r="F306" s="60">
        <v>0</v>
      </c>
      <c r="G306" s="61">
        <f>G267</f>
        <v>186339.12219628826</v>
      </c>
      <c r="H306" s="61">
        <f t="shared" ref="H306:Z306" si="57">H267</f>
        <v>227631.87167498574</v>
      </c>
      <c r="I306" s="61">
        <f t="shared" si="57"/>
        <v>257476.93929459498</v>
      </c>
      <c r="J306" s="61">
        <f t="shared" si="57"/>
        <v>262111.5242018977</v>
      </c>
      <c r="K306" s="61">
        <f t="shared" si="57"/>
        <v>266829.53163753182</v>
      </c>
      <c r="L306" s="61">
        <f t="shared" si="57"/>
        <v>271632.46320700739</v>
      </c>
      <c r="M306" s="61">
        <f t="shared" si="57"/>
        <v>276521.84754473355</v>
      </c>
      <c r="N306" s="61">
        <f t="shared" si="57"/>
        <v>281499.24080053874</v>
      </c>
      <c r="O306" s="61">
        <f t="shared" si="57"/>
        <v>286566.22713494842</v>
      </c>
      <c r="P306" s="61">
        <f t="shared" si="57"/>
        <v>291724.41922337748</v>
      </c>
      <c r="Q306" s="61">
        <f t="shared" si="57"/>
        <v>296975.45876939822</v>
      </c>
      <c r="R306" s="61">
        <f t="shared" si="57"/>
        <v>302321.01702724741</v>
      </c>
      <c r="S306" s="61">
        <f t="shared" si="57"/>
        <v>307762.79533373786</v>
      </c>
      <c r="T306" s="61">
        <f t="shared" si="57"/>
        <v>313302.52564974519</v>
      </c>
      <c r="U306" s="61">
        <f t="shared" si="57"/>
        <v>318941.97111144057</v>
      </c>
      <c r="V306" s="61">
        <f t="shared" si="57"/>
        <v>324682.92659144645</v>
      </c>
      <c r="W306" s="61">
        <f t="shared" si="57"/>
        <v>330527.21927009249</v>
      </c>
      <c r="X306" s="61">
        <f t="shared" si="57"/>
        <v>269181.36737356335</v>
      </c>
      <c r="Y306" s="61">
        <f t="shared" si="57"/>
        <v>205519.97398971565</v>
      </c>
      <c r="Z306" s="61">
        <f t="shared" si="57"/>
        <v>139479.55568102034</v>
      </c>
      <c r="AA306" s="61">
        <f>AA267</f>
        <v>70995.093841639376</v>
      </c>
      <c r="AB306" s="62"/>
    </row>
    <row r="307" spans="1:28" ht="10.5" x14ac:dyDescent="0.25">
      <c r="AB307" s="18"/>
    </row>
    <row r="308" spans="1:28" x14ac:dyDescent="0.2">
      <c r="A308" s="19" t="s">
        <v>157</v>
      </c>
      <c r="AB308" s="18"/>
    </row>
    <row r="309" spans="1:28" x14ac:dyDescent="0.2">
      <c r="A309" s="29" t="s">
        <v>85</v>
      </c>
      <c r="C309" s="19">
        <v>0</v>
      </c>
      <c r="D309" s="19">
        <v>0</v>
      </c>
      <c r="E309" s="19">
        <v>0</v>
      </c>
      <c r="F309" s="19">
        <v>0</v>
      </c>
      <c r="G309" s="10">
        <f>G293</f>
        <v>99834.098466399388</v>
      </c>
      <c r="H309" s="10">
        <f t="shared" ref="H309:AA309" si="58">H293</f>
        <v>119677.92923216789</v>
      </c>
      <c r="I309" s="10">
        <f t="shared" si="58"/>
        <v>133886.04311127838</v>
      </c>
      <c r="J309" s="10">
        <f t="shared" si="58"/>
        <v>136686.95371834218</v>
      </c>
      <c r="K309" s="10">
        <f t="shared" si="58"/>
        <v>139554.89941795357</v>
      </c>
      <c r="L309" s="10">
        <f t="shared" si="58"/>
        <v>139504.06637966563</v>
      </c>
      <c r="M309" s="10">
        <f t="shared" si="58"/>
        <v>142458.82777603238</v>
      </c>
      <c r="N309" s="10">
        <f t="shared" si="58"/>
        <v>145486.38865286723</v>
      </c>
      <c r="O309" s="10">
        <f t="shared" si="58"/>
        <v>148589.18963909769</v>
      </c>
      <c r="P309" s="10">
        <f t="shared" si="58"/>
        <v>151769.7887453725</v>
      </c>
      <c r="Q309" s="10">
        <f t="shared" si="58"/>
        <v>151764.13840274158</v>
      </c>
      <c r="R309" s="10">
        <f t="shared" si="58"/>
        <v>155049.71206116924</v>
      </c>
      <c r="S309" s="10">
        <f t="shared" si="58"/>
        <v>158420.47696645494</v>
      </c>
      <c r="T309" s="10">
        <f t="shared" si="58"/>
        <v>161879.51730110066</v>
      </c>
      <c r="U309" s="10">
        <f t="shared" si="58"/>
        <v>165430.07472551559</v>
      </c>
      <c r="V309" s="10">
        <f t="shared" si="58"/>
        <v>169075.55814017571</v>
      </c>
      <c r="W309" s="10">
        <f t="shared" si="58"/>
        <v>172819.55409885786</v>
      </c>
      <c r="X309" s="10">
        <f t="shared" si="58"/>
        <v>145068.55160257427</v>
      </c>
      <c r="Y309" s="10">
        <f t="shared" si="58"/>
        <v>116086.73542541728</v>
      </c>
      <c r="Z309" s="10">
        <f t="shared" si="58"/>
        <v>86501.663294642873</v>
      </c>
      <c r="AA309" s="10">
        <f t="shared" si="58"/>
        <v>54635.116820245777</v>
      </c>
      <c r="AB309" s="18"/>
    </row>
    <row r="310" spans="1:28" x14ac:dyDescent="0.2">
      <c r="A310" s="29" t="s">
        <v>150</v>
      </c>
      <c r="C310" s="19">
        <v>0</v>
      </c>
      <c r="D310" s="19">
        <v>0</v>
      </c>
      <c r="E310" s="19">
        <v>0</v>
      </c>
      <c r="F310" s="19">
        <v>0</v>
      </c>
      <c r="G310" s="10">
        <f ca="1">G300</f>
        <v>0</v>
      </c>
      <c r="H310" s="10">
        <f t="shared" ref="H310:AA310" ca="1" si="59">H300</f>
        <v>0</v>
      </c>
      <c r="I310" s="10">
        <f t="shared" ca="1" si="59"/>
        <v>0</v>
      </c>
      <c r="J310" s="10">
        <f t="shared" ca="1" si="59"/>
        <v>0</v>
      </c>
      <c r="K310" s="10">
        <f t="shared" ca="1" si="59"/>
        <v>3188.8762098444054</v>
      </c>
      <c r="L310" s="10">
        <f t="shared" ca="1" si="59"/>
        <v>7200.5446124215068</v>
      </c>
      <c r="M310" s="10">
        <f t="shared" ca="1" si="59"/>
        <v>7642.5605922941995</v>
      </c>
      <c r="N310" s="10">
        <f t="shared" ca="1" si="59"/>
        <v>8085.8693743638214</v>
      </c>
      <c r="O310" s="10">
        <f t="shared" ca="1" si="59"/>
        <v>22187.365583033312</v>
      </c>
      <c r="P310" s="10">
        <f t="shared" ca="1" si="59"/>
        <v>22523.556389999536</v>
      </c>
      <c r="Q310" s="10">
        <f t="shared" ca="1" si="59"/>
        <v>23417.193671070316</v>
      </c>
      <c r="R310" s="10">
        <f t="shared" ca="1" si="59"/>
        <v>23767.391052971972</v>
      </c>
      <c r="S310" s="10">
        <f t="shared" ca="1" si="59"/>
        <v>29868.463673456587</v>
      </c>
      <c r="T310" s="10">
        <f t="shared" ca="1" si="59"/>
        <v>30284.601669728909</v>
      </c>
      <c r="U310" s="10">
        <f t="shared" ca="1" si="59"/>
        <v>30702.379277184999</v>
      </c>
      <c r="V310" s="10">
        <f t="shared" ca="1" si="59"/>
        <v>31121.473690254148</v>
      </c>
      <c r="W310" s="10">
        <f t="shared" ca="1" si="59"/>
        <v>31541.533034246928</v>
      </c>
      <c r="X310" s="10">
        <f t="shared" ca="1" si="59"/>
        <v>24822.563154197818</v>
      </c>
      <c r="Y310" s="10">
        <f t="shared" ca="1" si="59"/>
        <v>17886.647712859674</v>
      </c>
      <c r="Z310" s="10">
        <f t="shared" ca="1" si="59"/>
        <v>10595.578477275494</v>
      </c>
      <c r="AA310" s="10">
        <f t="shared" ca="1" si="59"/>
        <v>3271.9954042787199</v>
      </c>
      <c r="AB310" s="18"/>
    </row>
    <row r="311" spans="1:28" x14ac:dyDescent="0.2">
      <c r="A311" s="29" t="s">
        <v>160</v>
      </c>
      <c r="C311" s="10">
        <f>C239</f>
        <v>15489.322011028038</v>
      </c>
      <c r="D311" s="10">
        <f>D239</f>
        <v>152425.25480318995</v>
      </c>
      <c r="E311" s="10">
        <f>E239</f>
        <v>267532.60239594366</v>
      </c>
      <c r="F311" s="10">
        <f>F239</f>
        <v>98045.348126065452</v>
      </c>
      <c r="AB311" s="18"/>
    </row>
    <row r="312" spans="1:28" s="60" customFormat="1" x14ac:dyDescent="0.2">
      <c r="A312" s="63" t="s">
        <v>158</v>
      </c>
      <c r="C312" s="61">
        <f>SUM(C309:C311)</f>
        <v>15489.322011028038</v>
      </c>
      <c r="D312" s="61">
        <f t="shared" ref="D312:AA312" si="60">SUM(D309:D311)</f>
        <v>152425.25480318995</v>
      </c>
      <c r="E312" s="61">
        <f t="shared" si="60"/>
        <v>267532.60239594366</v>
      </c>
      <c r="F312" s="61">
        <f t="shared" si="60"/>
        <v>98045.348126065452</v>
      </c>
      <c r="G312" s="61">
        <f t="shared" ca="1" si="60"/>
        <v>99834.098466399388</v>
      </c>
      <c r="H312" s="61">
        <f t="shared" ca="1" si="60"/>
        <v>119677.92923216789</v>
      </c>
      <c r="I312" s="61">
        <f t="shared" ca="1" si="60"/>
        <v>133886.04311127838</v>
      </c>
      <c r="J312" s="61">
        <f t="shared" ca="1" si="60"/>
        <v>136686.95371834218</v>
      </c>
      <c r="K312" s="61">
        <f t="shared" ca="1" si="60"/>
        <v>142743.77562779796</v>
      </c>
      <c r="L312" s="61">
        <f t="shared" ca="1" si="60"/>
        <v>146704.61099208714</v>
      </c>
      <c r="M312" s="61">
        <f t="shared" ca="1" si="60"/>
        <v>150101.38836832659</v>
      </c>
      <c r="N312" s="61">
        <f t="shared" ca="1" si="60"/>
        <v>153572.25802723106</v>
      </c>
      <c r="O312" s="61">
        <f t="shared" ca="1" si="60"/>
        <v>170776.55522213099</v>
      </c>
      <c r="P312" s="61">
        <f t="shared" ca="1" si="60"/>
        <v>174293.34513537204</v>
      </c>
      <c r="Q312" s="61">
        <f t="shared" ca="1" si="60"/>
        <v>175181.33207381191</v>
      </c>
      <c r="R312" s="61">
        <f t="shared" ca="1" si="60"/>
        <v>178817.10311414121</v>
      </c>
      <c r="S312" s="61">
        <f t="shared" ca="1" si="60"/>
        <v>188288.94063991151</v>
      </c>
      <c r="T312" s="61">
        <f t="shared" ca="1" si="60"/>
        <v>192164.11897082956</v>
      </c>
      <c r="U312" s="61">
        <f t="shared" ca="1" si="60"/>
        <v>196132.45400270057</v>
      </c>
      <c r="V312" s="61">
        <f t="shared" ca="1" si="60"/>
        <v>200197.03183042986</v>
      </c>
      <c r="W312" s="61">
        <f t="shared" ca="1" si="60"/>
        <v>204361.0871331048</v>
      </c>
      <c r="X312" s="61">
        <f t="shared" ca="1" si="60"/>
        <v>169891.11475677209</v>
      </c>
      <c r="Y312" s="61">
        <f t="shared" ca="1" si="60"/>
        <v>133973.38313827696</v>
      </c>
      <c r="Z312" s="61">
        <f t="shared" ca="1" si="60"/>
        <v>97097.241771918372</v>
      </c>
      <c r="AA312" s="61">
        <f t="shared" ca="1" si="60"/>
        <v>57907.112224524499</v>
      </c>
      <c r="AB312" s="62"/>
    </row>
    <row r="313" spans="1:28" ht="10.5" x14ac:dyDescent="0.25">
      <c r="A313" s="29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8"/>
    </row>
    <row r="314" spans="1:28" x14ac:dyDescent="0.2">
      <c r="A314" s="50" t="s">
        <v>184</v>
      </c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8"/>
    </row>
    <row r="315" spans="1:28" ht="10.5" x14ac:dyDescent="0.25"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8"/>
    </row>
    <row r="316" spans="1:28" s="60" customFormat="1" x14ac:dyDescent="0.2">
      <c r="A316" s="60" t="s">
        <v>161</v>
      </c>
      <c r="C316" s="61">
        <f>C306-C312</f>
        <v>-15489.322011028038</v>
      </c>
      <c r="D316" s="61">
        <f t="shared" ref="D316:AA316" si="61">D306-D312</f>
        <v>-152425.25480318995</v>
      </c>
      <c r="E316" s="61">
        <f t="shared" si="61"/>
        <v>-267532.60239594366</v>
      </c>
      <c r="F316" s="61">
        <f t="shared" si="61"/>
        <v>-98045.348126065452</v>
      </c>
      <c r="G316" s="61">
        <f t="shared" ca="1" si="61"/>
        <v>86505.023729888868</v>
      </c>
      <c r="H316" s="61">
        <f t="shared" ca="1" si="61"/>
        <v>107953.94244281785</v>
      </c>
      <c r="I316" s="61">
        <f t="shared" ca="1" si="61"/>
        <v>123590.8961833166</v>
      </c>
      <c r="J316" s="61">
        <f t="shared" ca="1" si="61"/>
        <v>125424.57048355552</v>
      </c>
      <c r="K316" s="61">
        <f t="shared" ca="1" si="61"/>
        <v>124085.75600973386</v>
      </c>
      <c r="L316" s="61">
        <f t="shared" ca="1" si="61"/>
        <v>124927.85221492025</v>
      </c>
      <c r="M316" s="61">
        <f t="shared" ca="1" si="61"/>
        <v>126420.45917640696</v>
      </c>
      <c r="N316" s="61">
        <f t="shared" ca="1" si="61"/>
        <v>127926.98277330768</v>
      </c>
      <c r="O316" s="61">
        <f t="shared" ca="1" si="61"/>
        <v>115789.67191281743</v>
      </c>
      <c r="P316" s="61">
        <f t="shared" ca="1" si="61"/>
        <v>117431.07408800544</v>
      </c>
      <c r="Q316" s="61">
        <f t="shared" ca="1" si="61"/>
        <v>121794.12669558631</v>
      </c>
      <c r="R316" s="61">
        <f t="shared" ca="1" si="61"/>
        <v>123503.9139131062</v>
      </c>
      <c r="S316" s="61">
        <f t="shared" ca="1" si="61"/>
        <v>119473.85469382635</v>
      </c>
      <c r="T316" s="61">
        <f t="shared" ca="1" si="61"/>
        <v>121138.40667891563</v>
      </c>
      <c r="U316" s="61">
        <f t="shared" ca="1" si="61"/>
        <v>122809.51710873999</v>
      </c>
      <c r="V316" s="61">
        <f t="shared" ca="1" si="61"/>
        <v>124485.89476101659</v>
      </c>
      <c r="W316" s="61">
        <f t="shared" ca="1" si="61"/>
        <v>126166.1321369877</v>
      </c>
      <c r="X316" s="61">
        <f t="shared" ca="1" si="61"/>
        <v>99290.252616791258</v>
      </c>
      <c r="Y316" s="61">
        <f t="shared" ca="1" si="61"/>
        <v>71546.590851438697</v>
      </c>
      <c r="Z316" s="61">
        <f t="shared" ca="1" si="61"/>
        <v>42382.313909101969</v>
      </c>
      <c r="AA316" s="61">
        <f t="shared" ca="1" si="61"/>
        <v>13087.981617114878</v>
      </c>
      <c r="AB316" s="62"/>
    </row>
    <row r="317" spans="1:28" ht="10.5" x14ac:dyDescent="0.25"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8"/>
    </row>
    <row r="318" spans="1:28" x14ac:dyDescent="0.2">
      <c r="A318" s="19" t="s">
        <v>56</v>
      </c>
      <c r="C318" s="10">
        <f>C249</f>
        <v>0</v>
      </c>
      <c r="D318" s="10">
        <f t="shared" ref="D318:AA318" si="62">D249</f>
        <v>23275</v>
      </c>
      <c r="E318" s="10">
        <f t="shared" si="62"/>
        <v>243430</v>
      </c>
      <c r="F318" s="10">
        <f t="shared" si="62"/>
        <v>96795</v>
      </c>
      <c r="G318" s="10">
        <f t="shared" si="62"/>
        <v>-77285.039685714291</v>
      </c>
      <c r="H318" s="10">
        <f t="shared" si="62"/>
        <v>-74019.474628571435</v>
      </c>
      <c r="I318" s="10">
        <f t="shared" si="62"/>
        <v>-70753.90957142858</v>
      </c>
      <c r="J318" s="10">
        <f t="shared" si="62"/>
        <v>-67488.344514285724</v>
      </c>
      <c r="K318" s="10">
        <f t="shared" si="62"/>
        <v>-64222.77945714286</v>
      </c>
      <c r="L318" s="10">
        <f t="shared" si="62"/>
        <v>-60957.214400000004</v>
      </c>
      <c r="M318" s="10">
        <f t="shared" si="62"/>
        <v>-57691.649342857148</v>
      </c>
      <c r="N318" s="10">
        <f t="shared" si="62"/>
        <v>0</v>
      </c>
      <c r="O318" s="10">
        <f t="shared" si="62"/>
        <v>0</v>
      </c>
      <c r="P318" s="10">
        <f t="shared" si="62"/>
        <v>0</v>
      </c>
      <c r="Q318" s="10">
        <f t="shared" si="62"/>
        <v>0</v>
      </c>
      <c r="R318" s="10">
        <f t="shared" si="62"/>
        <v>0</v>
      </c>
      <c r="S318" s="10">
        <f t="shared" si="62"/>
        <v>0</v>
      </c>
      <c r="T318" s="10">
        <f t="shared" si="62"/>
        <v>0</v>
      </c>
      <c r="U318" s="10">
        <f t="shared" si="62"/>
        <v>0</v>
      </c>
      <c r="V318" s="10">
        <f t="shared" si="62"/>
        <v>0</v>
      </c>
      <c r="W318" s="10">
        <f t="shared" si="62"/>
        <v>0</v>
      </c>
      <c r="X318" s="10">
        <f t="shared" si="62"/>
        <v>0</v>
      </c>
      <c r="Y318" s="10">
        <f t="shared" si="62"/>
        <v>0</v>
      </c>
      <c r="Z318" s="10">
        <f t="shared" si="62"/>
        <v>0</v>
      </c>
      <c r="AA318" s="10">
        <f t="shared" si="62"/>
        <v>0</v>
      </c>
      <c r="AB318" s="18"/>
    </row>
    <row r="319" spans="1:28" ht="10.5" x14ac:dyDescent="0.25">
      <c r="AB319" s="18"/>
    </row>
    <row r="320" spans="1:28" s="60" customFormat="1" x14ac:dyDescent="0.2">
      <c r="A320" s="60" t="s">
        <v>183</v>
      </c>
      <c r="C320" s="61">
        <f>C316+C318</f>
        <v>-15489.322011028038</v>
      </c>
      <c r="D320" s="61">
        <f t="shared" ref="D320:AA320" si="63">D316+D318</f>
        <v>-129150.25480318995</v>
      </c>
      <c r="E320" s="61">
        <f t="shared" si="63"/>
        <v>-24102.602395943657</v>
      </c>
      <c r="F320" s="61">
        <f t="shared" si="63"/>
        <v>-1250.3481260654517</v>
      </c>
      <c r="G320" s="61">
        <f t="shared" ca="1" si="63"/>
        <v>9219.9840441745764</v>
      </c>
      <c r="H320" s="61">
        <f t="shared" ca="1" si="63"/>
        <v>33934.467814246411</v>
      </c>
      <c r="I320" s="61">
        <f t="shared" ca="1" si="63"/>
        <v>52836.986611888016</v>
      </c>
      <c r="J320" s="61">
        <f t="shared" ca="1" si="63"/>
        <v>57936.225969269799</v>
      </c>
      <c r="K320" s="61">
        <f t="shared" ca="1" si="63"/>
        <v>59862.976552590997</v>
      </c>
      <c r="L320" s="61">
        <f t="shared" ca="1" si="63"/>
        <v>63970.637814920243</v>
      </c>
      <c r="M320" s="61">
        <f t="shared" ca="1" si="63"/>
        <v>68728.809833549807</v>
      </c>
      <c r="N320" s="61">
        <f t="shared" ca="1" si="63"/>
        <v>127926.98277330768</v>
      </c>
      <c r="O320" s="61">
        <f t="shared" ca="1" si="63"/>
        <v>115789.67191281743</v>
      </c>
      <c r="P320" s="61">
        <f t="shared" ca="1" si="63"/>
        <v>117431.07408800544</v>
      </c>
      <c r="Q320" s="61">
        <f t="shared" ca="1" si="63"/>
        <v>121794.12669558631</v>
      </c>
      <c r="R320" s="61">
        <f t="shared" ca="1" si="63"/>
        <v>123503.9139131062</v>
      </c>
      <c r="S320" s="61">
        <f t="shared" ca="1" si="63"/>
        <v>119473.85469382635</v>
      </c>
      <c r="T320" s="61">
        <f t="shared" ca="1" si="63"/>
        <v>121138.40667891563</v>
      </c>
      <c r="U320" s="61">
        <f t="shared" ca="1" si="63"/>
        <v>122809.51710873999</v>
      </c>
      <c r="V320" s="61">
        <f t="shared" ca="1" si="63"/>
        <v>124485.89476101659</v>
      </c>
      <c r="W320" s="61">
        <f t="shared" ca="1" si="63"/>
        <v>126166.1321369877</v>
      </c>
      <c r="X320" s="61">
        <f t="shared" ca="1" si="63"/>
        <v>99290.252616791258</v>
      </c>
      <c r="Y320" s="61">
        <f t="shared" ca="1" si="63"/>
        <v>71546.590851438697</v>
      </c>
      <c r="Z320" s="61">
        <f t="shared" ca="1" si="63"/>
        <v>42382.313909101969</v>
      </c>
      <c r="AA320" s="61">
        <f t="shared" ca="1" si="63"/>
        <v>13087.981617114878</v>
      </c>
      <c r="AB320" s="62"/>
    </row>
    <row r="321" spans="1:28" ht="10.5" x14ac:dyDescent="0.25">
      <c r="AB321" s="18"/>
    </row>
    <row r="322" spans="1:28" x14ac:dyDescent="0.2">
      <c r="A322" s="27" t="s">
        <v>168</v>
      </c>
      <c r="AB322" s="18"/>
    </row>
    <row r="323" spans="1:28" x14ac:dyDescent="0.2">
      <c r="A323" s="19" t="s">
        <v>169</v>
      </c>
      <c r="B323" s="10"/>
      <c r="C323" s="15"/>
      <c r="F323" s="10">
        <f>F325-F324</f>
        <v>171333.56239210576</v>
      </c>
      <c r="G323" s="10">
        <f t="shared" ref="G323:AA323" si="64">G325-G324</f>
        <v>145797.90033372218</v>
      </c>
      <c r="H323" s="10">
        <f t="shared" si="64"/>
        <v>120262.2382753386</v>
      </c>
      <c r="I323" s="10">
        <f t="shared" si="64"/>
        <v>94726.576216955</v>
      </c>
      <c r="J323" s="10">
        <f t="shared" si="64"/>
        <v>69190.914158571424</v>
      </c>
      <c r="K323" s="10">
        <f t="shared" si="64"/>
        <v>43655.252100187849</v>
      </c>
      <c r="L323" s="10">
        <f t="shared" si="64"/>
        <v>57196.359230746173</v>
      </c>
      <c r="M323" s="10">
        <f t="shared" si="64"/>
        <v>70737.466361304454</v>
      </c>
      <c r="N323" s="10">
        <f t="shared" si="64"/>
        <v>29852.489206148493</v>
      </c>
      <c r="O323" s="10">
        <f t="shared" si="64"/>
        <v>22389.366904611343</v>
      </c>
      <c r="P323" s="10">
        <f t="shared" si="64"/>
        <v>14926.244603074192</v>
      </c>
      <c r="Q323" s="10">
        <f t="shared" si="64"/>
        <v>7463.1223015370415</v>
      </c>
      <c r="R323" s="10">
        <f t="shared" si="64"/>
        <v>-1.0913936421275139E-10</v>
      </c>
      <c r="S323" s="10">
        <f t="shared" si="64"/>
        <v>-1.0913936421275139E-10</v>
      </c>
      <c r="T323" s="10">
        <f t="shared" si="64"/>
        <v>-1.0913936421275139E-10</v>
      </c>
      <c r="U323" s="10">
        <f t="shared" si="64"/>
        <v>-1.0913936421275139E-10</v>
      </c>
      <c r="V323" s="10">
        <f t="shared" si="64"/>
        <v>-1.0913936421275139E-10</v>
      </c>
      <c r="W323" s="10">
        <f t="shared" si="64"/>
        <v>-1.0913936421275139E-10</v>
      </c>
      <c r="X323" s="10">
        <f t="shared" si="64"/>
        <v>-1.0913936421275139E-10</v>
      </c>
      <c r="Y323" s="10">
        <f t="shared" si="64"/>
        <v>-1.0913936421275139E-10</v>
      </c>
      <c r="Z323" s="10">
        <f t="shared" si="64"/>
        <v>-1.0913936421275139E-10</v>
      </c>
      <c r="AA323" s="10">
        <f t="shared" si="64"/>
        <v>-1.0913936421275139E-10</v>
      </c>
      <c r="AB323" s="18"/>
    </row>
    <row r="324" spans="1:28" x14ac:dyDescent="0.2">
      <c r="A324" s="19" t="s">
        <v>170</v>
      </c>
      <c r="B324" s="10"/>
      <c r="C324" s="15"/>
      <c r="F324" s="10">
        <f t="shared" ref="F324:AA324" si="65">F247</f>
        <v>380982.59</v>
      </c>
      <c r="G324" s="10">
        <f t="shared" si="65"/>
        <v>326556.50571428571</v>
      </c>
      <c r="H324" s="10">
        <f t="shared" si="65"/>
        <v>272130.4214285714</v>
      </c>
      <c r="I324" s="10">
        <f t="shared" si="65"/>
        <v>217704.33714285711</v>
      </c>
      <c r="J324" s="10">
        <f t="shared" si="65"/>
        <v>163278.25285714283</v>
      </c>
      <c r="K324" s="10">
        <f t="shared" si="65"/>
        <v>108852.16857142854</v>
      </c>
      <c r="L324" s="10">
        <f t="shared" si="65"/>
        <v>54426.084285714249</v>
      </c>
      <c r="M324" s="10">
        <f t="shared" si="65"/>
        <v>0</v>
      </c>
      <c r="N324" s="10">
        <f t="shared" si="65"/>
        <v>0</v>
      </c>
      <c r="O324" s="10">
        <f t="shared" si="65"/>
        <v>0</v>
      </c>
      <c r="P324" s="10">
        <f t="shared" si="65"/>
        <v>0</v>
      </c>
      <c r="Q324" s="10">
        <f t="shared" si="65"/>
        <v>0</v>
      </c>
      <c r="R324" s="10">
        <f t="shared" si="65"/>
        <v>0</v>
      </c>
      <c r="S324" s="10">
        <f t="shared" si="65"/>
        <v>0</v>
      </c>
      <c r="T324" s="10">
        <f t="shared" si="65"/>
        <v>0</v>
      </c>
      <c r="U324" s="10">
        <f t="shared" si="65"/>
        <v>0</v>
      </c>
      <c r="V324" s="10">
        <f t="shared" si="65"/>
        <v>0</v>
      </c>
      <c r="W324" s="10">
        <f t="shared" si="65"/>
        <v>0</v>
      </c>
      <c r="X324" s="10">
        <f t="shared" si="65"/>
        <v>0</v>
      </c>
      <c r="Y324" s="10">
        <f t="shared" si="65"/>
        <v>0</v>
      </c>
      <c r="Z324" s="10">
        <f t="shared" si="65"/>
        <v>0</v>
      </c>
      <c r="AA324" s="10">
        <f t="shared" si="65"/>
        <v>0</v>
      </c>
      <c r="AB324" s="18"/>
    </row>
    <row r="325" spans="1:28" x14ac:dyDescent="0.2">
      <c r="A325" s="19" t="s">
        <v>174</v>
      </c>
      <c r="B325" s="12" t="s">
        <v>177</v>
      </c>
      <c r="F325" s="10">
        <f>B258</f>
        <v>552316.15239210578</v>
      </c>
      <c r="G325" s="10">
        <f>F325-G262</f>
        <v>472354.40604800789</v>
      </c>
      <c r="H325" s="10">
        <f t="shared" ref="H325:AA325" si="66">G325-H262</f>
        <v>392392.65970391</v>
      </c>
      <c r="I325" s="10">
        <f t="shared" si="66"/>
        <v>312430.91335981211</v>
      </c>
      <c r="J325" s="10">
        <f t="shared" si="66"/>
        <v>232469.16701571425</v>
      </c>
      <c r="K325" s="10">
        <f t="shared" si="66"/>
        <v>152507.42067161639</v>
      </c>
      <c r="L325" s="10">
        <f t="shared" si="66"/>
        <v>111622.44351646042</v>
      </c>
      <c r="M325" s="10">
        <f t="shared" si="66"/>
        <v>70737.466361304454</v>
      </c>
      <c r="N325" s="10">
        <f t="shared" si="66"/>
        <v>29852.489206148493</v>
      </c>
      <c r="O325" s="10">
        <f t="shared" si="66"/>
        <v>22389.366904611343</v>
      </c>
      <c r="P325" s="10">
        <f t="shared" si="66"/>
        <v>14926.244603074192</v>
      </c>
      <c r="Q325" s="10">
        <f t="shared" si="66"/>
        <v>7463.1223015370415</v>
      </c>
      <c r="R325" s="10">
        <f t="shared" si="66"/>
        <v>-1.0913936421275139E-10</v>
      </c>
      <c r="S325" s="10">
        <f t="shared" si="66"/>
        <v>-1.0913936421275139E-10</v>
      </c>
      <c r="T325" s="10">
        <f t="shared" si="66"/>
        <v>-1.0913936421275139E-10</v>
      </c>
      <c r="U325" s="10">
        <f t="shared" si="66"/>
        <v>-1.0913936421275139E-10</v>
      </c>
      <c r="V325" s="10">
        <f t="shared" si="66"/>
        <v>-1.0913936421275139E-10</v>
      </c>
      <c r="W325" s="10">
        <f t="shared" si="66"/>
        <v>-1.0913936421275139E-10</v>
      </c>
      <c r="X325" s="10">
        <f t="shared" si="66"/>
        <v>-1.0913936421275139E-10</v>
      </c>
      <c r="Y325" s="10">
        <f t="shared" si="66"/>
        <v>-1.0913936421275139E-10</v>
      </c>
      <c r="Z325" s="10">
        <f t="shared" si="66"/>
        <v>-1.0913936421275139E-10</v>
      </c>
      <c r="AA325" s="10">
        <f t="shared" si="66"/>
        <v>-1.0913936421275139E-10</v>
      </c>
      <c r="AB325" s="18"/>
    </row>
    <row r="326" spans="1:28" x14ac:dyDescent="0.2">
      <c r="A326" s="29" t="s">
        <v>175</v>
      </c>
      <c r="B326" s="16">
        <f>AVERAGE(F326:AA326)</f>
        <v>0.78749280730860316</v>
      </c>
      <c r="F326" s="16">
        <f>IF(F325=0,1,F323/F325)</f>
        <v>0.31020921921267824</v>
      </c>
      <c r="G326" s="16">
        <f t="shared" ref="G326:AA326" si="67">IF(G325=0,1,G323/G325)</f>
        <v>0.30866209453522903</v>
      </c>
      <c r="H326" s="16">
        <f t="shared" si="67"/>
        <v>0.3064844239596265</v>
      </c>
      <c r="I326" s="16">
        <f t="shared" si="67"/>
        <v>0.30319207276350024</v>
      </c>
      <c r="J326" s="16">
        <f t="shared" si="67"/>
        <v>0.29763480054924579</v>
      </c>
      <c r="K326" s="16">
        <f t="shared" si="67"/>
        <v>0.28625001923144228</v>
      </c>
      <c r="L326" s="16">
        <f t="shared" si="67"/>
        <v>0.51240913053754911</v>
      </c>
      <c r="M326" s="16">
        <f t="shared" si="67"/>
        <v>1</v>
      </c>
      <c r="N326" s="16">
        <f t="shared" si="67"/>
        <v>1</v>
      </c>
      <c r="O326" s="16">
        <f t="shared" si="67"/>
        <v>1</v>
      </c>
      <c r="P326" s="16">
        <f t="shared" si="67"/>
        <v>1</v>
      </c>
      <c r="Q326" s="16">
        <f t="shared" si="67"/>
        <v>1</v>
      </c>
      <c r="R326" s="16">
        <f t="shared" si="67"/>
        <v>1</v>
      </c>
      <c r="S326" s="16">
        <f t="shared" si="67"/>
        <v>1</v>
      </c>
      <c r="T326" s="16">
        <f t="shared" si="67"/>
        <v>1</v>
      </c>
      <c r="U326" s="16">
        <f t="shared" si="67"/>
        <v>1</v>
      </c>
      <c r="V326" s="16">
        <f t="shared" si="67"/>
        <v>1</v>
      </c>
      <c r="W326" s="16">
        <f t="shared" si="67"/>
        <v>1</v>
      </c>
      <c r="X326" s="16">
        <f t="shared" si="67"/>
        <v>1</v>
      </c>
      <c r="Y326" s="16">
        <f t="shared" si="67"/>
        <v>1</v>
      </c>
      <c r="Z326" s="16">
        <f t="shared" si="67"/>
        <v>1</v>
      </c>
      <c r="AA326" s="16">
        <f t="shared" si="67"/>
        <v>1</v>
      </c>
      <c r="AB326" s="18"/>
    </row>
    <row r="327" spans="1:28" x14ac:dyDescent="0.2">
      <c r="A327" s="29" t="s">
        <v>176</v>
      </c>
      <c r="B327" s="16">
        <f>1-B326</f>
        <v>0.21250719269139684</v>
      </c>
      <c r="F327" s="16">
        <f>1-F326</f>
        <v>0.68979078078732181</v>
      </c>
      <c r="G327" s="16">
        <f t="shared" ref="G327:AA327" si="68">1-G326</f>
        <v>0.69133790546477103</v>
      </c>
      <c r="H327" s="16">
        <f t="shared" si="68"/>
        <v>0.6935155760403735</v>
      </c>
      <c r="I327" s="16">
        <f t="shared" si="68"/>
        <v>0.69680792723649976</v>
      </c>
      <c r="J327" s="16">
        <f t="shared" si="68"/>
        <v>0.70236519945075426</v>
      </c>
      <c r="K327" s="16">
        <f t="shared" si="68"/>
        <v>0.71374998076855767</v>
      </c>
      <c r="L327" s="16">
        <f t="shared" si="68"/>
        <v>0.48759086946245089</v>
      </c>
      <c r="M327" s="16">
        <f t="shared" si="68"/>
        <v>0</v>
      </c>
      <c r="N327" s="16">
        <f t="shared" si="68"/>
        <v>0</v>
      </c>
      <c r="O327" s="16">
        <f>1-O326</f>
        <v>0</v>
      </c>
      <c r="P327" s="16">
        <f t="shared" si="68"/>
        <v>0</v>
      </c>
      <c r="Q327" s="16">
        <f t="shared" si="68"/>
        <v>0</v>
      </c>
      <c r="R327" s="16">
        <f t="shared" si="68"/>
        <v>0</v>
      </c>
      <c r="S327" s="16">
        <f t="shared" si="68"/>
        <v>0</v>
      </c>
      <c r="T327" s="16">
        <f t="shared" si="68"/>
        <v>0</v>
      </c>
      <c r="U327" s="16">
        <f t="shared" si="68"/>
        <v>0</v>
      </c>
      <c r="V327" s="16">
        <f t="shared" si="68"/>
        <v>0</v>
      </c>
      <c r="W327" s="16">
        <f t="shared" si="68"/>
        <v>0</v>
      </c>
      <c r="X327" s="16">
        <f t="shared" si="68"/>
        <v>0</v>
      </c>
      <c r="Y327" s="16">
        <f t="shared" si="68"/>
        <v>0</v>
      </c>
      <c r="Z327" s="16">
        <f t="shared" si="68"/>
        <v>0</v>
      </c>
      <c r="AA327" s="16">
        <f t="shared" si="68"/>
        <v>0</v>
      </c>
      <c r="AB327" s="18"/>
    </row>
    <row r="328" spans="1:28" ht="10.5" x14ac:dyDescent="0.25">
      <c r="B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8"/>
    </row>
    <row r="329" spans="1:28" x14ac:dyDescent="0.2">
      <c r="A329" s="19" t="s">
        <v>171</v>
      </c>
      <c r="B329" s="16">
        <f>B333*B326+B327*B48</f>
        <v>0.10709206987705457</v>
      </c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AB329" s="18"/>
    </row>
    <row r="330" spans="1:28" ht="15" customHeight="1" x14ac:dyDescent="0.2">
      <c r="A330" s="51" t="s">
        <v>172</v>
      </c>
      <c r="B330" s="52">
        <f ca="1">NPV(B329,C316:AA316)</f>
        <v>221510.40519249346</v>
      </c>
      <c r="D330" s="271"/>
      <c r="E330" s="272"/>
      <c r="F330" s="271"/>
      <c r="G330" s="271"/>
      <c r="H330" s="281"/>
      <c r="I330" s="281"/>
      <c r="J330" s="281"/>
      <c r="K330" s="281"/>
      <c r="L330" s="281"/>
      <c r="M330" s="281"/>
      <c r="N330" s="281"/>
      <c r="AB330" s="18"/>
    </row>
    <row r="331" spans="1:28" ht="15.75" customHeight="1" x14ac:dyDescent="0.2">
      <c r="A331" s="51" t="s">
        <v>173</v>
      </c>
      <c r="B331" s="53">
        <f ca="1">IRR(C316:AA316)</f>
        <v>0.17013625891420237</v>
      </c>
      <c r="D331" s="271"/>
      <c r="E331" s="273"/>
      <c r="F331" s="271"/>
      <c r="G331" s="271"/>
      <c r="H331" s="281"/>
      <c r="I331" s="281"/>
      <c r="J331" s="281"/>
      <c r="K331" s="281"/>
      <c r="L331" s="281"/>
      <c r="M331" s="281"/>
      <c r="N331" s="281"/>
      <c r="AB331" s="18"/>
    </row>
    <row r="332" spans="1:28" ht="10.5" x14ac:dyDescent="0.25">
      <c r="D332" s="274"/>
      <c r="E332" s="274"/>
      <c r="F332" s="274"/>
      <c r="G332" s="274"/>
      <c r="H332" s="274"/>
      <c r="I332" s="274"/>
      <c r="J332" s="274"/>
      <c r="K332" s="274"/>
      <c r="L332" s="274"/>
      <c r="M332" s="274"/>
      <c r="N332" s="20"/>
      <c r="AB332" s="18"/>
    </row>
    <row r="333" spans="1:28" x14ac:dyDescent="0.2">
      <c r="A333" s="19" t="s">
        <v>163</v>
      </c>
      <c r="B333" s="16">
        <f>(1+B50)*(1+C5)-1</f>
        <v>0.11980000000000013</v>
      </c>
      <c r="D333" s="274"/>
      <c r="E333" s="274"/>
      <c r="F333" s="274"/>
      <c r="G333" s="274"/>
      <c r="H333" s="274"/>
      <c r="I333" s="274"/>
      <c r="J333" s="274"/>
      <c r="K333" s="274"/>
      <c r="L333" s="274"/>
      <c r="M333" s="274"/>
      <c r="N333" s="20"/>
      <c r="AB333" s="18"/>
    </row>
    <row r="334" spans="1:28" ht="14.25" customHeight="1" x14ac:dyDescent="0.2">
      <c r="A334" s="51" t="s">
        <v>164</v>
      </c>
      <c r="B334" s="52">
        <f ca="1">NPV(B333,C320:AA320)</f>
        <v>212537.53901196798</v>
      </c>
      <c r="D334" s="271"/>
      <c r="E334" s="272"/>
      <c r="F334" s="271"/>
      <c r="G334" s="271"/>
      <c r="H334" s="281"/>
      <c r="I334" s="281"/>
      <c r="J334" s="281"/>
      <c r="K334" s="281"/>
      <c r="L334" s="281"/>
      <c r="M334" s="281"/>
      <c r="N334" s="281"/>
      <c r="AB334" s="18"/>
    </row>
    <row r="335" spans="1:28" ht="15" customHeight="1" x14ac:dyDescent="0.2">
      <c r="A335" s="51" t="s">
        <v>165</v>
      </c>
      <c r="B335" s="53">
        <f ca="1">IRR(C320:AA320)</f>
        <v>0.2287369287924732</v>
      </c>
      <c r="D335" s="271"/>
      <c r="E335" s="273"/>
      <c r="F335" s="271"/>
      <c r="G335" s="271"/>
      <c r="H335" s="281"/>
      <c r="I335" s="281"/>
      <c r="J335" s="281"/>
      <c r="K335" s="281"/>
      <c r="L335" s="281"/>
      <c r="M335" s="281"/>
      <c r="N335" s="281"/>
      <c r="AB335" s="18"/>
    </row>
    <row r="336" spans="1:28" ht="10.5" x14ac:dyDescent="0.25"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AB336" s="18"/>
    </row>
    <row r="337" spans="1:28" x14ac:dyDescent="0.2">
      <c r="A337" s="50" t="s">
        <v>185</v>
      </c>
      <c r="AB337" s="18"/>
    </row>
    <row r="338" spans="1:28" ht="10.5" x14ac:dyDescent="0.25">
      <c r="AB338" s="18"/>
    </row>
    <row r="339" spans="1:28" x14ac:dyDescent="0.2">
      <c r="A339" s="27" t="s">
        <v>161</v>
      </c>
      <c r="C339" s="10">
        <f>C316/(1+$C$5)^C$1</f>
        <v>-15215.444018691589</v>
      </c>
      <c r="D339" s="10">
        <f t="shared" ref="D339:AA343" si="69">D316/(1+$C$5)^D$1</f>
        <v>-147082.62551401873</v>
      </c>
      <c r="E339" s="10">
        <f t="shared" si="69"/>
        <v>-253590.73364485978</v>
      </c>
      <c r="F339" s="10">
        <f t="shared" si="69"/>
        <v>-91292.664112149549</v>
      </c>
      <c r="G339" s="10">
        <f t="shared" ca="1" si="69"/>
        <v>79122.944275931644</v>
      </c>
      <c r="H339" s="10">
        <f t="shared" ca="1" si="69"/>
        <v>96995.556534553558</v>
      </c>
      <c r="I339" s="10">
        <f t="shared" ca="1" si="69"/>
        <v>109081.73459963247</v>
      </c>
      <c r="J339" s="10">
        <f t="shared" ca="1" si="69"/>
        <v>108742.7717235091</v>
      </c>
      <c r="K339" s="10">
        <f t="shared" ca="1" si="69"/>
        <v>105679.7869417152</v>
      </c>
      <c r="L339" s="10">
        <f t="shared" ca="1" si="69"/>
        <v>104515.6903584278</v>
      </c>
      <c r="M339" s="10">
        <f t="shared" ca="1" si="69"/>
        <v>103894.32011584878</v>
      </c>
      <c r="N339" s="10">
        <f t="shared" ca="1" si="69"/>
        <v>103273.48220392973</v>
      </c>
      <c r="O339" s="10">
        <f t="shared" ca="1" si="69"/>
        <v>91822.41468320851</v>
      </c>
      <c r="P339" s="10">
        <f t="shared" ca="1" si="69"/>
        <v>91477.469241494051</v>
      </c>
      <c r="Q339" s="10">
        <f t="shared" ca="1" si="69"/>
        <v>93198.661620938015</v>
      </c>
      <c r="R339" s="10">
        <f t="shared" ca="1" si="69"/>
        <v>92835.968576487794</v>
      </c>
      <c r="S339" s="10">
        <f t="shared" ca="1" si="69"/>
        <v>88218.69924118054</v>
      </c>
      <c r="T339" s="10">
        <f t="shared" ca="1" si="69"/>
        <v>87866.201718907076</v>
      </c>
      <c r="U339" s="10">
        <f t="shared" ca="1" si="69"/>
        <v>87503.261692735134</v>
      </c>
      <c r="V339" s="10">
        <f t="shared" ca="1" si="69"/>
        <v>87129.372281524411</v>
      </c>
      <c r="W339" s="10">
        <f t="shared" ca="1" si="69"/>
        <v>86744.001269987784</v>
      </c>
      <c r="X339" s="10">
        <f t="shared" ca="1" si="69"/>
        <v>67058.757082104974</v>
      </c>
      <c r="Y339" s="10">
        <f t="shared" ca="1" si="69"/>
        <v>47466.810515856851</v>
      </c>
      <c r="Z339" s="10">
        <f t="shared" ca="1" si="69"/>
        <v>27620.910573789581</v>
      </c>
      <c r="AA339" s="10">
        <f t="shared" ca="1" si="69"/>
        <v>8378.7305898169816</v>
      </c>
      <c r="AB339" s="18"/>
    </row>
    <row r="340" spans="1:28" ht="10.5" x14ac:dyDescent="0.25">
      <c r="AB340" s="18"/>
    </row>
    <row r="341" spans="1:28" x14ac:dyDescent="0.2">
      <c r="A341" s="19" t="s">
        <v>56</v>
      </c>
      <c r="C341" s="10">
        <f>C318/(1+$C$5)^C$1</f>
        <v>0</v>
      </c>
      <c r="D341" s="10">
        <f t="shared" si="69"/>
        <v>22459.192298933536</v>
      </c>
      <c r="E341" s="10">
        <f t="shared" si="69"/>
        <v>230744.1849640685</v>
      </c>
      <c r="F341" s="10">
        <f t="shared" si="69"/>
        <v>90128.43129868267</v>
      </c>
      <c r="G341" s="10">
        <f t="shared" si="69"/>
        <v>-70689.76603613254</v>
      </c>
      <c r="H341" s="10">
        <f t="shared" si="69"/>
        <v>-66505.77064192442</v>
      </c>
      <c r="I341" s="10">
        <f t="shared" si="69"/>
        <v>-62447.635093682635</v>
      </c>
      <c r="J341" s="10">
        <f t="shared" si="69"/>
        <v>-58512.216651176117</v>
      </c>
      <c r="K341" s="10">
        <f t="shared" si="69"/>
        <v>-54696.444363067858</v>
      </c>
      <c r="L341" s="10">
        <f t="shared" si="69"/>
        <v>-50997.317510768866</v>
      </c>
      <c r="M341" s="10">
        <f t="shared" si="69"/>
        <v>-47411.904084878443</v>
      </c>
      <c r="N341" s="10">
        <f t="shared" si="69"/>
        <v>0</v>
      </c>
      <c r="O341" s="10">
        <f t="shared" si="69"/>
        <v>0</v>
      </c>
      <c r="P341" s="10">
        <f t="shared" si="69"/>
        <v>0</v>
      </c>
      <c r="Q341" s="10">
        <f t="shared" si="69"/>
        <v>0</v>
      </c>
      <c r="R341" s="10">
        <f t="shared" si="69"/>
        <v>0</v>
      </c>
      <c r="S341" s="10">
        <f t="shared" si="69"/>
        <v>0</v>
      </c>
      <c r="T341" s="10">
        <f t="shared" si="69"/>
        <v>0</v>
      </c>
      <c r="U341" s="10">
        <f t="shared" si="69"/>
        <v>0</v>
      </c>
      <c r="V341" s="10">
        <f t="shared" si="69"/>
        <v>0</v>
      </c>
      <c r="W341" s="10">
        <f t="shared" si="69"/>
        <v>0</v>
      </c>
      <c r="X341" s="10">
        <f t="shared" si="69"/>
        <v>0</v>
      </c>
      <c r="Y341" s="10">
        <f t="shared" si="69"/>
        <v>0</v>
      </c>
      <c r="Z341" s="10">
        <f t="shared" si="69"/>
        <v>0</v>
      </c>
      <c r="AA341" s="10">
        <f t="shared" si="69"/>
        <v>0</v>
      </c>
      <c r="AB341" s="18"/>
    </row>
    <row r="342" spans="1:28" ht="10.5" x14ac:dyDescent="0.25">
      <c r="AB342" s="18"/>
    </row>
    <row r="343" spans="1:28" x14ac:dyDescent="0.2">
      <c r="A343" s="27" t="s">
        <v>183</v>
      </c>
      <c r="C343" s="10">
        <f>C320/(1+$C$5)^C$1</f>
        <v>-15215.444018691589</v>
      </c>
      <c r="D343" s="10">
        <f t="shared" si="69"/>
        <v>-124623.4332150852</v>
      </c>
      <c r="E343" s="10">
        <f t="shared" si="69"/>
        <v>-22846.548680791289</v>
      </c>
      <c r="F343" s="10">
        <f t="shared" si="69"/>
        <v>-1164.2328134668803</v>
      </c>
      <c r="G343" s="10">
        <f t="shared" ca="1" si="69"/>
        <v>8433.1782397991028</v>
      </c>
      <c r="H343" s="10">
        <f t="shared" ca="1" si="69"/>
        <v>30489.785892629141</v>
      </c>
      <c r="I343" s="10">
        <f t="shared" ca="1" si="69"/>
        <v>46634.099505949845</v>
      </c>
      <c r="J343" s="10">
        <f t="shared" ca="1" si="69"/>
        <v>50230.555072332987</v>
      </c>
      <c r="K343" s="10">
        <f t="shared" ca="1" si="69"/>
        <v>50983.342578647338</v>
      </c>
      <c r="L343" s="10">
        <f t="shared" ca="1" si="69"/>
        <v>53518.372847658946</v>
      </c>
      <c r="M343" s="10">
        <f t="shared" ca="1" si="69"/>
        <v>56482.416030970329</v>
      </c>
      <c r="N343" s="10">
        <f t="shared" ca="1" si="69"/>
        <v>103273.48220392973</v>
      </c>
      <c r="O343" s="10">
        <f t="shared" ca="1" si="69"/>
        <v>91822.41468320851</v>
      </c>
      <c r="P343" s="10">
        <f t="shared" ca="1" si="69"/>
        <v>91477.469241494051</v>
      </c>
      <c r="Q343" s="10">
        <f t="shared" ca="1" si="69"/>
        <v>93198.661620938015</v>
      </c>
      <c r="R343" s="10">
        <f t="shared" ca="1" si="69"/>
        <v>92835.968576487794</v>
      </c>
      <c r="S343" s="10">
        <f t="shared" ca="1" si="69"/>
        <v>88218.69924118054</v>
      </c>
      <c r="T343" s="10">
        <f t="shared" ca="1" si="69"/>
        <v>87866.201718907076</v>
      </c>
      <c r="U343" s="10">
        <f t="shared" ca="1" si="69"/>
        <v>87503.261692735134</v>
      </c>
      <c r="V343" s="10">
        <f t="shared" ca="1" si="69"/>
        <v>87129.372281524411</v>
      </c>
      <c r="W343" s="10">
        <f t="shared" ca="1" si="69"/>
        <v>86744.001269987784</v>
      </c>
      <c r="X343" s="10">
        <f t="shared" ca="1" si="69"/>
        <v>67058.757082104974</v>
      </c>
      <c r="Y343" s="10">
        <f t="shared" ca="1" si="69"/>
        <v>47466.810515856851</v>
      </c>
      <c r="Z343" s="10">
        <f t="shared" ca="1" si="69"/>
        <v>27620.910573789581</v>
      </c>
      <c r="AA343" s="10">
        <f t="shared" ca="1" si="69"/>
        <v>8378.7305898169816</v>
      </c>
      <c r="AB343" s="18"/>
    </row>
    <row r="344" spans="1:28" ht="10.5" x14ac:dyDescent="0.25">
      <c r="AB344" s="18"/>
    </row>
    <row r="345" spans="1:28" x14ac:dyDescent="0.2">
      <c r="A345" s="19" t="s">
        <v>171</v>
      </c>
      <c r="B345" s="16">
        <f>(1+B329)/(1+$C$5)-1</f>
        <v>8.75167680521165E-2</v>
      </c>
      <c r="AB345" s="18"/>
    </row>
    <row r="346" spans="1:28" x14ac:dyDescent="0.2">
      <c r="A346" s="51" t="s">
        <v>172</v>
      </c>
      <c r="B346" s="52">
        <f ca="1">NPV(B345,C339:AA339)</f>
        <v>221510.40519249317</v>
      </c>
      <c r="D346" s="20"/>
      <c r="E346" s="275"/>
      <c r="F346" s="275"/>
      <c r="G346" s="275"/>
      <c r="H346" s="275"/>
      <c r="I346" s="275"/>
      <c r="J346" s="275"/>
      <c r="K346" s="275"/>
      <c r="L346" s="275"/>
      <c r="M346" s="275"/>
      <c r="N346" s="20"/>
      <c r="AB346" s="18"/>
    </row>
    <row r="347" spans="1:28" ht="13.8" x14ac:dyDescent="0.3">
      <c r="A347" s="51" t="s">
        <v>173</v>
      </c>
      <c r="B347" s="53">
        <f ca="1">IRR(C339:AA339)</f>
        <v>0.1494462268312402</v>
      </c>
      <c r="D347" s="278"/>
      <c r="E347" s="278"/>
      <c r="F347" s="278"/>
      <c r="G347" s="278"/>
      <c r="H347" s="278"/>
      <c r="I347" s="278"/>
      <c r="J347" s="278"/>
      <c r="K347" s="278"/>
      <c r="L347" s="278"/>
      <c r="M347" s="278"/>
      <c r="N347" s="20"/>
      <c r="AB347" s="18"/>
    </row>
    <row r="348" spans="1:28" ht="13.05" x14ac:dyDescent="0.3">
      <c r="D348" s="279"/>
      <c r="E348" s="279"/>
      <c r="F348" s="279"/>
      <c r="G348" s="279"/>
      <c r="H348" s="279"/>
      <c r="I348" s="279"/>
      <c r="J348" s="279"/>
      <c r="K348" s="279"/>
      <c r="L348" s="279"/>
      <c r="M348" s="279"/>
      <c r="N348" s="276"/>
      <c r="AB348" s="18"/>
    </row>
    <row r="349" spans="1:28" ht="13.8" x14ac:dyDescent="0.3">
      <c r="A349" s="19" t="s">
        <v>163</v>
      </c>
      <c r="B349" s="16">
        <f>B50</f>
        <v>0.1</v>
      </c>
      <c r="D349" s="279"/>
      <c r="E349" s="279"/>
      <c r="F349" s="279"/>
      <c r="G349" s="279"/>
      <c r="H349" s="279"/>
      <c r="I349" s="279"/>
      <c r="J349" s="279"/>
      <c r="K349" s="279"/>
      <c r="L349" s="279"/>
      <c r="M349" s="279"/>
      <c r="N349" s="20"/>
      <c r="AB349" s="18"/>
    </row>
    <row r="350" spans="1:28" ht="11.25" customHeight="1" x14ac:dyDescent="0.2">
      <c r="A350" s="51" t="s">
        <v>164</v>
      </c>
      <c r="B350" s="52">
        <f ca="1">NPV(B349,C343:AA343)</f>
        <v>212537.53901196813</v>
      </c>
      <c r="D350" s="277"/>
      <c r="E350" s="277"/>
      <c r="F350" s="277"/>
      <c r="G350" s="277"/>
      <c r="H350" s="277"/>
      <c r="I350" s="277"/>
      <c r="J350" s="277"/>
      <c r="K350" s="277"/>
      <c r="L350" s="277"/>
      <c r="M350" s="277"/>
      <c r="N350" s="20"/>
      <c r="AB350" s="18"/>
    </row>
    <row r="351" spans="1:28" x14ac:dyDescent="0.2">
      <c r="A351" s="51" t="s">
        <v>165</v>
      </c>
      <c r="B351" s="53">
        <f ca="1">IRR(C343:AA343)</f>
        <v>0.20701073555252858</v>
      </c>
      <c r="D351" s="277"/>
      <c r="E351" s="277"/>
      <c r="F351" s="277"/>
      <c r="G351" s="277"/>
      <c r="H351" s="277"/>
      <c r="I351" s="277"/>
      <c r="J351" s="277"/>
      <c r="K351" s="277"/>
      <c r="L351" s="277"/>
      <c r="M351" s="277"/>
      <c r="N351" s="20"/>
      <c r="AB351" s="18"/>
    </row>
    <row r="352" spans="1:28" ht="10.5" x14ac:dyDescent="0.25"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</row>
    <row r="353" spans="4:14" ht="10.5" x14ac:dyDescent="0.25"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</row>
    <row r="354" spans="4:14" ht="10.5" x14ac:dyDescent="0.25"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</row>
    <row r="355" spans="4:14" ht="10.5" x14ac:dyDescent="0.25"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</row>
  </sheetData>
  <mergeCells count="7">
    <mergeCell ref="D350:M351"/>
    <mergeCell ref="D347:M347"/>
    <mergeCell ref="D348:M348"/>
    <mergeCell ref="D349:M349"/>
    <mergeCell ref="A1:A2"/>
    <mergeCell ref="H330:N331"/>
    <mergeCell ref="H334:N335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41"/>
  <sheetViews>
    <sheetView workbookViewId="0">
      <selection activeCell="J31" sqref="J31"/>
    </sheetView>
  </sheetViews>
  <sheetFormatPr defaultColWidth="9" defaultRowHeight="13.8" x14ac:dyDescent="0.3"/>
  <cols>
    <col min="1" max="1" width="20.77734375" style="152" customWidth="1"/>
    <col min="2" max="4" width="12.77734375" style="152" customWidth="1"/>
    <col min="5" max="5" width="2.77734375" style="152" customWidth="1"/>
    <col min="6" max="16384" width="9" style="152"/>
  </cols>
  <sheetData>
    <row r="1" spans="1:3" x14ac:dyDescent="0.3">
      <c r="B1" s="179" t="s">
        <v>236</v>
      </c>
      <c r="C1" s="179" t="s">
        <v>237</v>
      </c>
    </row>
    <row r="2" spans="1:3" x14ac:dyDescent="0.3">
      <c r="A2" s="152" t="s">
        <v>238</v>
      </c>
      <c r="B2" s="180">
        <v>1067</v>
      </c>
      <c r="C2" s="181">
        <v>4.4999999999999997E-3</v>
      </c>
    </row>
    <row r="3" spans="1:3" x14ac:dyDescent="0.3">
      <c r="A3" s="152" t="s">
        <v>239</v>
      </c>
      <c r="B3" s="180">
        <v>1389</v>
      </c>
      <c r="C3" s="181">
        <v>5.0000000000000001E-3</v>
      </c>
    </row>
    <row r="4" spans="1:3" x14ac:dyDescent="0.3">
      <c r="A4" s="179" t="s">
        <v>322</v>
      </c>
      <c r="B4" s="180">
        <f>'Financial Model'!$B$258/1000</f>
        <v>552.31615239210578</v>
      </c>
    </row>
    <row r="5" spans="1:3" ht="13.05" x14ac:dyDescent="0.3">
      <c r="B5" s="180"/>
    </row>
    <row r="6" spans="1:3" ht="13.05" x14ac:dyDescent="0.3">
      <c r="B6" s="180"/>
    </row>
    <row r="8" spans="1:3" x14ac:dyDescent="0.3">
      <c r="A8" s="152" t="s">
        <v>240</v>
      </c>
    </row>
    <row r="9" spans="1:3" ht="13.05" x14ac:dyDescent="0.3">
      <c r="A9" s="179" t="s">
        <v>241</v>
      </c>
      <c r="B9" s="182">
        <f>(C3-C2)/(B3-B2)</f>
        <v>1.5527950310559019E-6</v>
      </c>
    </row>
    <row r="10" spans="1:3" ht="13.05" x14ac:dyDescent="0.3">
      <c r="A10" s="179" t="s">
        <v>242</v>
      </c>
      <c r="B10" s="182">
        <f>C2-B9*B2</f>
        <v>2.8431677018633523E-3</v>
      </c>
    </row>
    <row r="11" spans="1:3" x14ac:dyDescent="0.3">
      <c r="A11" s="179" t="s">
        <v>243</v>
      </c>
    </row>
    <row r="12" spans="1:3" ht="13.05" x14ac:dyDescent="0.3">
      <c r="B12" s="180">
        <v>0</v>
      </c>
      <c r="C12" s="182">
        <f>$B$9*B12+$B$10</f>
        <v>2.8431677018633523E-3</v>
      </c>
    </row>
    <row r="13" spans="1:3" ht="13.05" x14ac:dyDescent="0.3">
      <c r="B13" s="180">
        <f>B2</f>
        <v>1067</v>
      </c>
      <c r="C13" s="182">
        <f t="shared" ref="C13:C14" si="0">$B$9*B13+$B$10</f>
        <v>4.4999999999999997E-3</v>
      </c>
    </row>
    <row r="14" spans="1:3" ht="13.05" x14ac:dyDescent="0.3">
      <c r="B14" s="180">
        <f>B3</f>
        <v>1389</v>
      </c>
      <c r="C14" s="182">
        <f t="shared" si="0"/>
        <v>5.0000000000000001E-3</v>
      </c>
    </row>
    <row r="15" spans="1:3" ht="13.05" x14ac:dyDescent="0.3">
      <c r="B15" s="180">
        <v>2000</v>
      </c>
      <c r="C15" s="182">
        <f>$B$9*B15+$B$10</f>
        <v>5.9487577639751564E-3</v>
      </c>
    </row>
    <row r="17" spans="1:15" x14ac:dyDescent="0.3">
      <c r="A17" s="152" t="s">
        <v>244</v>
      </c>
    </row>
    <row r="18" spans="1:15" ht="13.05" x14ac:dyDescent="0.3">
      <c r="A18" s="179" t="s">
        <v>245</v>
      </c>
      <c r="B18" s="182">
        <f>(C3-C2)/(B3-B4-B2)</f>
        <v>-2.1709289374926976E-6</v>
      </c>
    </row>
    <row r="19" spans="1:15" ht="13.05" x14ac:dyDescent="0.3">
      <c r="A19" s="179" t="s">
        <v>246</v>
      </c>
      <c r="B19" s="182">
        <f>(C2-B2*B18)</f>
        <v>6.8163811763047085E-3</v>
      </c>
    </row>
    <row r="20" spans="1:15" x14ac:dyDescent="0.3">
      <c r="A20" s="179" t="s">
        <v>247</v>
      </c>
      <c r="C20" s="179" t="s">
        <v>238</v>
      </c>
      <c r="D20" s="179" t="s">
        <v>239</v>
      </c>
    </row>
    <row r="21" spans="1:15" ht="13.05" x14ac:dyDescent="0.3">
      <c r="B21" s="180">
        <v>0</v>
      </c>
      <c r="C21" s="182">
        <f>$B$18*$B21+$B$19</f>
        <v>6.8163811763047085E-3</v>
      </c>
      <c r="D21" s="182">
        <f>$B$18*$B21+$B$19-$B$18*$B$4</f>
        <v>8.0154202941773584E-3</v>
      </c>
    </row>
    <row r="22" spans="1:15" ht="13.05" x14ac:dyDescent="0.3">
      <c r="B22" s="180">
        <f>B2</f>
        <v>1067</v>
      </c>
      <c r="C22" s="182">
        <f t="shared" ref="C22:C24" si="1">$B$18*$B22+$B$19</f>
        <v>4.5000000000000005E-3</v>
      </c>
      <c r="D22" s="182">
        <f t="shared" ref="D22:D24" si="2">$B$18*$B22+$B$19-$B$18*$B$4</f>
        <v>5.6990391178726495E-3</v>
      </c>
    </row>
    <row r="23" spans="1:15" ht="13.05" x14ac:dyDescent="0.3">
      <c r="B23" s="180">
        <f>B3</f>
        <v>1389</v>
      </c>
      <c r="C23" s="182">
        <f t="shared" si="1"/>
        <v>3.8009608821273516E-3</v>
      </c>
      <c r="D23" s="182">
        <f t="shared" si="2"/>
        <v>5.000000000000001E-3</v>
      </c>
    </row>
    <row r="24" spans="1:15" ht="13.05" x14ac:dyDescent="0.3">
      <c r="B24" s="180">
        <v>2000</v>
      </c>
      <c r="C24" s="182">
        <f t="shared" si="1"/>
        <v>2.4745233013193134E-3</v>
      </c>
      <c r="D24" s="182">
        <f t="shared" si="2"/>
        <v>3.6735624191919624E-3</v>
      </c>
      <c r="N24" s="197"/>
      <c r="O24" s="197"/>
    </row>
    <row r="25" spans="1:15" x14ac:dyDescent="0.3">
      <c r="F25" s="183" t="s">
        <v>251</v>
      </c>
      <c r="G25" s="184"/>
      <c r="H25" s="184"/>
      <c r="I25" s="184"/>
      <c r="J25" s="184"/>
      <c r="K25" s="184"/>
      <c r="L25" s="184"/>
      <c r="M25" s="185"/>
      <c r="N25" s="198"/>
      <c r="O25" s="197"/>
    </row>
    <row r="26" spans="1:15" ht="15.6" x14ac:dyDescent="0.35">
      <c r="A26" s="179" t="s">
        <v>248</v>
      </c>
      <c r="B26" s="152">
        <v>0</v>
      </c>
      <c r="C26" s="181">
        <f>C27</f>
        <v>4.4999999999999997E-3</v>
      </c>
      <c r="F26" s="186"/>
      <c r="G26" s="187" t="s">
        <v>314</v>
      </c>
      <c r="H26" s="188"/>
      <c r="I26" s="188"/>
      <c r="J26" s="189">
        <f>0.5*(C2+C3)*(B3-B2)</f>
        <v>1.5294999999999999</v>
      </c>
      <c r="K26" s="188" t="s">
        <v>252</v>
      </c>
      <c r="L26" s="188"/>
      <c r="M26" s="190"/>
      <c r="N26" s="198"/>
      <c r="O26" s="197"/>
    </row>
    <row r="27" spans="1:15" x14ac:dyDescent="0.3">
      <c r="A27" s="179"/>
      <c r="B27" s="180">
        <f>B2</f>
        <v>1067</v>
      </c>
      <c r="C27" s="181">
        <f>C2</f>
        <v>4.4999999999999997E-3</v>
      </c>
      <c r="F27" s="186" t="s">
        <v>253</v>
      </c>
      <c r="G27" s="188"/>
      <c r="H27" s="188"/>
      <c r="I27" s="188"/>
      <c r="J27" s="188"/>
      <c r="K27" s="188"/>
      <c r="L27" s="188"/>
      <c r="M27" s="190"/>
      <c r="N27" s="198"/>
      <c r="O27" s="197"/>
    </row>
    <row r="28" spans="1:15" ht="15.6" x14ac:dyDescent="0.35">
      <c r="A28" s="179"/>
      <c r="B28" s="180">
        <f>B27</f>
        <v>1067</v>
      </c>
      <c r="C28" s="152">
        <v>0</v>
      </c>
      <c r="F28" s="186"/>
      <c r="G28" s="187" t="s">
        <v>315</v>
      </c>
      <c r="H28" s="188"/>
      <c r="I28" s="188"/>
      <c r="J28" s="189">
        <f>0.5*(C2+C3)*(B2-B35)</f>
        <v>1.0940017238625024</v>
      </c>
      <c r="K28" s="188" t="s">
        <v>252</v>
      </c>
      <c r="L28" s="188"/>
      <c r="M28" s="190"/>
      <c r="N28" s="198"/>
      <c r="O28" s="197"/>
    </row>
    <row r="29" spans="1:15" ht="13.05" x14ac:dyDescent="0.3">
      <c r="A29" s="179"/>
      <c r="F29" s="186"/>
      <c r="G29" s="188"/>
      <c r="H29" s="188"/>
      <c r="I29" s="188"/>
      <c r="J29" s="188"/>
      <c r="K29" s="188"/>
      <c r="L29" s="188"/>
      <c r="M29" s="190"/>
      <c r="N29" s="198"/>
      <c r="O29" s="197"/>
    </row>
    <row r="30" spans="1:15" x14ac:dyDescent="0.3">
      <c r="A30" s="179" t="s">
        <v>249</v>
      </c>
      <c r="B30" s="152">
        <v>0</v>
      </c>
      <c r="C30" s="181">
        <f>C31</f>
        <v>5.0000000000000001E-3</v>
      </c>
      <c r="F30" s="186" t="s">
        <v>254</v>
      </c>
      <c r="G30" s="188"/>
      <c r="H30" s="188"/>
      <c r="I30" s="188"/>
      <c r="J30" s="189">
        <f>J26+J28</f>
        <v>2.6235017238625025</v>
      </c>
      <c r="K30" s="188" t="s">
        <v>252</v>
      </c>
      <c r="L30" s="188"/>
      <c r="M30" s="190"/>
      <c r="N30" s="198"/>
      <c r="O30" s="197"/>
    </row>
    <row r="31" spans="1:15" x14ac:dyDescent="0.3">
      <c r="A31" s="179"/>
      <c r="B31" s="180">
        <f>B3</f>
        <v>1389</v>
      </c>
      <c r="C31" s="182">
        <f>C3</f>
        <v>5.0000000000000001E-3</v>
      </c>
      <c r="F31" s="191" t="s">
        <v>255</v>
      </c>
      <c r="G31" s="192"/>
      <c r="H31" s="192"/>
      <c r="I31" s="192"/>
      <c r="J31" s="193">
        <f>J30/B4</f>
        <v>4.7499999999999999E-3</v>
      </c>
      <c r="K31" s="192"/>
      <c r="L31" s="192"/>
      <c r="M31" s="194"/>
      <c r="N31" s="198"/>
      <c r="O31" s="197"/>
    </row>
    <row r="32" spans="1:15" ht="13.05" x14ac:dyDescent="0.3">
      <c r="A32" s="179"/>
      <c r="B32" s="180">
        <f>B31</f>
        <v>1389</v>
      </c>
      <c r="C32" s="152">
        <v>0</v>
      </c>
      <c r="N32" s="197"/>
      <c r="O32" s="197"/>
    </row>
    <row r="33" spans="1:15" x14ac:dyDescent="0.3">
      <c r="A33" s="179"/>
      <c r="F33" s="183" t="s">
        <v>313</v>
      </c>
      <c r="G33" s="184"/>
      <c r="H33" s="184"/>
      <c r="I33" s="184"/>
      <c r="J33" s="199" t="s">
        <v>307</v>
      </c>
      <c r="K33" s="184"/>
      <c r="L33" s="184"/>
      <c r="M33" s="200" t="s">
        <v>308</v>
      </c>
      <c r="N33" s="197"/>
      <c r="O33" s="197"/>
    </row>
    <row r="34" spans="1:15" ht="15" x14ac:dyDescent="0.35">
      <c r="A34" s="179" t="s">
        <v>250</v>
      </c>
      <c r="B34" s="152">
        <v>0</v>
      </c>
      <c r="C34" s="181">
        <f>C35</f>
        <v>5.0000000000000001E-3</v>
      </c>
      <c r="F34" s="186"/>
      <c r="G34" s="187" t="s">
        <v>316</v>
      </c>
      <c r="H34" s="188"/>
      <c r="I34" s="188"/>
      <c r="J34" s="189">
        <f>0.5*(C3-C2)*(B2+B3)</f>
        <v>0.61400000000000055</v>
      </c>
      <c r="K34" s="188" t="s">
        <v>252</v>
      </c>
      <c r="L34" s="188"/>
      <c r="M34" s="195">
        <f>J34/$J$38</f>
        <v>4.4467285437207567</v>
      </c>
      <c r="N34" s="197"/>
      <c r="O34" s="197"/>
    </row>
    <row r="35" spans="1:15" x14ac:dyDescent="0.3">
      <c r="B35" s="180">
        <f>B3-B4</f>
        <v>836.68384760789422</v>
      </c>
      <c r="C35" s="181">
        <f>C3</f>
        <v>5.0000000000000001E-3</v>
      </c>
      <c r="F35" s="186" t="s">
        <v>304</v>
      </c>
      <c r="G35" s="188"/>
      <c r="H35" s="188"/>
      <c r="I35" s="188"/>
      <c r="J35" s="188"/>
      <c r="K35" s="188"/>
      <c r="L35" s="188"/>
      <c r="M35" s="190"/>
    </row>
    <row r="36" spans="1:15" ht="15" x14ac:dyDescent="0.35">
      <c r="B36" s="180">
        <f>B35</f>
        <v>836.68384760789422</v>
      </c>
      <c r="C36" s="152">
        <v>0</v>
      </c>
      <c r="F36" s="186"/>
      <c r="G36" s="187" t="s">
        <v>317</v>
      </c>
      <c r="H36" s="188"/>
      <c r="I36" s="188"/>
      <c r="J36" s="189">
        <f>-0.5*(C3-C2)*(B2+B35)</f>
        <v>-0.47592096190197397</v>
      </c>
      <c r="K36" s="188" t="s">
        <v>252</v>
      </c>
      <c r="L36" s="188"/>
      <c r="M36" s="195">
        <f>J36/$J$38</f>
        <v>-3.4467285437207562</v>
      </c>
    </row>
    <row r="37" spans="1:15" x14ac:dyDescent="0.3">
      <c r="F37" s="186" t="s">
        <v>305</v>
      </c>
      <c r="G37" s="188"/>
      <c r="H37" s="188"/>
      <c r="I37" s="188"/>
      <c r="J37" s="188"/>
      <c r="K37" s="188"/>
      <c r="L37" s="188"/>
      <c r="M37" s="190"/>
    </row>
    <row r="38" spans="1:15" ht="15" x14ac:dyDescent="0.35">
      <c r="F38" s="186"/>
      <c r="G38" s="187" t="s">
        <v>318</v>
      </c>
      <c r="H38" s="188"/>
      <c r="I38" s="188"/>
      <c r="J38" s="189">
        <f>J34+J36</f>
        <v>0.13807903809802657</v>
      </c>
      <c r="K38" s="188" t="s">
        <v>252</v>
      </c>
      <c r="L38" s="188"/>
      <c r="M38" s="190"/>
    </row>
    <row r="39" spans="1:15" x14ac:dyDescent="0.3">
      <c r="F39" s="186" t="s">
        <v>306</v>
      </c>
      <c r="G39" s="188"/>
      <c r="H39" s="188"/>
      <c r="I39" s="188"/>
      <c r="J39" s="188"/>
      <c r="K39" s="188"/>
      <c r="L39" s="188"/>
      <c r="M39" s="190"/>
    </row>
    <row r="40" spans="1:15" ht="15.6" x14ac:dyDescent="0.35">
      <c r="F40" s="186"/>
      <c r="G40" s="187" t="s">
        <v>319</v>
      </c>
      <c r="H40" s="188"/>
      <c r="I40" s="188"/>
      <c r="J40" s="189">
        <f>B4*C3</f>
        <v>2.7615807619605288</v>
      </c>
      <c r="K40" s="188" t="s">
        <v>252</v>
      </c>
      <c r="L40" s="188"/>
      <c r="M40" s="190"/>
    </row>
    <row r="41" spans="1:15" x14ac:dyDescent="0.3">
      <c r="F41" s="191" t="s">
        <v>254</v>
      </c>
      <c r="G41" s="192"/>
      <c r="H41" s="192"/>
      <c r="I41" s="192"/>
      <c r="J41" s="196">
        <f>J40-J38</f>
        <v>2.6235017238625025</v>
      </c>
      <c r="K41" s="192" t="s">
        <v>252</v>
      </c>
      <c r="L41" s="192"/>
      <c r="M41" s="194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zoomScaleNormal="100" workbookViewId="0">
      <pane xSplit="1" ySplit="2" topLeftCell="B19" activePane="bottomRight" state="frozen"/>
      <selection pane="topRight" activeCell="B1" sqref="B1"/>
      <selection pane="bottomLeft" activeCell="A3" sqref="A3"/>
      <selection pane="bottomRight" activeCell="B26" sqref="B26"/>
    </sheetView>
  </sheetViews>
  <sheetFormatPr defaultRowHeight="13.2" x14ac:dyDescent="0.25"/>
  <cols>
    <col min="1" max="1" width="43.77734375" style="212" bestFit="1" customWidth="1"/>
    <col min="2" max="2" width="13.77734375" style="212" customWidth="1"/>
    <col min="3" max="3" width="27" style="212" bestFit="1" customWidth="1"/>
    <col min="4" max="4" width="22.77734375" style="212" bestFit="1" customWidth="1"/>
    <col min="5" max="5" width="13.44140625" style="212" customWidth="1"/>
    <col min="6" max="255" width="9" style="212"/>
    <col min="256" max="256" width="39.77734375" style="212" bestFit="1" customWidth="1"/>
    <col min="257" max="257" width="6.44140625" style="212" customWidth="1"/>
    <col min="258" max="258" width="9.44140625" style="212" bestFit="1" customWidth="1"/>
    <col min="259" max="260" width="9" style="212"/>
    <col min="261" max="261" width="8.77734375" style="212" bestFit="1" customWidth="1"/>
    <col min="262" max="511" width="9" style="212"/>
    <col min="512" max="512" width="39.77734375" style="212" bestFit="1" customWidth="1"/>
    <col min="513" max="513" width="6.44140625" style="212" customWidth="1"/>
    <col min="514" max="514" width="9.44140625" style="212" bestFit="1" customWidth="1"/>
    <col min="515" max="516" width="9" style="212"/>
    <col min="517" max="517" width="8.77734375" style="212" bestFit="1" customWidth="1"/>
    <col min="518" max="767" width="9" style="212"/>
    <col min="768" max="768" width="39.77734375" style="212" bestFit="1" customWidth="1"/>
    <col min="769" max="769" width="6.44140625" style="212" customWidth="1"/>
    <col min="770" max="770" width="9.44140625" style="212" bestFit="1" customWidth="1"/>
    <col min="771" max="772" width="9" style="212"/>
    <col min="773" max="773" width="8.77734375" style="212" bestFit="1" customWidth="1"/>
    <col min="774" max="1023" width="9" style="212"/>
    <col min="1024" max="1024" width="39.77734375" style="212" bestFit="1" customWidth="1"/>
    <col min="1025" max="1025" width="6.44140625" style="212" customWidth="1"/>
    <col min="1026" max="1026" width="9.44140625" style="212" bestFit="1" customWidth="1"/>
    <col min="1027" max="1028" width="9" style="212"/>
    <col min="1029" max="1029" width="8.77734375" style="212" bestFit="1" customWidth="1"/>
    <col min="1030" max="1279" width="9" style="212"/>
    <col min="1280" max="1280" width="39.77734375" style="212" bestFit="1" customWidth="1"/>
    <col min="1281" max="1281" width="6.44140625" style="212" customWidth="1"/>
    <col min="1282" max="1282" width="9.44140625" style="212" bestFit="1" customWidth="1"/>
    <col min="1283" max="1284" width="9" style="212"/>
    <col min="1285" max="1285" width="8.77734375" style="212" bestFit="1" customWidth="1"/>
    <col min="1286" max="1535" width="9" style="212"/>
    <col min="1536" max="1536" width="39.77734375" style="212" bestFit="1" customWidth="1"/>
    <col min="1537" max="1537" width="6.44140625" style="212" customWidth="1"/>
    <col min="1538" max="1538" width="9.44140625" style="212" bestFit="1" customWidth="1"/>
    <col min="1539" max="1540" width="9" style="212"/>
    <col min="1541" max="1541" width="8.77734375" style="212" bestFit="1" customWidth="1"/>
    <col min="1542" max="1791" width="9" style="212"/>
    <col min="1792" max="1792" width="39.77734375" style="212" bestFit="1" customWidth="1"/>
    <col min="1793" max="1793" width="6.44140625" style="212" customWidth="1"/>
    <col min="1794" max="1794" width="9.44140625" style="212" bestFit="1" customWidth="1"/>
    <col min="1795" max="1796" width="9" style="212"/>
    <col min="1797" max="1797" width="8.77734375" style="212" bestFit="1" customWidth="1"/>
    <col min="1798" max="2047" width="9" style="212"/>
    <col min="2048" max="2048" width="39.77734375" style="212" bestFit="1" customWidth="1"/>
    <col min="2049" max="2049" width="6.44140625" style="212" customWidth="1"/>
    <col min="2050" max="2050" width="9.44140625" style="212" bestFit="1" customWidth="1"/>
    <col min="2051" max="2052" width="9" style="212"/>
    <col min="2053" max="2053" width="8.77734375" style="212" bestFit="1" customWidth="1"/>
    <col min="2054" max="2303" width="9" style="212"/>
    <col min="2304" max="2304" width="39.77734375" style="212" bestFit="1" customWidth="1"/>
    <col min="2305" max="2305" width="6.44140625" style="212" customWidth="1"/>
    <col min="2306" max="2306" width="9.44140625" style="212" bestFit="1" customWidth="1"/>
    <col min="2307" max="2308" width="9" style="212"/>
    <col min="2309" max="2309" width="8.77734375" style="212" bestFit="1" customWidth="1"/>
    <col min="2310" max="2559" width="9" style="212"/>
    <col min="2560" max="2560" width="39.77734375" style="212" bestFit="1" customWidth="1"/>
    <col min="2561" max="2561" width="6.44140625" style="212" customWidth="1"/>
    <col min="2562" max="2562" width="9.44140625" style="212" bestFit="1" customWidth="1"/>
    <col min="2563" max="2564" width="9" style="212"/>
    <col min="2565" max="2565" width="8.77734375" style="212" bestFit="1" customWidth="1"/>
    <col min="2566" max="2815" width="9" style="212"/>
    <col min="2816" max="2816" width="39.77734375" style="212" bestFit="1" customWidth="1"/>
    <col min="2817" max="2817" width="6.44140625" style="212" customWidth="1"/>
    <col min="2818" max="2818" width="9.44140625" style="212" bestFit="1" customWidth="1"/>
    <col min="2819" max="2820" width="9" style="212"/>
    <col min="2821" max="2821" width="8.77734375" style="212" bestFit="1" customWidth="1"/>
    <col min="2822" max="3071" width="9" style="212"/>
    <col min="3072" max="3072" width="39.77734375" style="212" bestFit="1" customWidth="1"/>
    <col min="3073" max="3073" width="6.44140625" style="212" customWidth="1"/>
    <col min="3074" max="3074" width="9.44140625" style="212" bestFit="1" customWidth="1"/>
    <col min="3075" max="3076" width="9" style="212"/>
    <col min="3077" max="3077" width="8.77734375" style="212" bestFit="1" customWidth="1"/>
    <col min="3078" max="3327" width="9" style="212"/>
    <col min="3328" max="3328" width="39.77734375" style="212" bestFit="1" customWidth="1"/>
    <col min="3329" max="3329" width="6.44140625" style="212" customWidth="1"/>
    <col min="3330" max="3330" width="9.44140625" style="212" bestFit="1" customWidth="1"/>
    <col min="3331" max="3332" width="9" style="212"/>
    <col min="3333" max="3333" width="8.77734375" style="212" bestFit="1" customWidth="1"/>
    <col min="3334" max="3583" width="9" style="212"/>
    <col min="3584" max="3584" width="39.77734375" style="212" bestFit="1" customWidth="1"/>
    <col min="3585" max="3585" width="6.44140625" style="212" customWidth="1"/>
    <col min="3586" max="3586" width="9.44140625" style="212" bestFit="1" customWidth="1"/>
    <col min="3587" max="3588" width="9" style="212"/>
    <col min="3589" max="3589" width="8.77734375" style="212" bestFit="1" customWidth="1"/>
    <col min="3590" max="3839" width="9" style="212"/>
    <col min="3840" max="3840" width="39.77734375" style="212" bestFit="1" customWidth="1"/>
    <col min="3841" max="3841" width="6.44140625" style="212" customWidth="1"/>
    <col min="3842" max="3842" width="9.44140625" style="212" bestFit="1" customWidth="1"/>
    <col min="3843" max="3844" width="9" style="212"/>
    <col min="3845" max="3845" width="8.77734375" style="212" bestFit="1" customWidth="1"/>
    <col min="3846" max="4095" width="9" style="212"/>
    <col min="4096" max="4096" width="39.77734375" style="212" bestFit="1" customWidth="1"/>
    <col min="4097" max="4097" width="6.44140625" style="212" customWidth="1"/>
    <col min="4098" max="4098" width="9.44140625" style="212" bestFit="1" customWidth="1"/>
    <col min="4099" max="4100" width="9" style="212"/>
    <col min="4101" max="4101" width="8.77734375" style="212" bestFit="1" customWidth="1"/>
    <col min="4102" max="4351" width="9" style="212"/>
    <col min="4352" max="4352" width="39.77734375" style="212" bestFit="1" customWidth="1"/>
    <col min="4353" max="4353" width="6.44140625" style="212" customWidth="1"/>
    <col min="4354" max="4354" width="9.44140625" style="212" bestFit="1" customWidth="1"/>
    <col min="4355" max="4356" width="9" style="212"/>
    <col min="4357" max="4357" width="8.77734375" style="212" bestFit="1" customWidth="1"/>
    <col min="4358" max="4607" width="9" style="212"/>
    <col min="4608" max="4608" width="39.77734375" style="212" bestFit="1" customWidth="1"/>
    <col min="4609" max="4609" width="6.44140625" style="212" customWidth="1"/>
    <col min="4610" max="4610" width="9.44140625" style="212" bestFit="1" customWidth="1"/>
    <col min="4611" max="4612" width="9" style="212"/>
    <col min="4613" max="4613" width="8.77734375" style="212" bestFit="1" customWidth="1"/>
    <col min="4614" max="4863" width="9" style="212"/>
    <col min="4864" max="4864" width="39.77734375" style="212" bestFit="1" customWidth="1"/>
    <col min="4865" max="4865" width="6.44140625" style="212" customWidth="1"/>
    <col min="4866" max="4866" width="9.44140625" style="212" bestFit="1" customWidth="1"/>
    <col min="4867" max="4868" width="9" style="212"/>
    <col min="4869" max="4869" width="8.77734375" style="212" bestFit="1" customWidth="1"/>
    <col min="4870" max="5119" width="9" style="212"/>
    <col min="5120" max="5120" width="39.77734375" style="212" bestFit="1" customWidth="1"/>
    <col min="5121" max="5121" width="6.44140625" style="212" customWidth="1"/>
    <col min="5122" max="5122" width="9.44140625" style="212" bestFit="1" customWidth="1"/>
    <col min="5123" max="5124" width="9" style="212"/>
    <col min="5125" max="5125" width="8.77734375" style="212" bestFit="1" customWidth="1"/>
    <col min="5126" max="5375" width="9" style="212"/>
    <col min="5376" max="5376" width="39.77734375" style="212" bestFit="1" customWidth="1"/>
    <col min="5377" max="5377" width="6.44140625" style="212" customWidth="1"/>
    <col min="5378" max="5378" width="9.44140625" style="212" bestFit="1" customWidth="1"/>
    <col min="5379" max="5380" width="9" style="212"/>
    <col min="5381" max="5381" width="8.77734375" style="212" bestFit="1" customWidth="1"/>
    <col min="5382" max="5631" width="9" style="212"/>
    <col min="5632" max="5632" width="39.77734375" style="212" bestFit="1" customWidth="1"/>
    <col min="5633" max="5633" width="6.44140625" style="212" customWidth="1"/>
    <col min="5634" max="5634" width="9.44140625" style="212" bestFit="1" customWidth="1"/>
    <col min="5635" max="5636" width="9" style="212"/>
    <col min="5637" max="5637" width="8.77734375" style="212" bestFit="1" customWidth="1"/>
    <col min="5638" max="5887" width="9" style="212"/>
    <col min="5888" max="5888" width="39.77734375" style="212" bestFit="1" customWidth="1"/>
    <col min="5889" max="5889" width="6.44140625" style="212" customWidth="1"/>
    <col min="5890" max="5890" width="9.44140625" style="212" bestFit="1" customWidth="1"/>
    <col min="5891" max="5892" width="9" style="212"/>
    <col min="5893" max="5893" width="8.77734375" style="212" bestFit="1" customWidth="1"/>
    <col min="5894" max="6143" width="9" style="212"/>
    <col min="6144" max="6144" width="39.77734375" style="212" bestFit="1" customWidth="1"/>
    <col min="6145" max="6145" width="6.44140625" style="212" customWidth="1"/>
    <col min="6146" max="6146" width="9.44140625" style="212" bestFit="1" customWidth="1"/>
    <col min="6147" max="6148" width="9" style="212"/>
    <col min="6149" max="6149" width="8.77734375" style="212" bestFit="1" customWidth="1"/>
    <col min="6150" max="6399" width="9" style="212"/>
    <col min="6400" max="6400" width="39.77734375" style="212" bestFit="1" customWidth="1"/>
    <col min="6401" max="6401" width="6.44140625" style="212" customWidth="1"/>
    <col min="6402" max="6402" width="9.44140625" style="212" bestFit="1" customWidth="1"/>
    <col min="6403" max="6404" width="9" style="212"/>
    <col min="6405" max="6405" width="8.77734375" style="212" bestFit="1" customWidth="1"/>
    <col min="6406" max="6655" width="9" style="212"/>
    <col min="6656" max="6656" width="39.77734375" style="212" bestFit="1" customWidth="1"/>
    <col min="6657" max="6657" width="6.44140625" style="212" customWidth="1"/>
    <col min="6658" max="6658" width="9.44140625" style="212" bestFit="1" customWidth="1"/>
    <col min="6659" max="6660" width="9" style="212"/>
    <col min="6661" max="6661" width="8.77734375" style="212" bestFit="1" customWidth="1"/>
    <col min="6662" max="6911" width="9" style="212"/>
    <col min="6912" max="6912" width="39.77734375" style="212" bestFit="1" customWidth="1"/>
    <col min="6913" max="6913" width="6.44140625" style="212" customWidth="1"/>
    <col min="6914" max="6914" width="9.44140625" style="212" bestFit="1" customWidth="1"/>
    <col min="6915" max="6916" width="9" style="212"/>
    <col min="6917" max="6917" width="8.77734375" style="212" bestFit="1" customWidth="1"/>
    <col min="6918" max="7167" width="9" style="212"/>
    <col min="7168" max="7168" width="39.77734375" style="212" bestFit="1" customWidth="1"/>
    <col min="7169" max="7169" width="6.44140625" style="212" customWidth="1"/>
    <col min="7170" max="7170" width="9.44140625" style="212" bestFit="1" customWidth="1"/>
    <col min="7171" max="7172" width="9" style="212"/>
    <col min="7173" max="7173" width="8.77734375" style="212" bestFit="1" customWidth="1"/>
    <col min="7174" max="7423" width="9" style="212"/>
    <col min="7424" max="7424" width="39.77734375" style="212" bestFit="1" customWidth="1"/>
    <col min="7425" max="7425" width="6.44140625" style="212" customWidth="1"/>
    <col min="7426" max="7426" width="9.44140625" style="212" bestFit="1" customWidth="1"/>
    <col min="7427" max="7428" width="9" style="212"/>
    <col min="7429" max="7429" width="8.77734375" style="212" bestFit="1" customWidth="1"/>
    <col min="7430" max="7679" width="9" style="212"/>
    <col min="7680" max="7680" width="39.77734375" style="212" bestFit="1" customWidth="1"/>
    <col min="7681" max="7681" width="6.44140625" style="212" customWidth="1"/>
    <col min="7682" max="7682" width="9.44140625" style="212" bestFit="1" customWidth="1"/>
    <col min="7683" max="7684" width="9" style="212"/>
    <col min="7685" max="7685" width="8.77734375" style="212" bestFit="1" customWidth="1"/>
    <col min="7686" max="7935" width="9" style="212"/>
    <col min="7936" max="7936" width="39.77734375" style="212" bestFit="1" customWidth="1"/>
    <col min="7937" max="7937" width="6.44140625" style="212" customWidth="1"/>
    <col min="7938" max="7938" width="9.44140625" style="212" bestFit="1" customWidth="1"/>
    <col min="7939" max="7940" width="9" style="212"/>
    <col min="7941" max="7941" width="8.77734375" style="212" bestFit="1" customWidth="1"/>
    <col min="7942" max="8191" width="9" style="212"/>
    <col min="8192" max="8192" width="39.77734375" style="212" bestFit="1" customWidth="1"/>
    <col min="8193" max="8193" width="6.44140625" style="212" customWidth="1"/>
    <col min="8194" max="8194" width="9.44140625" style="212" bestFit="1" customWidth="1"/>
    <col min="8195" max="8196" width="9" style="212"/>
    <col min="8197" max="8197" width="8.77734375" style="212" bestFit="1" customWidth="1"/>
    <col min="8198" max="8447" width="9" style="212"/>
    <col min="8448" max="8448" width="39.77734375" style="212" bestFit="1" customWidth="1"/>
    <col min="8449" max="8449" width="6.44140625" style="212" customWidth="1"/>
    <col min="8450" max="8450" width="9.44140625" style="212" bestFit="1" customWidth="1"/>
    <col min="8451" max="8452" width="9" style="212"/>
    <col min="8453" max="8453" width="8.77734375" style="212" bestFit="1" customWidth="1"/>
    <col min="8454" max="8703" width="9" style="212"/>
    <col min="8704" max="8704" width="39.77734375" style="212" bestFit="1" customWidth="1"/>
    <col min="8705" max="8705" width="6.44140625" style="212" customWidth="1"/>
    <col min="8706" max="8706" width="9.44140625" style="212" bestFit="1" customWidth="1"/>
    <col min="8707" max="8708" width="9" style="212"/>
    <col min="8709" max="8709" width="8.77734375" style="212" bestFit="1" customWidth="1"/>
    <col min="8710" max="8959" width="9" style="212"/>
    <col min="8960" max="8960" width="39.77734375" style="212" bestFit="1" customWidth="1"/>
    <col min="8961" max="8961" width="6.44140625" style="212" customWidth="1"/>
    <col min="8962" max="8962" width="9.44140625" style="212" bestFit="1" customWidth="1"/>
    <col min="8963" max="8964" width="9" style="212"/>
    <col min="8965" max="8965" width="8.77734375" style="212" bestFit="1" customWidth="1"/>
    <col min="8966" max="9215" width="9" style="212"/>
    <col min="9216" max="9216" width="39.77734375" style="212" bestFit="1" customWidth="1"/>
    <col min="9217" max="9217" width="6.44140625" style="212" customWidth="1"/>
    <col min="9218" max="9218" width="9.44140625" style="212" bestFit="1" customWidth="1"/>
    <col min="9219" max="9220" width="9" style="212"/>
    <col min="9221" max="9221" width="8.77734375" style="212" bestFit="1" customWidth="1"/>
    <col min="9222" max="9471" width="9" style="212"/>
    <col min="9472" max="9472" width="39.77734375" style="212" bestFit="1" customWidth="1"/>
    <col min="9473" max="9473" width="6.44140625" style="212" customWidth="1"/>
    <col min="9474" max="9474" width="9.44140625" style="212" bestFit="1" customWidth="1"/>
    <col min="9475" max="9476" width="9" style="212"/>
    <col min="9477" max="9477" width="8.77734375" style="212" bestFit="1" customWidth="1"/>
    <col min="9478" max="9727" width="9" style="212"/>
    <col min="9728" max="9728" width="39.77734375" style="212" bestFit="1" customWidth="1"/>
    <col min="9729" max="9729" width="6.44140625" style="212" customWidth="1"/>
    <col min="9730" max="9730" width="9.44140625" style="212" bestFit="1" customWidth="1"/>
    <col min="9731" max="9732" width="9" style="212"/>
    <col min="9733" max="9733" width="8.77734375" style="212" bestFit="1" customWidth="1"/>
    <col min="9734" max="9983" width="9" style="212"/>
    <col min="9984" max="9984" width="39.77734375" style="212" bestFit="1" customWidth="1"/>
    <col min="9985" max="9985" width="6.44140625" style="212" customWidth="1"/>
    <col min="9986" max="9986" width="9.44140625" style="212" bestFit="1" customWidth="1"/>
    <col min="9987" max="9988" width="9" style="212"/>
    <col min="9989" max="9989" width="8.77734375" style="212" bestFit="1" customWidth="1"/>
    <col min="9990" max="10239" width="9" style="212"/>
    <col min="10240" max="10240" width="39.77734375" style="212" bestFit="1" customWidth="1"/>
    <col min="10241" max="10241" width="6.44140625" style="212" customWidth="1"/>
    <col min="10242" max="10242" width="9.44140625" style="212" bestFit="1" customWidth="1"/>
    <col min="10243" max="10244" width="9" style="212"/>
    <col min="10245" max="10245" width="8.77734375" style="212" bestFit="1" customWidth="1"/>
    <col min="10246" max="10495" width="9" style="212"/>
    <col min="10496" max="10496" width="39.77734375" style="212" bestFit="1" customWidth="1"/>
    <col min="10497" max="10497" width="6.44140625" style="212" customWidth="1"/>
    <col min="10498" max="10498" width="9.44140625" style="212" bestFit="1" customWidth="1"/>
    <col min="10499" max="10500" width="9" style="212"/>
    <col min="10501" max="10501" width="8.77734375" style="212" bestFit="1" customWidth="1"/>
    <col min="10502" max="10751" width="9" style="212"/>
    <col min="10752" max="10752" width="39.77734375" style="212" bestFit="1" customWidth="1"/>
    <col min="10753" max="10753" width="6.44140625" style="212" customWidth="1"/>
    <col min="10754" max="10754" width="9.44140625" style="212" bestFit="1" customWidth="1"/>
    <col min="10755" max="10756" width="9" style="212"/>
    <col min="10757" max="10757" width="8.77734375" style="212" bestFit="1" customWidth="1"/>
    <col min="10758" max="11007" width="9" style="212"/>
    <col min="11008" max="11008" width="39.77734375" style="212" bestFit="1" customWidth="1"/>
    <col min="11009" max="11009" width="6.44140625" style="212" customWidth="1"/>
    <col min="11010" max="11010" width="9.44140625" style="212" bestFit="1" customWidth="1"/>
    <col min="11011" max="11012" width="9" style="212"/>
    <col min="11013" max="11013" width="8.77734375" style="212" bestFit="1" customWidth="1"/>
    <col min="11014" max="11263" width="9" style="212"/>
    <col min="11264" max="11264" width="39.77734375" style="212" bestFit="1" customWidth="1"/>
    <col min="11265" max="11265" width="6.44140625" style="212" customWidth="1"/>
    <col min="11266" max="11266" width="9.44140625" style="212" bestFit="1" customWidth="1"/>
    <col min="11267" max="11268" width="9" style="212"/>
    <col min="11269" max="11269" width="8.77734375" style="212" bestFit="1" customWidth="1"/>
    <col min="11270" max="11519" width="9" style="212"/>
    <col min="11520" max="11520" width="39.77734375" style="212" bestFit="1" customWidth="1"/>
    <col min="11521" max="11521" width="6.44140625" style="212" customWidth="1"/>
    <col min="11522" max="11522" width="9.44140625" style="212" bestFit="1" customWidth="1"/>
    <col min="11523" max="11524" width="9" style="212"/>
    <col min="11525" max="11525" width="8.77734375" style="212" bestFit="1" customWidth="1"/>
    <col min="11526" max="11775" width="9" style="212"/>
    <col min="11776" max="11776" width="39.77734375" style="212" bestFit="1" customWidth="1"/>
    <col min="11777" max="11777" width="6.44140625" style="212" customWidth="1"/>
    <col min="11778" max="11778" width="9.44140625" style="212" bestFit="1" customWidth="1"/>
    <col min="11779" max="11780" width="9" style="212"/>
    <col min="11781" max="11781" width="8.77734375" style="212" bestFit="1" customWidth="1"/>
    <col min="11782" max="12031" width="9" style="212"/>
    <col min="12032" max="12032" width="39.77734375" style="212" bestFit="1" customWidth="1"/>
    <col min="12033" max="12033" width="6.44140625" style="212" customWidth="1"/>
    <col min="12034" max="12034" width="9.44140625" style="212" bestFit="1" customWidth="1"/>
    <col min="12035" max="12036" width="9" style="212"/>
    <col min="12037" max="12037" width="8.77734375" style="212" bestFit="1" customWidth="1"/>
    <col min="12038" max="12287" width="9" style="212"/>
    <col min="12288" max="12288" width="39.77734375" style="212" bestFit="1" customWidth="1"/>
    <col min="12289" max="12289" width="6.44140625" style="212" customWidth="1"/>
    <col min="12290" max="12290" width="9.44140625" style="212" bestFit="1" customWidth="1"/>
    <col min="12291" max="12292" width="9" style="212"/>
    <col min="12293" max="12293" width="8.77734375" style="212" bestFit="1" customWidth="1"/>
    <col min="12294" max="12543" width="9" style="212"/>
    <col min="12544" max="12544" width="39.77734375" style="212" bestFit="1" customWidth="1"/>
    <col min="12545" max="12545" width="6.44140625" style="212" customWidth="1"/>
    <col min="12546" max="12546" width="9.44140625" style="212" bestFit="1" customWidth="1"/>
    <col min="12547" max="12548" width="9" style="212"/>
    <col min="12549" max="12549" width="8.77734375" style="212" bestFit="1" customWidth="1"/>
    <col min="12550" max="12799" width="9" style="212"/>
    <col min="12800" max="12800" width="39.77734375" style="212" bestFit="1" customWidth="1"/>
    <col min="12801" max="12801" width="6.44140625" style="212" customWidth="1"/>
    <col min="12802" max="12802" width="9.44140625" style="212" bestFit="1" customWidth="1"/>
    <col min="12803" max="12804" width="9" style="212"/>
    <col min="12805" max="12805" width="8.77734375" style="212" bestFit="1" customWidth="1"/>
    <col min="12806" max="13055" width="9" style="212"/>
    <col min="13056" max="13056" width="39.77734375" style="212" bestFit="1" customWidth="1"/>
    <col min="13057" max="13057" width="6.44140625" style="212" customWidth="1"/>
    <col min="13058" max="13058" width="9.44140625" style="212" bestFit="1" customWidth="1"/>
    <col min="13059" max="13060" width="9" style="212"/>
    <col min="13061" max="13061" width="8.77734375" style="212" bestFit="1" customWidth="1"/>
    <col min="13062" max="13311" width="9" style="212"/>
    <col min="13312" max="13312" width="39.77734375" style="212" bestFit="1" customWidth="1"/>
    <col min="13313" max="13313" width="6.44140625" style="212" customWidth="1"/>
    <col min="13314" max="13314" width="9.44140625" style="212" bestFit="1" customWidth="1"/>
    <col min="13315" max="13316" width="9" style="212"/>
    <col min="13317" max="13317" width="8.77734375" style="212" bestFit="1" customWidth="1"/>
    <col min="13318" max="13567" width="9" style="212"/>
    <col min="13568" max="13568" width="39.77734375" style="212" bestFit="1" customWidth="1"/>
    <col min="13569" max="13569" width="6.44140625" style="212" customWidth="1"/>
    <col min="13570" max="13570" width="9.44140625" style="212" bestFit="1" customWidth="1"/>
    <col min="13571" max="13572" width="9" style="212"/>
    <col min="13573" max="13573" width="8.77734375" style="212" bestFit="1" customWidth="1"/>
    <col min="13574" max="13823" width="9" style="212"/>
    <col min="13824" max="13824" width="39.77734375" style="212" bestFit="1" customWidth="1"/>
    <col min="13825" max="13825" width="6.44140625" style="212" customWidth="1"/>
    <col min="13826" max="13826" width="9.44140625" style="212" bestFit="1" customWidth="1"/>
    <col min="13827" max="13828" width="9" style="212"/>
    <col min="13829" max="13829" width="8.77734375" style="212" bestFit="1" customWidth="1"/>
    <col min="13830" max="14079" width="9" style="212"/>
    <col min="14080" max="14080" width="39.77734375" style="212" bestFit="1" customWidth="1"/>
    <col min="14081" max="14081" width="6.44140625" style="212" customWidth="1"/>
    <col min="14082" max="14082" width="9.44140625" style="212" bestFit="1" customWidth="1"/>
    <col min="14083" max="14084" width="9" style="212"/>
    <col min="14085" max="14085" width="8.77734375" style="212" bestFit="1" customWidth="1"/>
    <col min="14086" max="14335" width="9" style="212"/>
    <col min="14336" max="14336" width="39.77734375" style="212" bestFit="1" customWidth="1"/>
    <col min="14337" max="14337" width="6.44140625" style="212" customWidth="1"/>
    <col min="14338" max="14338" width="9.44140625" style="212" bestFit="1" customWidth="1"/>
    <col min="14339" max="14340" width="9" style="212"/>
    <col min="14341" max="14341" width="8.77734375" style="212" bestFit="1" customWidth="1"/>
    <col min="14342" max="14591" width="9" style="212"/>
    <col min="14592" max="14592" width="39.77734375" style="212" bestFit="1" customWidth="1"/>
    <col min="14593" max="14593" width="6.44140625" style="212" customWidth="1"/>
    <col min="14594" max="14594" width="9.44140625" style="212" bestFit="1" customWidth="1"/>
    <col min="14595" max="14596" width="9" style="212"/>
    <col min="14597" max="14597" width="8.77734375" style="212" bestFit="1" customWidth="1"/>
    <col min="14598" max="14847" width="9" style="212"/>
    <col min="14848" max="14848" width="39.77734375" style="212" bestFit="1" customWidth="1"/>
    <col min="14849" max="14849" width="6.44140625" style="212" customWidth="1"/>
    <col min="14850" max="14850" width="9.44140625" style="212" bestFit="1" customWidth="1"/>
    <col min="14851" max="14852" width="9" style="212"/>
    <col min="14853" max="14853" width="8.77734375" style="212" bestFit="1" customWidth="1"/>
    <col min="14854" max="15103" width="9" style="212"/>
    <col min="15104" max="15104" width="39.77734375" style="212" bestFit="1" customWidth="1"/>
    <col min="15105" max="15105" width="6.44140625" style="212" customWidth="1"/>
    <col min="15106" max="15106" width="9.44140625" style="212" bestFit="1" customWidth="1"/>
    <col min="15107" max="15108" width="9" style="212"/>
    <col min="15109" max="15109" width="8.77734375" style="212" bestFit="1" customWidth="1"/>
    <col min="15110" max="15359" width="9" style="212"/>
    <col min="15360" max="15360" width="39.77734375" style="212" bestFit="1" customWidth="1"/>
    <col min="15361" max="15361" width="6.44140625" style="212" customWidth="1"/>
    <col min="15362" max="15362" width="9.44140625" style="212" bestFit="1" customWidth="1"/>
    <col min="15363" max="15364" width="9" style="212"/>
    <col min="15365" max="15365" width="8.77734375" style="212" bestFit="1" customWidth="1"/>
    <col min="15366" max="15615" width="9" style="212"/>
    <col min="15616" max="15616" width="39.77734375" style="212" bestFit="1" customWidth="1"/>
    <col min="15617" max="15617" width="6.44140625" style="212" customWidth="1"/>
    <col min="15618" max="15618" width="9.44140625" style="212" bestFit="1" customWidth="1"/>
    <col min="15619" max="15620" width="9" style="212"/>
    <col min="15621" max="15621" width="8.77734375" style="212" bestFit="1" customWidth="1"/>
    <col min="15622" max="15871" width="9" style="212"/>
    <col min="15872" max="15872" width="39.77734375" style="212" bestFit="1" customWidth="1"/>
    <col min="15873" max="15873" width="6.44140625" style="212" customWidth="1"/>
    <col min="15874" max="15874" width="9.44140625" style="212" bestFit="1" customWidth="1"/>
    <col min="15875" max="15876" width="9" style="212"/>
    <col min="15877" max="15877" width="8.77734375" style="212" bestFit="1" customWidth="1"/>
    <col min="15878" max="16127" width="9" style="212"/>
    <col min="16128" max="16128" width="39.77734375" style="212" bestFit="1" customWidth="1"/>
    <col min="16129" max="16129" width="6.44140625" style="212" customWidth="1"/>
    <col min="16130" max="16130" width="9.44140625" style="212" bestFit="1" customWidth="1"/>
    <col min="16131" max="16132" width="9" style="212"/>
    <col min="16133" max="16133" width="8.77734375" style="212" bestFit="1" customWidth="1"/>
    <col min="16134" max="16384" width="9" style="212"/>
  </cols>
  <sheetData>
    <row r="1" spans="1:16" s="204" customFormat="1" ht="13.05" x14ac:dyDescent="0.3">
      <c r="A1" s="201"/>
      <c r="B1" s="202">
        <v>2014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spans="1:16" s="204" customFormat="1" ht="13.8" thickBot="1" x14ac:dyDescent="0.3">
      <c r="A2" s="205" t="s">
        <v>193</v>
      </c>
      <c r="B2" s="206">
        <v>0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</row>
    <row r="3" spans="1:16" s="204" customFormat="1" ht="13.8" thickTop="1" x14ac:dyDescent="0.25">
      <c r="A3" s="208" t="s">
        <v>263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</row>
    <row r="4" spans="1:16" s="204" customFormat="1" x14ac:dyDescent="0.25">
      <c r="A4" s="209" t="s">
        <v>197</v>
      </c>
      <c r="B4" s="210">
        <v>1.05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</row>
    <row r="5" spans="1:16" s="204" customFormat="1" x14ac:dyDescent="0.25">
      <c r="A5" s="209" t="s">
        <v>198</v>
      </c>
      <c r="B5" s="211">
        <v>0</v>
      </c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</row>
    <row r="6" spans="1:16" s="204" customFormat="1" x14ac:dyDescent="0.25">
      <c r="A6" s="209" t="s">
        <v>199</v>
      </c>
      <c r="B6" s="201">
        <v>115000</v>
      </c>
      <c r="C6" s="213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12"/>
      <c r="O6" s="212"/>
      <c r="P6" s="212"/>
    </row>
    <row r="7" spans="1:16" s="204" customFormat="1" x14ac:dyDescent="0.25">
      <c r="A7" s="214" t="s">
        <v>215</v>
      </c>
      <c r="B7" s="215">
        <v>0.8</v>
      </c>
      <c r="C7" s="215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12"/>
      <c r="O7" s="212"/>
      <c r="P7" s="212"/>
    </row>
    <row r="8" spans="1:16" s="204" customFormat="1" x14ac:dyDescent="0.25">
      <c r="A8" s="214" t="s">
        <v>201</v>
      </c>
      <c r="B8" s="216">
        <v>0.4</v>
      </c>
      <c r="C8" s="216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12"/>
      <c r="O8" s="212"/>
      <c r="P8" s="212"/>
    </row>
    <row r="9" spans="1:16" s="204" customFormat="1" x14ac:dyDescent="0.25">
      <c r="A9" s="209" t="s">
        <v>202</v>
      </c>
      <c r="B9" s="201">
        <v>278000</v>
      </c>
      <c r="C9" s="215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12"/>
      <c r="O9" s="212"/>
      <c r="P9" s="212"/>
    </row>
    <row r="10" spans="1:16" s="204" customFormat="1" x14ac:dyDescent="0.25">
      <c r="A10" s="209" t="s">
        <v>212</v>
      </c>
      <c r="B10" s="201">
        <v>278000</v>
      </c>
      <c r="C10" s="215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12"/>
      <c r="O10" s="212"/>
      <c r="P10" s="212"/>
    </row>
    <row r="11" spans="1:16" s="204" customFormat="1" x14ac:dyDescent="0.25">
      <c r="A11" s="209" t="s">
        <v>213</v>
      </c>
      <c r="B11" s="201">
        <v>278000</v>
      </c>
      <c r="C11" s="215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12"/>
      <c r="O11" s="212"/>
      <c r="P11" s="212"/>
    </row>
    <row r="12" spans="1:16" s="204" customFormat="1" x14ac:dyDescent="0.25">
      <c r="A12" s="214" t="s">
        <v>204</v>
      </c>
      <c r="B12" s="215">
        <v>0.7</v>
      </c>
      <c r="C12" s="213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12"/>
      <c r="O12" s="212"/>
      <c r="P12" s="212"/>
    </row>
    <row r="13" spans="1:16" s="204" customFormat="1" x14ac:dyDescent="0.25">
      <c r="A13" s="214" t="s">
        <v>214</v>
      </c>
      <c r="B13" s="216">
        <v>0.2</v>
      </c>
      <c r="C13" s="216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12"/>
      <c r="O13" s="212"/>
      <c r="P13" s="212"/>
    </row>
    <row r="14" spans="1:16" s="204" customFormat="1" ht="13.8" thickBot="1" x14ac:dyDescent="0.3">
      <c r="A14" s="208" t="s">
        <v>262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12"/>
      <c r="O14" s="212"/>
      <c r="P14" s="212"/>
    </row>
    <row r="15" spans="1:16" x14ac:dyDescent="0.25">
      <c r="A15" s="217"/>
      <c r="B15" s="218" t="s">
        <v>205</v>
      </c>
      <c r="C15" s="219" t="s">
        <v>233</v>
      </c>
      <c r="D15" s="218" t="s">
        <v>234</v>
      </c>
      <c r="E15" s="220" t="s">
        <v>232</v>
      </c>
    </row>
    <row r="16" spans="1:16" x14ac:dyDescent="0.25">
      <c r="A16" s="221" t="s">
        <v>206</v>
      </c>
      <c r="B16" s="222">
        <f>(B19-B18)/(1+B5)</f>
        <v>499.62616822429908</v>
      </c>
      <c r="C16" s="223">
        <f>B16</f>
        <v>499.62616822429908</v>
      </c>
      <c r="D16" s="224">
        <f>B16*(B4-1)</f>
        <v>24.981308411214975</v>
      </c>
      <c r="E16" s="225">
        <f>C16+D16</f>
        <v>524.6074766355141</v>
      </c>
      <c r="F16" s="226"/>
      <c r="G16" s="226"/>
      <c r="H16" s="226"/>
      <c r="I16" s="226"/>
      <c r="J16" s="226"/>
      <c r="K16" s="226"/>
      <c r="L16" s="226"/>
      <c r="M16" s="226"/>
    </row>
    <row r="17" spans="1:13" x14ac:dyDescent="0.25">
      <c r="A17" s="221" t="s">
        <v>235</v>
      </c>
      <c r="B17" s="227">
        <f>B16*B5</f>
        <v>0</v>
      </c>
      <c r="C17" s="223">
        <f>B17*0</f>
        <v>0</v>
      </c>
      <c r="D17" s="227"/>
      <c r="E17" s="225">
        <f>C17+D17</f>
        <v>0</v>
      </c>
      <c r="F17" s="226"/>
      <c r="G17" s="226"/>
      <c r="H17" s="226"/>
      <c r="I17" s="226"/>
      <c r="J17" s="226"/>
      <c r="K17" s="226"/>
      <c r="L17" s="226"/>
      <c r="M17" s="226"/>
    </row>
    <row r="18" spans="1:13" x14ac:dyDescent="0.25">
      <c r="A18" s="221" t="s">
        <v>207</v>
      </c>
      <c r="B18" s="227">
        <f>B6/21400</f>
        <v>5.3738317757009346</v>
      </c>
      <c r="C18" s="223">
        <f>B18*$B7</f>
        <v>4.2990654205607477</v>
      </c>
      <c r="D18" s="227">
        <f>B18*B8*(B4-1)</f>
        <v>0.10747663551401879</v>
      </c>
      <c r="E18" s="225">
        <f>C18+D18</f>
        <v>4.4065420560747661</v>
      </c>
      <c r="F18" s="226"/>
      <c r="G18" s="226"/>
      <c r="H18" s="226"/>
      <c r="I18" s="226"/>
      <c r="J18" s="226"/>
      <c r="K18" s="226"/>
      <c r="L18" s="226"/>
      <c r="M18" s="226"/>
    </row>
    <row r="19" spans="1:13" x14ac:dyDescent="0.25">
      <c r="A19" s="221" t="s">
        <v>208</v>
      </c>
      <c r="B19" s="227">
        <f>B21-B20</f>
        <v>505</v>
      </c>
      <c r="C19" s="223"/>
      <c r="D19" s="227"/>
      <c r="E19" s="225">
        <f>E18+E17+E16</f>
        <v>529.01401869158883</v>
      </c>
      <c r="F19" s="226"/>
      <c r="G19" s="226"/>
      <c r="H19" s="226"/>
      <c r="I19" s="226"/>
      <c r="J19" s="226"/>
      <c r="K19" s="226"/>
      <c r="L19" s="226"/>
      <c r="M19" s="226"/>
    </row>
    <row r="20" spans="1:13" x14ac:dyDescent="0.25">
      <c r="A20" s="221" t="s">
        <v>209</v>
      </c>
      <c r="B20" s="227">
        <f>B9/21400</f>
        <v>12.990654205607477</v>
      </c>
      <c r="C20" s="223">
        <f>B20*$B12</f>
        <v>9.0934579439252339</v>
      </c>
      <c r="D20" s="227">
        <f>B20*$B$13*(B4-1)</f>
        <v>0.12990654205607488</v>
      </c>
      <c r="E20" s="225">
        <f>C20+D20</f>
        <v>9.2233644859813086</v>
      </c>
      <c r="F20" s="226"/>
      <c r="G20" s="226"/>
      <c r="H20" s="226"/>
      <c r="I20" s="226"/>
      <c r="J20" s="226"/>
      <c r="K20" s="226"/>
      <c r="L20" s="226"/>
      <c r="M20" s="226"/>
    </row>
    <row r="21" spans="1:13" x14ac:dyDescent="0.25">
      <c r="A21" s="221" t="s">
        <v>210</v>
      </c>
      <c r="B21" s="227">
        <f>B22+B23</f>
        <v>517.99065420560748</v>
      </c>
      <c r="C21" s="223"/>
      <c r="D21" s="227"/>
      <c r="E21" s="225">
        <f>E19+E20</f>
        <v>538.23738317757011</v>
      </c>
      <c r="F21" s="226"/>
      <c r="G21" s="226"/>
      <c r="H21" s="226"/>
      <c r="I21" s="226"/>
      <c r="J21" s="226"/>
      <c r="K21" s="226"/>
      <c r="L21" s="226"/>
      <c r="M21" s="226"/>
    </row>
    <row r="22" spans="1:13" x14ac:dyDescent="0.25">
      <c r="A22" s="221" t="s">
        <v>203</v>
      </c>
      <c r="B22" s="227">
        <f>B11/21400</f>
        <v>12.990654205607477</v>
      </c>
      <c r="C22" s="223">
        <f>B22*$B12</f>
        <v>9.0934579439252339</v>
      </c>
      <c r="D22" s="227">
        <f>B22*$B$13*(B4-1)</f>
        <v>0.12990654205607488</v>
      </c>
      <c r="E22" s="225">
        <f>C22+D22</f>
        <v>9.2233644859813086</v>
      </c>
      <c r="F22" s="226"/>
      <c r="G22" s="226"/>
      <c r="H22" s="226"/>
      <c r="I22" s="226"/>
      <c r="J22" s="226"/>
      <c r="K22" s="226"/>
      <c r="L22" s="226"/>
      <c r="M22" s="226"/>
    </row>
    <row r="23" spans="1:13" x14ac:dyDescent="0.25">
      <c r="A23" s="221" t="s">
        <v>211</v>
      </c>
      <c r="B23" s="245">
        <f>'Financial Model'!B54</f>
        <v>505</v>
      </c>
      <c r="C23" s="223"/>
      <c r="D23" s="227"/>
      <c r="E23" s="228">
        <f>E21-E22</f>
        <v>529.01401869158883</v>
      </c>
      <c r="G23" s="226"/>
      <c r="H23" s="226"/>
      <c r="I23" s="226"/>
      <c r="J23" s="226"/>
      <c r="K23" s="226"/>
      <c r="L23" s="226"/>
      <c r="M23" s="226"/>
    </row>
    <row r="24" spans="1:13" ht="13.8" thickBot="1" x14ac:dyDescent="0.3">
      <c r="A24" s="229" t="s">
        <v>200</v>
      </c>
      <c r="B24" s="230">
        <f>E23/B23</f>
        <v>1.047552512260572</v>
      </c>
      <c r="C24" s="231"/>
      <c r="D24" s="232"/>
      <c r="E24" s="233"/>
      <c r="F24" s="226"/>
    </row>
    <row r="26" spans="1:13" x14ac:dyDescent="0.25">
      <c r="A26" s="204" t="s">
        <v>290</v>
      </c>
      <c r="B26" s="239">
        <f>E23-B23</f>
        <v>24.014018691588831</v>
      </c>
      <c r="C26" s="246">
        <f>SUM(C28:C30)</f>
        <v>0.999999999999999</v>
      </c>
    </row>
    <row r="27" spans="1:13" x14ac:dyDescent="0.25">
      <c r="A27" s="212" t="s">
        <v>291</v>
      </c>
      <c r="B27" s="226"/>
    </row>
    <row r="28" spans="1:13" x14ac:dyDescent="0.25">
      <c r="A28" s="234" t="s">
        <v>292</v>
      </c>
      <c r="B28" s="226">
        <f>D16+D18+D20-D22</f>
        <v>25.088785046728994</v>
      </c>
      <c r="C28" s="235">
        <f>B28/$B$26</f>
        <v>1.0447557890640191</v>
      </c>
    </row>
    <row r="29" spans="1:13" x14ac:dyDescent="0.25">
      <c r="A29" s="234" t="s">
        <v>293</v>
      </c>
      <c r="B29" s="226">
        <f>-B18+C18</f>
        <v>-1.0747663551401869</v>
      </c>
      <c r="C29" s="235">
        <f>B29/$B$26</f>
        <v>-4.4755789064020154E-2</v>
      </c>
    </row>
    <row r="30" spans="1:13" x14ac:dyDescent="0.25">
      <c r="A30" s="234" t="s">
        <v>294</v>
      </c>
      <c r="B30" s="226">
        <f>(C20-B20)-(C22-B22)</f>
        <v>0</v>
      </c>
      <c r="C30" s="235">
        <f>B30/$B$26</f>
        <v>0</v>
      </c>
    </row>
  </sheetData>
  <pageMargins left="0.35" right="0.21" top="0.21" bottom="0.2" header="0.17" footer="0.16"/>
  <pageSetup paperSize="9" scale="99" fitToHeight="6" orientation="landscape" r:id="rId1"/>
  <headerFooter alignWithMargins="0"/>
  <ignoredErrors>
    <ignoredError sqref="B20:E20 C21:E21 C19:E1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D30" sqref="D30"/>
    </sheetView>
  </sheetViews>
  <sheetFormatPr defaultColWidth="9" defaultRowHeight="13.8" x14ac:dyDescent="0.3"/>
  <cols>
    <col min="1" max="1" width="24.77734375" style="152" customWidth="1"/>
    <col min="2" max="2" width="12.44140625" style="152" customWidth="1"/>
    <col min="3" max="3" width="12.77734375" style="152" customWidth="1"/>
    <col min="4" max="16384" width="9" style="152"/>
  </cols>
  <sheetData>
    <row r="1" spans="1:9" ht="13.05" x14ac:dyDescent="0.3">
      <c r="B1" s="152">
        <v>2014</v>
      </c>
    </row>
    <row r="2" spans="1:9" x14ac:dyDescent="0.3">
      <c r="A2" s="247" t="s">
        <v>193</v>
      </c>
      <c r="B2" s="248">
        <v>0</v>
      </c>
    </row>
    <row r="3" spans="1:9" ht="15" x14ac:dyDescent="0.3">
      <c r="A3" s="152" t="s">
        <v>323</v>
      </c>
      <c r="B3" s="152">
        <f>'Financial Model'!B56</f>
        <v>6.69</v>
      </c>
    </row>
    <row r="4" spans="1:9" x14ac:dyDescent="0.3">
      <c r="A4" s="152" t="s">
        <v>256</v>
      </c>
      <c r="B4" s="249">
        <f>'Economic Model'!B49</f>
        <v>9.5</v>
      </c>
      <c r="C4" s="250" t="s">
        <v>324</v>
      </c>
    </row>
    <row r="5" spans="1:9" x14ac:dyDescent="0.3">
      <c r="A5" s="152" t="s">
        <v>257</v>
      </c>
      <c r="B5" s="251">
        <v>2.5299999999999998</v>
      </c>
      <c r="C5" s="250" t="s">
        <v>325</v>
      </c>
    </row>
    <row r="7" spans="1:9" x14ac:dyDescent="0.3">
      <c r="A7" s="183" t="s">
        <v>258</v>
      </c>
      <c r="B7" s="184"/>
      <c r="C7" s="184"/>
      <c r="D7" s="184"/>
      <c r="E7" s="184"/>
      <c r="F7" s="184"/>
      <c r="G7" s="184"/>
      <c r="H7" s="185"/>
      <c r="I7" s="198"/>
    </row>
    <row r="8" spans="1:9" x14ac:dyDescent="0.3">
      <c r="A8" s="186" t="s">
        <v>259</v>
      </c>
      <c r="B8" s="188"/>
      <c r="C8" s="188"/>
      <c r="D8" s="188"/>
      <c r="E8" s="188"/>
      <c r="F8" s="188"/>
      <c r="G8" s="188"/>
      <c r="H8" s="190"/>
      <c r="I8" s="198"/>
    </row>
    <row r="9" spans="1:9" x14ac:dyDescent="0.3">
      <c r="A9" s="186" t="s">
        <v>260</v>
      </c>
      <c r="B9" s="188"/>
      <c r="C9" s="188"/>
      <c r="D9" s="188"/>
      <c r="E9" s="188"/>
      <c r="F9" s="188"/>
      <c r="G9" s="188"/>
      <c r="H9" s="190"/>
      <c r="I9" s="198"/>
    </row>
    <row r="10" spans="1:9" x14ac:dyDescent="0.3">
      <c r="A10" s="191" t="s">
        <v>261</v>
      </c>
      <c r="B10" s="192"/>
      <c r="C10" s="192"/>
      <c r="D10" s="192"/>
      <c r="E10" s="192"/>
      <c r="F10" s="192"/>
      <c r="G10" s="192"/>
      <c r="H10" s="194"/>
      <c r="I10" s="19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87" sqref="B87"/>
    </sheetView>
  </sheetViews>
  <sheetFormatPr defaultColWidth="9" defaultRowHeight="10.199999999999999" x14ac:dyDescent="0.2"/>
  <cols>
    <col min="1" max="1" width="53.44140625" style="86" bestFit="1" customWidth="1"/>
    <col min="2" max="2" width="9" style="86"/>
    <col min="3" max="3" width="14.77734375" style="86" bestFit="1" customWidth="1"/>
    <col min="4" max="16384" width="9" style="86"/>
  </cols>
  <sheetData>
    <row r="1" spans="1:6" ht="10.5" x14ac:dyDescent="0.25">
      <c r="B1" s="153">
        <v>0</v>
      </c>
      <c r="C1" s="153">
        <v>1</v>
      </c>
      <c r="D1" s="153">
        <v>2</v>
      </c>
      <c r="E1" s="153">
        <v>3</v>
      </c>
      <c r="F1" s="153">
        <v>4</v>
      </c>
    </row>
    <row r="2" spans="1:6" ht="10.5" x14ac:dyDescent="0.25">
      <c r="B2" s="154">
        <v>2014</v>
      </c>
      <c r="C2" s="154">
        <v>2015</v>
      </c>
      <c r="D2" s="154">
        <v>2016</v>
      </c>
      <c r="E2" s="154">
        <v>2017</v>
      </c>
      <c r="F2" s="154">
        <v>2018</v>
      </c>
    </row>
    <row r="3" spans="1:6" x14ac:dyDescent="0.2">
      <c r="A3" s="60" t="s">
        <v>310</v>
      </c>
      <c r="B3" s="242" t="s">
        <v>298</v>
      </c>
    </row>
    <row r="4" spans="1:6" x14ac:dyDescent="0.2">
      <c r="A4" s="157" t="s">
        <v>34</v>
      </c>
      <c r="B4" s="170"/>
      <c r="C4" s="170"/>
      <c r="D4" s="170"/>
      <c r="E4" s="170"/>
      <c r="F4" s="158"/>
    </row>
    <row r="5" spans="1:6" x14ac:dyDescent="0.2">
      <c r="A5" s="159" t="s">
        <v>1</v>
      </c>
      <c r="B5" s="171">
        <f>NPV('Economic Model'!$B$136,'Chi phi dau tu'!C5:F5)</f>
        <v>193859.72444505154</v>
      </c>
      <c r="C5" s="171">
        <f>'Financial Model'!C160</f>
        <v>7596.96</v>
      </c>
      <c r="D5" s="171">
        <f>'Financial Model'!D160</f>
        <v>73437.279999999999</v>
      </c>
      <c r="E5" s="171">
        <f>'Financial Model'!E160</f>
        <v>126616</v>
      </c>
      <c r="F5" s="160">
        <f>'Financial Model'!F160</f>
        <v>45581.759999999995</v>
      </c>
    </row>
    <row r="6" spans="1:6" x14ac:dyDescent="0.2">
      <c r="A6" s="165" t="s">
        <v>2</v>
      </c>
      <c r="B6" s="171">
        <f>NPV('Economic Model'!$B$136,'Chi phi dau tu'!C6:F6)</f>
        <v>131465.75716822618</v>
      </c>
      <c r="C6" s="171">
        <f>'Financial Model'!C161</f>
        <v>5151.87</v>
      </c>
      <c r="D6" s="171">
        <f>'Financial Model'!D161</f>
        <v>49801.409999999996</v>
      </c>
      <c r="E6" s="171">
        <f>'Financial Model'!E161</f>
        <v>85864.5</v>
      </c>
      <c r="F6" s="160">
        <f>'Financial Model'!F161</f>
        <v>30911.219999999998</v>
      </c>
    </row>
    <row r="7" spans="1:6" x14ac:dyDescent="0.2">
      <c r="A7" s="165" t="s">
        <v>3</v>
      </c>
      <c r="B7" s="171">
        <f>NPV('Economic Model'!$B$136,'Chi phi dau tu'!C7:F7)</f>
        <v>658.36609521207549</v>
      </c>
      <c r="C7" s="171">
        <f>'Financial Model'!C162</f>
        <v>25.8</v>
      </c>
      <c r="D7" s="171">
        <f>'Financial Model'!D162</f>
        <v>249.39999999999998</v>
      </c>
      <c r="E7" s="171">
        <f>'Financial Model'!E162</f>
        <v>430</v>
      </c>
      <c r="F7" s="160">
        <f>'Financial Model'!F162</f>
        <v>154.79999999999998</v>
      </c>
    </row>
    <row r="8" spans="1:6" x14ac:dyDescent="0.2">
      <c r="A8" s="165" t="s">
        <v>4</v>
      </c>
      <c r="B8" s="171">
        <f>NPV('Economic Model'!$B$136,'Chi phi dau tu'!C8:F8)</f>
        <v>61735.601181613267</v>
      </c>
      <c r="C8" s="171">
        <f>'Financial Model'!C163</f>
        <v>2419.29</v>
      </c>
      <c r="D8" s="171">
        <f>'Financial Model'!D163</f>
        <v>23386.469999999998</v>
      </c>
      <c r="E8" s="171">
        <f>'Financial Model'!E163</f>
        <v>40321.5</v>
      </c>
      <c r="F8" s="160">
        <f>'Financial Model'!F163</f>
        <v>14515.74</v>
      </c>
    </row>
    <row r="9" spans="1:6" x14ac:dyDescent="0.2">
      <c r="A9" s="159" t="s">
        <v>5</v>
      </c>
      <c r="B9" s="171">
        <f>NPV('Economic Model'!$B$136,'Chi phi dau tu'!C9:F9)</f>
        <v>31755.446506386172</v>
      </c>
      <c r="C9" s="171">
        <f>'Financial Model'!C164</f>
        <v>1244.43</v>
      </c>
      <c r="D9" s="171">
        <f>'Financial Model'!D164</f>
        <v>12029.49</v>
      </c>
      <c r="E9" s="171">
        <f>'Financial Model'!E164</f>
        <v>20740.5</v>
      </c>
      <c r="F9" s="160">
        <f>'Financial Model'!F164</f>
        <v>7466.58</v>
      </c>
    </row>
    <row r="10" spans="1:6" x14ac:dyDescent="0.2">
      <c r="A10" s="159" t="s">
        <v>6</v>
      </c>
      <c r="B10" s="171">
        <f>NPV('Economic Model'!$B$136,'Chi phi dau tu'!C10:F10)</f>
        <v>78186.332600232199</v>
      </c>
      <c r="C10" s="171">
        <f>'Financial Model'!C165</f>
        <v>3063.96</v>
      </c>
      <c r="D10" s="171">
        <f>'Financial Model'!D165</f>
        <v>29618.28</v>
      </c>
      <c r="E10" s="171">
        <f>'Financial Model'!E165</f>
        <v>51066</v>
      </c>
      <c r="F10" s="160">
        <f>'Financial Model'!F165</f>
        <v>18383.759999999998</v>
      </c>
    </row>
    <row r="11" spans="1:6" x14ac:dyDescent="0.2">
      <c r="A11" s="172" t="s">
        <v>7</v>
      </c>
      <c r="B11" s="171">
        <f>NPV('Economic Model'!$B$136,'Chi phi dau tu'!C11:F11)</f>
        <v>3604.1716003005245</v>
      </c>
      <c r="C11" s="171">
        <f>'Financial Model'!C166</f>
        <v>141.23999999999998</v>
      </c>
      <c r="D11" s="171">
        <f>'Financial Model'!D166</f>
        <v>1365.32</v>
      </c>
      <c r="E11" s="171">
        <f>'Financial Model'!E166</f>
        <v>2354</v>
      </c>
      <c r="F11" s="160">
        <f>'Financial Model'!F166</f>
        <v>847.43999999999994</v>
      </c>
    </row>
    <row r="12" spans="1:6" x14ac:dyDescent="0.2">
      <c r="A12" s="172" t="s">
        <v>8</v>
      </c>
      <c r="B12" s="171">
        <f>NPV('Economic Model'!$B$136,'Chi phi dau tu'!C12:F12)</f>
        <v>7072.0767297315742</v>
      </c>
      <c r="C12" s="171">
        <f>'Financial Model'!C167</f>
        <v>277.14</v>
      </c>
      <c r="D12" s="171">
        <f>'Financial Model'!D167</f>
        <v>2679.02</v>
      </c>
      <c r="E12" s="171">
        <f>'Financial Model'!E167</f>
        <v>4619</v>
      </c>
      <c r="F12" s="160">
        <f>'Financial Model'!F167</f>
        <v>1662.84</v>
      </c>
    </row>
    <row r="13" spans="1:6" x14ac:dyDescent="0.2">
      <c r="A13" s="172" t="s">
        <v>9</v>
      </c>
      <c r="B13" s="171">
        <f>NPV('Economic Model'!$B$136,'Chi phi dau tu'!C13:F13)</f>
        <v>0</v>
      </c>
      <c r="C13" s="171">
        <f>'Financial Model'!C168</f>
        <v>0</v>
      </c>
      <c r="D13" s="171">
        <f>'Financial Model'!D168</f>
        <v>0</v>
      </c>
      <c r="E13" s="171">
        <f>'Financial Model'!E168</f>
        <v>0</v>
      </c>
      <c r="F13" s="160">
        <f>'Financial Model'!F168</f>
        <v>0</v>
      </c>
    </row>
    <row r="14" spans="1:6" x14ac:dyDescent="0.2">
      <c r="A14" s="172" t="s">
        <v>10</v>
      </c>
      <c r="B14" s="171">
        <f>NPV('Economic Model'!$B$136,'Chi phi dau tu'!C14:F14)</f>
        <v>58475.923468342306</v>
      </c>
      <c r="C14" s="171">
        <f>'Financial Model'!C169</f>
        <v>2291.5499999999997</v>
      </c>
      <c r="D14" s="171">
        <f>'Financial Model'!D169</f>
        <v>22151.649999999998</v>
      </c>
      <c r="E14" s="171">
        <f>'Financial Model'!E169</f>
        <v>38192.5</v>
      </c>
      <c r="F14" s="160">
        <f>'Financial Model'!F169</f>
        <v>13749.3</v>
      </c>
    </row>
    <row r="15" spans="1:6" x14ac:dyDescent="0.2">
      <c r="A15" s="172" t="s">
        <v>11</v>
      </c>
      <c r="B15" s="171">
        <f>NPV('Economic Model'!$B$136,'Chi phi dau tu'!C15:F15)</f>
        <v>9034.1608018577972</v>
      </c>
      <c r="C15" s="171">
        <f>'Financial Model'!C170</f>
        <v>354.03</v>
      </c>
      <c r="D15" s="171">
        <f>'Financial Model'!D170</f>
        <v>3422.29</v>
      </c>
      <c r="E15" s="171">
        <f>'Financial Model'!E170</f>
        <v>5900.5</v>
      </c>
      <c r="F15" s="160">
        <f>'Financial Model'!F170</f>
        <v>2124.1799999999998</v>
      </c>
    </row>
    <row r="16" spans="1:6" x14ac:dyDescent="0.2">
      <c r="A16" s="159" t="s">
        <v>12</v>
      </c>
      <c r="B16" s="171">
        <f>NPV('Economic Model'!$B$136,'Chi phi dau tu'!C16:F16)</f>
        <v>0</v>
      </c>
      <c r="C16" s="171">
        <f>'Financial Model'!C171</f>
        <v>0</v>
      </c>
      <c r="D16" s="171">
        <f>'Financial Model'!D171</f>
        <v>0</v>
      </c>
      <c r="E16" s="171">
        <f>'Financial Model'!E171</f>
        <v>0</v>
      </c>
      <c r="F16" s="160">
        <f>'Financial Model'!F171</f>
        <v>0</v>
      </c>
    </row>
    <row r="17" spans="1:6" x14ac:dyDescent="0.2">
      <c r="A17" s="159" t="s">
        <v>194</v>
      </c>
      <c r="B17" s="171">
        <f>NPV('Economic Model'!$B$136,'Chi phi dau tu'!C17:F17)</f>
        <v>0</v>
      </c>
      <c r="C17" s="171">
        <v>0</v>
      </c>
      <c r="D17" s="171">
        <v>0</v>
      </c>
      <c r="E17" s="171">
        <v>0</v>
      </c>
      <c r="F17" s="171">
        <v>0</v>
      </c>
    </row>
    <row r="18" spans="1:6" x14ac:dyDescent="0.2">
      <c r="A18" s="161" t="s">
        <v>14</v>
      </c>
      <c r="B18" s="171">
        <f>NPV('Economic Model'!$B$136,'Chi phi dau tu'!C18:F18)</f>
        <v>30465.508284953205</v>
      </c>
      <c r="C18" s="171">
        <f>'Financial Model'!C173</f>
        <v>1193.8799999999999</v>
      </c>
      <c r="D18" s="171">
        <f>'Financial Model'!D173</f>
        <v>11540.839999999998</v>
      </c>
      <c r="E18" s="171">
        <f>'Financial Model'!E173</f>
        <v>19898</v>
      </c>
      <c r="F18" s="160">
        <f>'Financial Model'!F173</f>
        <v>7163.28</v>
      </c>
    </row>
    <row r="19" spans="1:6" x14ac:dyDescent="0.2">
      <c r="A19" s="162" t="s">
        <v>216</v>
      </c>
      <c r="B19" s="171">
        <f>NPV('Economic Model'!$B$136,'Chi phi dau tu'!C19:F19)</f>
        <v>0</v>
      </c>
      <c r="C19" s="173"/>
      <c r="D19" s="173"/>
      <c r="E19" s="173"/>
      <c r="F19" s="174"/>
    </row>
    <row r="20" spans="1:6" x14ac:dyDescent="0.2">
      <c r="A20" s="159" t="s">
        <v>15</v>
      </c>
      <c r="B20" s="171">
        <f>NPV('Economic Model'!$B$136,'Chi phi dau tu'!C20:F20)</f>
        <v>732.09422617447979</v>
      </c>
      <c r="C20" s="171">
        <f>'Financial Model'!C175*1000/'Financial Model'!$B$6</f>
        <v>28.689252336448593</v>
      </c>
      <c r="D20" s="171">
        <f>'Financial Model'!D175*1000/'Financial Model'!$B$6</f>
        <v>277.32943925233639</v>
      </c>
      <c r="E20" s="171">
        <f>'Financial Model'!E175*1000/'Financial Model'!$B$6</f>
        <v>478.15420560747663</v>
      </c>
      <c r="F20" s="160">
        <f>'Financial Model'!F175*1000/'Financial Model'!$B$6</f>
        <v>172.13551401869159</v>
      </c>
    </row>
    <row r="21" spans="1:6" x14ac:dyDescent="0.2">
      <c r="A21" s="165" t="s">
        <v>16</v>
      </c>
      <c r="B21" s="171">
        <f>NPV('Economic Model'!$B$136,'Chi phi dau tu'!C21:F21)</f>
        <v>7.9058306369196201</v>
      </c>
      <c r="C21" s="171">
        <f>'Financial Model'!C176*1000/'Financial Model'!$B$6</f>
        <v>0.30981308411214953</v>
      </c>
      <c r="D21" s="171">
        <f>'Financial Model'!D176*1000/'Financial Model'!$B$6</f>
        <v>2.994859813084112</v>
      </c>
      <c r="E21" s="171">
        <f>'Financial Model'!E176*1000/'Financial Model'!$B$6</f>
        <v>5.1635514018691593</v>
      </c>
      <c r="F21" s="160">
        <f>'Financial Model'!F176*1000/'Financial Model'!$B$6</f>
        <v>1.8588785046728973</v>
      </c>
    </row>
    <row r="22" spans="1:6" x14ac:dyDescent="0.2">
      <c r="A22" s="165" t="s">
        <v>17</v>
      </c>
      <c r="B22" s="171">
        <f>NPV('Economic Model'!$B$136,'Chi phi dau tu'!C22:F22)</f>
        <v>724.18839553756004</v>
      </c>
      <c r="C22" s="171">
        <f>'Financial Model'!C177*1000/'Financial Model'!$B$6</f>
        <v>28.379439252336443</v>
      </c>
      <c r="D22" s="171">
        <f>'Financial Model'!D177*1000/'Financial Model'!$B$6</f>
        <v>274.33457943925231</v>
      </c>
      <c r="E22" s="171">
        <f>'Financial Model'!E177*1000/'Financial Model'!$B$6</f>
        <v>472.99065420560748</v>
      </c>
      <c r="F22" s="160">
        <f>'Financial Model'!F177*1000/'Financial Model'!$B$6</f>
        <v>170.27663551401869</v>
      </c>
    </row>
    <row r="23" spans="1:6" x14ac:dyDescent="0.2">
      <c r="A23" s="163" t="s">
        <v>18</v>
      </c>
      <c r="B23" s="171">
        <f>NPV('Economic Model'!$B$136,'Chi phi dau tu'!C23:F23)</f>
        <v>34592.838390079829</v>
      </c>
      <c r="C23" s="171">
        <f>'Financial Model'!C178*1000/'Financial Model'!$B$6</f>
        <v>1355.6214953271028</v>
      </c>
      <c r="D23" s="171">
        <f>'Financial Model'!D178*1000/'Financial Model'!$B$6</f>
        <v>13104.341121495325</v>
      </c>
      <c r="E23" s="171">
        <f>'Financial Model'!E178*1000/'Financial Model'!$B$6</f>
        <v>22593.691588785048</v>
      </c>
      <c r="F23" s="160">
        <f>'Financial Model'!F178*1000/'Financial Model'!$B$6</f>
        <v>8133.7289719626169</v>
      </c>
    </row>
    <row r="24" spans="1:6" x14ac:dyDescent="0.2">
      <c r="A24" s="164" t="s">
        <v>19</v>
      </c>
      <c r="B24" s="171">
        <f>NPV('Economic Model'!$B$136,'Chi phi dau tu'!C24:F24)</f>
        <v>33423.276277666017</v>
      </c>
      <c r="C24" s="171">
        <f>'Financial Model'!C179*1000/'Financial Model'!$B$6</f>
        <v>1309.7887850467289</v>
      </c>
      <c r="D24" s="171">
        <f>'Financial Model'!D179*1000/'Financial Model'!$B$6</f>
        <v>12661.291588785043</v>
      </c>
      <c r="E24" s="171">
        <f>'Financial Model'!E179*1000/'Financial Model'!$B$6</f>
        <v>21829.813084112149</v>
      </c>
      <c r="F24" s="160">
        <f>'Financial Model'!F179*1000/'Financial Model'!$B$6</f>
        <v>7858.7327102803738</v>
      </c>
    </row>
    <row r="25" spans="1:6" x14ac:dyDescent="0.2">
      <c r="A25" s="165" t="s">
        <v>20</v>
      </c>
      <c r="B25" s="171">
        <f>NPV('Economic Model'!$B$136,'Chi phi dau tu'!C25:F25)</f>
        <v>1169.5621124138011</v>
      </c>
      <c r="C25" s="171">
        <f>'Financial Model'!C180*1000/'Financial Model'!$B$6</f>
        <v>45.832710280373824</v>
      </c>
      <c r="D25" s="171">
        <f>'Financial Model'!D180*1000/'Financial Model'!$B$6</f>
        <v>443.04953271028035</v>
      </c>
      <c r="E25" s="171">
        <f>'Financial Model'!E180*1000/'Financial Model'!$B$6</f>
        <v>763.87850467289718</v>
      </c>
      <c r="F25" s="160">
        <f>'Financial Model'!F180*1000/'Financial Model'!$B$6</f>
        <v>274.99626168224302</v>
      </c>
    </row>
    <row r="26" spans="1:6" x14ac:dyDescent="0.2">
      <c r="A26" s="159" t="s">
        <v>6</v>
      </c>
      <c r="B26" s="171">
        <f>NPV('Economic Model'!$B$136,'Chi phi dau tu'!C26:F26)</f>
        <v>6847.6656132088401</v>
      </c>
      <c r="C26" s="171">
        <f>'Financial Model'!C181*1000/'Financial Model'!$B$6</f>
        <v>268.34579439252332</v>
      </c>
      <c r="D26" s="171">
        <f>'Financial Model'!D181*1000/'Financial Model'!$B$6</f>
        <v>2594.0093457943922</v>
      </c>
      <c r="E26" s="171">
        <f>'Financial Model'!E181*1000/'Financial Model'!$B$6</f>
        <v>4472.4299065420564</v>
      </c>
      <c r="F26" s="160">
        <f>'Financial Model'!F181*1000/'Financial Model'!$B$6</f>
        <v>1610.0747663551401</v>
      </c>
    </row>
    <row r="27" spans="1:6" x14ac:dyDescent="0.2">
      <c r="A27" s="175" t="s">
        <v>7</v>
      </c>
      <c r="B27" s="171">
        <f>NPV('Economic Model'!$B$136,'Chi phi dau tu'!C27:F27)</f>
        <v>0</v>
      </c>
      <c r="C27" s="171">
        <f>'Financial Model'!C182*1000/'Financial Model'!$B$6</f>
        <v>0</v>
      </c>
      <c r="D27" s="171">
        <f>'Financial Model'!D182*1000/'Financial Model'!$B$6</f>
        <v>0</v>
      </c>
      <c r="E27" s="171">
        <f>'Financial Model'!E182*1000/'Financial Model'!$B$6</f>
        <v>0</v>
      </c>
      <c r="F27" s="160">
        <f>'Financial Model'!F182*1000/'Financial Model'!$B$6</f>
        <v>0</v>
      </c>
    </row>
    <row r="28" spans="1:6" x14ac:dyDescent="0.2">
      <c r="A28" s="175" t="s">
        <v>21</v>
      </c>
      <c r="B28" s="171">
        <f>NPV('Economic Model'!$B$136,'Chi phi dau tu'!C28:F28)</f>
        <v>0</v>
      </c>
      <c r="C28" s="171">
        <f>'Financial Model'!C183*1000/'Financial Model'!$B$6</f>
        <v>0</v>
      </c>
      <c r="D28" s="171">
        <f>'Financial Model'!D183*1000/'Financial Model'!$B$6</f>
        <v>0</v>
      </c>
      <c r="E28" s="171">
        <f>'Financial Model'!E183*1000/'Financial Model'!$B$6</f>
        <v>0</v>
      </c>
      <c r="F28" s="160">
        <f>'Financial Model'!F183*1000/'Financial Model'!$B$6</f>
        <v>0</v>
      </c>
    </row>
    <row r="29" spans="1:6" x14ac:dyDescent="0.2">
      <c r="A29" s="164" t="s">
        <v>22</v>
      </c>
      <c r="B29" s="171">
        <f>NPV('Economic Model'!$B$136,'Chi phi dau tu'!C29:F29)</f>
        <v>539.27781380797865</v>
      </c>
      <c r="C29" s="171">
        <f>'Financial Model'!C184*1000/'Financial Model'!$B$6</f>
        <v>21.133177570093459</v>
      </c>
      <c r="D29" s="171">
        <f>'Financial Model'!D184*1000/'Financial Model'!$B$6</f>
        <v>204.28738317757009</v>
      </c>
      <c r="E29" s="171">
        <f>'Financial Model'!E184*1000/'Financial Model'!$B$6</f>
        <v>352.21962616822429</v>
      </c>
      <c r="F29" s="160">
        <f>'Financial Model'!F184*1000/'Financial Model'!$B$6</f>
        <v>126.79906542056075</v>
      </c>
    </row>
    <row r="30" spans="1:6" x14ac:dyDescent="0.2">
      <c r="A30" s="175" t="s">
        <v>23</v>
      </c>
      <c r="B30" s="171">
        <f>NPV('Economic Model'!$B$136,'Chi phi dau tu'!C30:F30)</f>
        <v>72.011027475652469</v>
      </c>
      <c r="C30" s="171">
        <f>'Financial Model'!C185*1000/'Financial Model'!$B$6</f>
        <v>2.8219626168224301</v>
      </c>
      <c r="D30" s="171">
        <f>'Financial Model'!D185*1000/'Financial Model'!$B$6</f>
        <v>27.278971962616822</v>
      </c>
      <c r="E30" s="171">
        <f>'Financial Model'!E185*1000/'Financial Model'!$B$6</f>
        <v>47.032710280373834</v>
      </c>
      <c r="F30" s="160">
        <f>'Financial Model'!F185*1000/'Financial Model'!$B$6</f>
        <v>16.93177570093458</v>
      </c>
    </row>
    <row r="31" spans="1:6" x14ac:dyDescent="0.2">
      <c r="A31" s="175" t="s">
        <v>24</v>
      </c>
      <c r="B31" s="171">
        <f>NPV('Economic Model'!$B$136,'Chi phi dau tu'!C31:F31)</f>
        <v>6236.3767719252082</v>
      </c>
      <c r="C31" s="171">
        <f>'Financial Model'!C186*1000/'Financial Model'!$B$6</f>
        <v>244.39065420560749</v>
      </c>
      <c r="D31" s="171">
        <f>'Financial Model'!D186*1000/'Financial Model'!$B$6</f>
        <v>2362.4429906542055</v>
      </c>
      <c r="E31" s="171">
        <f>'Financial Model'!E186*1000/'Financial Model'!$B$6</f>
        <v>4073.1775700934581</v>
      </c>
      <c r="F31" s="160">
        <f>'Financial Model'!F186*1000/'Financial Model'!$B$6</f>
        <v>1466.3439252336448</v>
      </c>
    </row>
    <row r="32" spans="1:6" x14ac:dyDescent="0.2">
      <c r="A32" s="159" t="s">
        <v>12</v>
      </c>
      <c r="B32" s="171">
        <f>NPV('Economic Model'!$B$136,'Chi phi dau tu'!C32:F32)</f>
        <v>8042.7338669987666</v>
      </c>
      <c r="C32" s="171">
        <f>'Financial Model'!C187*1000/'Financial Model'!$B$6</f>
        <v>315.17803738317753</v>
      </c>
      <c r="D32" s="171">
        <f>'Financial Model'!D187*1000/'Financial Model'!$B$6</f>
        <v>3046.7210280373829</v>
      </c>
      <c r="E32" s="171">
        <f>'Financial Model'!E187*1000/'Financial Model'!$B$6</f>
        <v>5252.967289719626</v>
      </c>
      <c r="F32" s="160">
        <f>'Financial Model'!F187*1000/'Financial Model'!$B$6</f>
        <v>1891.0682242990654</v>
      </c>
    </row>
    <row r="33" spans="1:6" x14ac:dyDescent="0.2">
      <c r="A33" s="159" t="s">
        <v>194</v>
      </c>
      <c r="B33" s="171">
        <f>NPV('Economic Model'!$B$136,'Chi phi dau tu'!C33:F33)</f>
        <v>0</v>
      </c>
      <c r="C33" s="171">
        <v>0</v>
      </c>
      <c r="D33" s="171">
        <v>0</v>
      </c>
      <c r="E33" s="171">
        <v>0</v>
      </c>
      <c r="F33" s="171">
        <v>0</v>
      </c>
    </row>
    <row r="34" spans="1:6" x14ac:dyDescent="0.2">
      <c r="A34" s="161" t="s">
        <v>14</v>
      </c>
      <c r="B34" s="171">
        <f>NPV('Economic Model'!$B$136,'Chi phi dau tu'!C34:F34)</f>
        <v>3786.3562802448887</v>
      </c>
      <c r="C34" s="171">
        <f>'Financial Model'!C189*1000/'Financial Model'!$B$6</f>
        <v>148.37943925233643</v>
      </c>
      <c r="D34" s="171">
        <f>'Financial Model'!D189*1000/'Financial Model'!$B$6</f>
        <v>1434.3345794392524</v>
      </c>
      <c r="E34" s="171">
        <f>'Financial Model'!E189*1000/'Financial Model'!$B$6</f>
        <v>2472.9906542056074</v>
      </c>
      <c r="F34" s="160">
        <f>'Financial Model'!F189*1000/'Financial Model'!$B$6</f>
        <v>890.27663551401872</v>
      </c>
    </row>
    <row r="35" spans="1:6" x14ac:dyDescent="0.2">
      <c r="A35" s="176" t="s">
        <v>217</v>
      </c>
      <c r="B35" s="177">
        <f>NPV('Economic Model'!$B$136,'Chi phi dau tu'!C35:F35)</f>
        <v>388268.70021332987</v>
      </c>
      <c r="C35" s="177">
        <f>C5+C9+C10+C16+C18+C20+C23+C26+C32+C34</f>
        <v>15215.444018691587</v>
      </c>
      <c r="D35" s="177">
        <f t="shared" ref="D35:F35" si="0">D5+D9+D10+D16+D18+D20+D23+D26+D32+D34</f>
        <v>147082.62551401867</v>
      </c>
      <c r="E35" s="177">
        <f t="shared" si="0"/>
        <v>253590.73364485981</v>
      </c>
      <c r="F35" s="167">
        <f t="shared" si="0"/>
        <v>91292.664112149519</v>
      </c>
    </row>
    <row r="36" spans="1:6" ht="10.5" x14ac:dyDescent="0.25">
      <c r="B36" s="97"/>
      <c r="C36" s="97"/>
      <c r="D36" s="97"/>
      <c r="E36" s="97"/>
      <c r="F36" s="97"/>
    </row>
    <row r="37" spans="1:6" x14ac:dyDescent="0.2">
      <c r="A37" s="60" t="s">
        <v>311</v>
      </c>
      <c r="B37" s="252" t="s">
        <v>298</v>
      </c>
    </row>
    <row r="38" spans="1:6" x14ac:dyDescent="0.2">
      <c r="A38" s="157" t="s">
        <v>34</v>
      </c>
      <c r="B38" s="178"/>
      <c r="C38" s="170"/>
      <c r="D38" s="170"/>
      <c r="E38" s="170"/>
      <c r="F38" s="158"/>
    </row>
    <row r="39" spans="1:6" x14ac:dyDescent="0.2">
      <c r="A39" s="159" t="s">
        <v>1</v>
      </c>
      <c r="B39" s="171">
        <f>NPV('Economic Model'!$B$136,'Chi phi dau tu'!C39:F39)</f>
        <v>203552.71066730414</v>
      </c>
      <c r="C39" s="171">
        <f>'Economic Model'!C148</f>
        <v>7976.808</v>
      </c>
      <c r="D39" s="171">
        <f>'Economic Model'!D148</f>
        <v>77109.144</v>
      </c>
      <c r="E39" s="171">
        <f>'Economic Model'!E148</f>
        <v>132946.80000000002</v>
      </c>
      <c r="F39" s="160">
        <f>'Economic Model'!F148</f>
        <v>47860.847999999998</v>
      </c>
    </row>
    <row r="40" spans="1:6" x14ac:dyDescent="0.2">
      <c r="A40" s="165" t="s">
        <v>2</v>
      </c>
      <c r="B40" s="171">
        <f>NPV('Economic Model'!$B$136,'Chi phi dau tu'!C40:F40)</f>
        <v>138039.0450266375</v>
      </c>
      <c r="C40" s="171">
        <f>'Economic Model'!C149</f>
        <v>5409.4634999999998</v>
      </c>
      <c r="D40" s="171">
        <f>'Economic Model'!D149</f>
        <v>52291.480499999998</v>
      </c>
      <c r="E40" s="171">
        <f>'Economic Model'!E149</f>
        <v>90157.725000000006</v>
      </c>
      <c r="F40" s="160">
        <f>'Economic Model'!F149</f>
        <v>32456.780999999999</v>
      </c>
    </row>
    <row r="41" spans="1:6" x14ac:dyDescent="0.2">
      <c r="A41" s="165" t="s">
        <v>3</v>
      </c>
      <c r="B41" s="171">
        <f>NPV('Economic Model'!$B$136,'Chi phi dau tu'!C41:F41)</f>
        <v>691.28439997267935</v>
      </c>
      <c r="C41" s="171">
        <f>'Economic Model'!C150</f>
        <v>27.090000000000003</v>
      </c>
      <c r="D41" s="171">
        <f>'Economic Model'!D150</f>
        <v>261.87</v>
      </c>
      <c r="E41" s="171">
        <f>'Economic Model'!E150</f>
        <v>451.5</v>
      </c>
      <c r="F41" s="160">
        <f>'Economic Model'!F150</f>
        <v>162.54</v>
      </c>
    </row>
    <row r="42" spans="1:6" x14ac:dyDescent="0.2">
      <c r="A42" s="165" t="s">
        <v>4</v>
      </c>
      <c r="B42" s="171">
        <f>NPV('Economic Model'!$B$136,'Chi phi dau tu'!C42:F42)</f>
        <v>64822.381240693932</v>
      </c>
      <c r="C42" s="171">
        <f>'Economic Model'!C151</f>
        <v>2540.2545</v>
      </c>
      <c r="D42" s="171">
        <f>'Economic Model'!D151</f>
        <v>24555.7935</v>
      </c>
      <c r="E42" s="171">
        <f>'Economic Model'!E151</f>
        <v>42337.575000000004</v>
      </c>
      <c r="F42" s="160">
        <f>'Economic Model'!F151</f>
        <v>15241.527</v>
      </c>
    </row>
    <row r="43" spans="1:6" x14ac:dyDescent="0.2">
      <c r="A43" s="159" t="s">
        <v>5</v>
      </c>
      <c r="B43" s="171">
        <f>NPV('Economic Model'!$B$136,'Chi phi dau tu'!C43:F43)</f>
        <v>33343.218831705475</v>
      </c>
      <c r="C43" s="171">
        <f>'Economic Model'!C152</f>
        <v>1306.6515000000002</v>
      </c>
      <c r="D43" s="171">
        <f>'Economic Model'!D152</f>
        <v>12630.9645</v>
      </c>
      <c r="E43" s="171">
        <f>'Economic Model'!E152</f>
        <v>21777.525000000001</v>
      </c>
      <c r="F43" s="160">
        <f>'Economic Model'!F152</f>
        <v>7839.9090000000006</v>
      </c>
    </row>
    <row r="44" spans="1:6" x14ac:dyDescent="0.2">
      <c r="A44" s="159" t="s">
        <v>6</v>
      </c>
      <c r="B44" s="171">
        <f>NPV('Economic Model'!$B$136,'Chi phi dau tu'!C44:F44)</f>
        <v>82095.649230243813</v>
      </c>
      <c r="C44" s="171">
        <f>'Economic Model'!C153</f>
        <v>3217.1580000000004</v>
      </c>
      <c r="D44" s="171">
        <f>'Economic Model'!D153</f>
        <v>31099.194</v>
      </c>
      <c r="E44" s="171">
        <f>'Economic Model'!E153</f>
        <v>53619.3</v>
      </c>
      <c r="F44" s="160">
        <f>'Economic Model'!F153</f>
        <v>19302.948</v>
      </c>
    </row>
    <row r="45" spans="1:6" x14ac:dyDescent="0.2">
      <c r="A45" s="172" t="s">
        <v>7</v>
      </c>
      <c r="B45" s="171">
        <f>NPV('Economic Model'!$B$136,'Chi phi dau tu'!C45:F45)</f>
        <v>3784.380180315552</v>
      </c>
      <c r="C45" s="171">
        <f>'Economic Model'!C154</f>
        <v>148.30199999999999</v>
      </c>
      <c r="D45" s="171">
        <f>'Economic Model'!D154</f>
        <v>1433.586</v>
      </c>
      <c r="E45" s="171">
        <f>'Economic Model'!E154</f>
        <v>2471.7000000000003</v>
      </c>
      <c r="F45" s="160">
        <f>'Economic Model'!F154</f>
        <v>889.81200000000001</v>
      </c>
    </row>
    <row r="46" spans="1:6" x14ac:dyDescent="0.2">
      <c r="A46" s="172" t="s">
        <v>8</v>
      </c>
      <c r="B46" s="171">
        <f>NPV('Economic Model'!$B$136,'Chi phi dau tu'!C46:F46)</f>
        <v>7425.6805662181523</v>
      </c>
      <c r="C46" s="171">
        <f>'Economic Model'!C155</f>
        <v>290.99700000000001</v>
      </c>
      <c r="D46" s="171">
        <f>'Economic Model'!D155</f>
        <v>2812.971</v>
      </c>
      <c r="E46" s="171">
        <f>'Economic Model'!E155</f>
        <v>4849.95</v>
      </c>
      <c r="F46" s="160">
        <f>'Economic Model'!F155</f>
        <v>1745.982</v>
      </c>
    </row>
    <row r="47" spans="1:6" x14ac:dyDescent="0.2">
      <c r="A47" s="172" t="s">
        <v>9</v>
      </c>
      <c r="B47" s="171">
        <f>NPV('Economic Model'!$B$136,'Chi phi dau tu'!C47:F47)</f>
        <v>0</v>
      </c>
      <c r="C47" s="171">
        <f>'Economic Model'!C156</f>
        <v>0</v>
      </c>
      <c r="D47" s="171">
        <f>'Economic Model'!D156</f>
        <v>0</v>
      </c>
      <c r="E47" s="171">
        <f>'Economic Model'!E156</f>
        <v>0</v>
      </c>
      <c r="F47" s="160">
        <f>'Economic Model'!F156</f>
        <v>0</v>
      </c>
    </row>
    <row r="48" spans="1:6" x14ac:dyDescent="0.2">
      <c r="A48" s="172" t="s">
        <v>10</v>
      </c>
      <c r="B48" s="171">
        <f>NPV('Economic Model'!$B$136,'Chi phi dau tu'!C48:F48)</f>
        <v>61399.719641759424</v>
      </c>
      <c r="C48" s="171">
        <f>'Economic Model'!C157</f>
        <v>2406.1274999999996</v>
      </c>
      <c r="D48" s="171">
        <f>'Economic Model'!D157</f>
        <v>23259.232499999998</v>
      </c>
      <c r="E48" s="171">
        <f>'Economic Model'!E157</f>
        <v>40102.125</v>
      </c>
      <c r="F48" s="160">
        <f>'Economic Model'!F157</f>
        <v>14436.764999999999</v>
      </c>
    </row>
    <row r="49" spans="1:6" x14ac:dyDescent="0.2">
      <c r="A49" s="172" t="s">
        <v>11</v>
      </c>
      <c r="B49" s="171">
        <f>NPV('Economic Model'!$B$136,'Chi phi dau tu'!C49:F49)</f>
        <v>9485.8688419506852</v>
      </c>
      <c r="C49" s="171">
        <f>'Economic Model'!C158</f>
        <v>371.73149999999998</v>
      </c>
      <c r="D49" s="171">
        <f>'Economic Model'!D158</f>
        <v>3593.4045000000001</v>
      </c>
      <c r="E49" s="171">
        <f>'Economic Model'!E158</f>
        <v>6195.5250000000005</v>
      </c>
      <c r="F49" s="160">
        <f>'Economic Model'!F158</f>
        <v>2230.3890000000001</v>
      </c>
    </row>
    <row r="50" spans="1:6" x14ac:dyDescent="0.2">
      <c r="A50" s="159" t="s">
        <v>12</v>
      </c>
      <c r="B50" s="171">
        <f>NPV('Economic Model'!$B$136,'Chi phi dau tu'!C50:F50)</f>
        <v>0</v>
      </c>
      <c r="C50" s="171">
        <f>'Economic Model'!C159</f>
        <v>0</v>
      </c>
      <c r="D50" s="171">
        <f>'Economic Model'!D159</f>
        <v>0</v>
      </c>
      <c r="E50" s="171">
        <f>'Economic Model'!E159</f>
        <v>0</v>
      </c>
      <c r="F50" s="160">
        <f>'Economic Model'!F159</f>
        <v>0</v>
      </c>
    </row>
    <row r="51" spans="1:6" x14ac:dyDescent="0.2">
      <c r="A51" s="159" t="s">
        <v>194</v>
      </c>
      <c r="B51" s="171">
        <f>NPV('Economic Model'!$B$136,'Chi phi dau tu'!C51:F51)</f>
        <v>0</v>
      </c>
      <c r="C51" s="171">
        <f>'Economic Model'!C160</f>
        <v>0</v>
      </c>
      <c r="D51" s="171">
        <f>'Economic Model'!D160</f>
        <v>0</v>
      </c>
      <c r="E51" s="171">
        <f>'Economic Model'!E160</f>
        <v>0</v>
      </c>
      <c r="F51" s="160">
        <f>'Economic Model'!F160</f>
        <v>0</v>
      </c>
    </row>
    <row r="52" spans="1:6" x14ac:dyDescent="0.2">
      <c r="A52" s="161" t="s">
        <v>14</v>
      </c>
      <c r="B52" s="171">
        <f>NPV('Economic Model'!$B$136,'Chi phi dau tu'!C52:F52)</f>
        <v>31988.783699200871</v>
      </c>
      <c r="C52" s="171">
        <f>'Economic Model'!C161</f>
        <v>1253.5739999999998</v>
      </c>
      <c r="D52" s="171">
        <f>'Economic Model'!D161</f>
        <v>12117.882</v>
      </c>
      <c r="E52" s="171">
        <f>'Economic Model'!E161</f>
        <v>20892.900000000001</v>
      </c>
      <c r="F52" s="160">
        <f>'Economic Model'!F161</f>
        <v>7521.4440000000004</v>
      </c>
    </row>
    <row r="53" spans="1:6" x14ac:dyDescent="0.2">
      <c r="A53" s="162" t="s">
        <v>216</v>
      </c>
      <c r="B53" s="171">
        <f>NPV('Economic Model'!$B$136,'Chi phi dau tu'!C53:F53)</f>
        <v>0</v>
      </c>
      <c r="C53" s="171">
        <f>'Economic Model'!C162</f>
        <v>0</v>
      </c>
      <c r="D53" s="171">
        <f>'Economic Model'!D162</f>
        <v>0</v>
      </c>
      <c r="E53" s="171">
        <f>'Economic Model'!E162</f>
        <v>0</v>
      </c>
      <c r="F53" s="160">
        <f>'Economic Model'!F162</f>
        <v>0</v>
      </c>
    </row>
    <row r="54" spans="1:6" x14ac:dyDescent="0.2">
      <c r="A54" s="159" t="s">
        <v>15</v>
      </c>
      <c r="B54" s="171">
        <f>NPV('Economic Model'!$B$136,'Chi phi dau tu'!C54:F54)</f>
        <v>0</v>
      </c>
      <c r="C54" s="171">
        <f>'Economic Model'!C163</f>
        <v>0</v>
      </c>
      <c r="D54" s="171">
        <f>'Economic Model'!D163</f>
        <v>0</v>
      </c>
      <c r="E54" s="171">
        <f>'Economic Model'!E163</f>
        <v>0</v>
      </c>
      <c r="F54" s="160">
        <f>'Economic Model'!F163</f>
        <v>0</v>
      </c>
    </row>
    <row r="55" spans="1:6" x14ac:dyDescent="0.2">
      <c r="A55" s="165" t="s">
        <v>16</v>
      </c>
      <c r="B55" s="171">
        <f>NPV('Economic Model'!$B$136,'Chi phi dau tu'!C55:F55)</f>
        <v>0</v>
      </c>
      <c r="C55" s="171">
        <f>'Economic Model'!C164</f>
        <v>0</v>
      </c>
      <c r="D55" s="171">
        <f>'Economic Model'!D164</f>
        <v>0</v>
      </c>
      <c r="E55" s="171">
        <f>'Economic Model'!E164</f>
        <v>0</v>
      </c>
      <c r="F55" s="160">
        <f>'Economic Model'!F164</f>
        <v>0</v>
      </c>
    </row>
    <row r="56" spans="1:6" x14ac:dyDescent="0.2">
      <c r="A56" s="165" t="s">
        <v>17</v>
      </c>
      <c r="B56" s="171">
        <f>NPV('Economic Model'!$B$136,'Chi phi dau tu'!C56:F56)</f>
        <v>0</v>
      </c>
      <c r="C56" s="171">
        <f>'Economic Model'!C165</f>
        <v>0</v>
      </c>
      <c r="D56" s="171">
        <f>'Economic Model'!D165</f>
        <v>0</v>
      </c>
      <c r="E56" s="171">
        <f>'Economic Model'!E165</f>
        <v>0</v>
      </c>
      <c r="F56" s="160">
        <f>'Economic Model'!F165</f>
        <v>0</v>
      </c>
    </row>
    <row r="57" spans="1:6" x14ac:dyDescent="0.2">
      <c r="A57" s="163" t="s">
        <v>18</v>
      </c>
      <c r="B57" s="171">
        <f>NPV('Economic Model'!$B$136,'Chi phi dau tu'!C57:F57)</f>
        <v>26237.019320663316</v>
      </c>
      <c r="C57" s="171">
        <f>'Economic Model'!C166</f>
        <v>1028.1742990654207</v>
      </c>
      <c r="D57" s="171">
        <f>'Economic Model'!D166</f>
        <v>9939.0182242990631</v>
      </c>
      <c r="E57" s="171">
        <f>'Economic Model'!E166</f>
        <v>17136.238317757008</v>
      </c>
      <c r="F57" s="160">
        <f>'Economic Model'!F166</f>
        <v>6169.045794392523</v>
      </c>
    </row>
    <row r="58" spans="1:6" x14ac:dyDescent="0.2">
      <c r="A58" s="164" t="s">
        <v>19</v>
      </c>
      <c r="B58" s="171">
        <f>NPV('Economic Model'!$B$136,'Chi phi dau tu'!C58:F58)</f>
        <v>25067.457208249521</v>
      </c>
      <c r="C58" s="171">
        <f>'Economic Model'!C167</f>
        <v>982.34158878504672</v>
      </c>
      <c r="D58" s="171">
        <f>'Economic Model'!D167</f>
        <v>9495.9686915887833</v>
      </c>
      <c r="E58" s="171">
        <f>'Economic Model'!E167</f>
        <v>16372.359813084113</v>
      </c>
      <c r="F58" s="160">
        <f>'Economic Model'!F167</f>
        <v>5894.0495327102799</v>
      </c>
    </row>
    <row r="59" spans="1:6" x14ac:dyDescent="0.2">
      <c r="A59" s="165" t="s">
        <v>20</v>
      </c>
      <c r="B59" s="171">
        <f>NPV('Economic Model'!$B$136,'Chi phi dau tu'!C59:F59)</f>
        <v>1169.5621124138011</v>
      </c>
      <c r="C59" s="171">
        <f>'Economic Model'!C168</f>
        <v>45.832710280373824</v>
      </c>
      <c r="D59" s="171">
        <f>'Economic Model'!D168</f>
        <v>443.04953271028035</v>
      </c>
      <c r="E59" s="171">
        <f>'Economic Model'!E168</f>
        <v>763.87850467289718</v>
      </c>
      <c r="F59" s="160">
        <f>'Economic Model'!F168</f>
        <v>274.99626168224302</v>
      </c>
    </row>
    <row r="60" spans="1:6" x14ac:dyDescent="0.2">
      <c r="A60" s="159" t="s">
        <v>6</v>
      </c>
      <c r="B60" s="171">
        <f>NPV('Economic Model'!$B$136,'Chi phi dau tu'!C60:F60)</f>
        <v>6847.6656132088401</v>
      </c>
      <c r="C60" s="171">
        <f>'Economic Model'!C169</f>
        <v>268.34579439252332</v>
      </c>
      <c r="D60" s="171">
        <f>'Economic Model'!D169</f>
        <v>2594.0093457943926</v>
      </c>
      <c r="E60" s="171">
        <f>'Economic Model'!E169</f>
        <v>4472.4299065420555</v>
      </c>
      <c r="F60" s="160">
        <f>'Economic Model'!F169</f>
        <v>1610.0747663551401</v>
      </c>
    </row>
    <row r="61" spans="1:6" x14ac:dyDescent="0.2">
      <c r="A61" s="175" t="s">
        <v>7</v>
      </c>
      <c r="B61" s="171">
        <f>NPV('Economic Model'!$B$136,'Chi phi dau tu'!C61:F61)</f>
        <v>0</v>
      </c>
      <c r="C61" s="171">
        <f>'Economic Model'!C170</f>
        <v>0</v>
      </c>
      <c r="D61" s="171">
        <f>'Economic Model'!D170</f>
        <v>0</v>
      </c>
      <c r="E61" s="171">
        <f>'Economic Model'!E170</f>
        <v>0</v>
      </c>
      <c r="F61" s="160">
        <f>'Economic Model'!F170</f>
        <v>0</v>
      </c>
    </row>
    <row r="62" spans="1:6" x14ac:dyDescent="0.2">
      <c r="A62" s="175" t="s">
        <v>21</v>
      </c>
      <c r="B62" s="171">
        <f>NPV('Economic Model'!$B$136,'Chi phi dau tu'!C62:F62)</f>
        <v>0</v>
      </c>
      <c r="C62" s="171">
        <f>'Economic Model'!C171</f>
        <v>0</v>
      </c>
      <c r="D62" s="171">
        <f>'Economic Model'!D171</f>
        <v>0</v>
      </c>
      <c r="E62" s="171">
        <f>'Economic Model'!E171</f>
        <v>0</v>
      </c>
      <c r="F62" s="160">
        <f>'Economic Model'!F171</f>
        <v>0</v>
      </c>
    </row>
    <row r="63" spans="1:6" x14ac:dyDescent="0.2">
      <c r="A63" s="164" t="s">
        <v>22</v>
      </c>
      <c r="B63" s="171">
        <f>NPV('Economic Model'!$B$136,'Chi phi dau tu'!C63:F63)</f>
        <v>539.27781380797865</v>
      </c>
      <c r="C63" s="171">
        <f>'Economic Model'!C172</f>
        <v>21.133177570093459</v>
      </c>
      <c r="D63" s="171">
        <f>'Economic Model'!D172</f>
        <v>204.28738317757009</v>
      </c>
      <c r="E63" s="171">
        <f>'Economic Model'!E172</f>
        <v>352.21962616822429</v>
      </c>
      <c r="F63" s="160">
        <f>'Economic Model'!F172</f>
        <v>126.79906542056074</v>
      </c>
    </row>
    <row r="64" spans="1:6" x14ac:dyDescent="0.2">
      <c r="A64" s="175" t="s">
        <v>23</v>
      </c>
      <c r="B64" s="171">
        <f>NPV('Economic Model'!$B$136,'Chi phi dau tu'!C64:F64)</f>
        <v>72.011027475652469</v>
      </c>
      <c r="C64" s="171">
        <f>'Economic Model'!C173</f>
        <v>2.8219626168224297</v>
      </c>
      <c r="D64" s="171">
        <f>'Economic Model'!D173</f>
        <v>27.278971962616822</v>
      </c>
      <c r="E64" s="171">
        <f>'Economic Model'!E173</f>
        <v>47.032710280373834</v>
      </c>
      <c r="F64" s="160">
        <f>'Economic Model'!F173</f>
        <v>16.931775700934576</v>
      </c>
    </row>
    <row r="65" spans="1:6" x14ac:dyDescent="0.2">
      <c r="A65" s="175" t="s">
        <v>24</v>
      </c>
      <c r="B65" s="171">
        <f>NPV('Economic Model'!$B$136,'Chi phi dau tu'!C65:F65)</f>
        <v>6236.3767719252082</v>
      </c>
      <c r="C65" s="171">
        <f>'Economic Model'!C174</f>
        <v>244.39065420560749</v>
      </c>
      <c r="D65" s="171">
        <f>'Economic Model'!D174</f>
        <v>2362.4429906542055</v>
      </c>
      <c r="E65" s="171">
        <f>'Economic Model'!E174</f>
        <v>4073.1775700934581</v>
      </c>
      <c r="F65" s="160">
        <f>'Economic Model'!F174</f>
        <v>1466.3439252336448</v>
      </c>
    </row>
    <row r="66" spans="1:6" x14ac:dyDescent="0.2">
      <c r="A66" s="159" t="s">
        <v>12</v>
      </c>
      <c r="B66" s="171">
        <f>NPV('Economic Model'!$B$136,'Chi phi dau tu'!C66:F66)</f>
        <v>0</v>
      </c>
      <c r="C66" s="171">
        <f>'Economic Model'!C175</f>
        <v>0</v>
      </c>
      <c r="D66" s="171">
        <f>'Economic Model'!D175</f>
        <v>0</v>
      </c>
      <c r="E66" s="171">
        <f>'Economic Model'!E175</f>
        <v>0</v>
      </c>
      <c r="F66" s="160">
        <f>'Economic Model'!F175</f>
        <v>0</v>
      </c>
    </row>
    <row r="67" spans="1:6" x14ac:dyDescent="0.2">
      <c r="A67" s="159" t="s">
        <v>194</v>
      </c>
      <c r="B67" s="171">
        <f>NPV('Economic Model'!$B$136,'Chi phi dau tu'!C67:F67)</f>
        <v>0</v>
      </c>
      <c r="C67" s="171">
        <f>'Economic Model'!C176</f>
        <v>0</v>
      </c>
      <c r="D67" s="171">
        <f>'Economic Model'!D176</f>
        <v>0</v>
      </c>
      <c r="E67" s="171">
        <f>'Economic Model'!E176</f>
        <v>0</v>
      </c>
      <c r="F67" s="160">
        <f>'Economic Model'!F176</f>
        <v>0</v>
      </c>
    </row>
    <row r="68" spans="1:6" x14ac:dyDescent="0.2">
      <c r="A68" s="161" t="s">
        <v>14</v>
      </c>
      <c r="B68" s="171">
        <f>NPV('Economic Model'!$B$136,'Chi phi dau tu'!C68:F68)</f>
        <v>3786.3562802448878</v>
      </c>
      <c r="C68" s="171">
        <f>'Economic Model'!C177</f>
        <v>148.37943925233643</v>
      </c>
      <c r="D68" s="171">
        <f>'Economic Model'!D177</f>
        <v>1434.3345794392524</v>
      </c>
      <c r="E68" s="171">
        <f>'Economic Model'!E177</f>
        <v>2472.9906542056074</v>
      </c>
      <c r="F68" s="160">
        <f>'Economic Model'!F177</f>
        <v>890.27663551401861</v>
      </c>
    </row>
    <row r="69" spans="1:6" x14ac:dyDescent="0.2">
      <c r="A69" s="166" t="s">
        <v>217</v>
      </c>
      <c r="B69" s="177">
        <f>NPV('Economic Model'!$B$136,'Chi phi dau tu'!C69:F69)</f>
        <v>387851.40364257136</v>
      </c>
      <c r="C69" s="177">
        <f>C39+C43+C44+C50+C52+C54+C57+C60+C66+C68</f>
        <v>15199.091032710281</v>
      </c>
      <c r="D69" s="177">
        <f t="shared" ref="D69" si="1">D39+D43+D44+D50+D52+D54+D57+D60+D66+D68</f>
        <v>146924.54664953271</v>
      </c>
      <c r="E69" s="177">
        <f t="shared" ref="E69" si="2">E39+E43+E44+E50+E52+E54+E57+E60+E66+E68</f>
        <v>253318.18387850467</v>
      </c>
      <c r="F69" s="167">
        <f t="shared" ref="F69" si="3">F39+F43+F44+F50+F52+F54+F57+F60+F66+F68</f>
        <v>91194.546196261697</v>
      </c>
    </row>
    <row r="70" spans="1:6" x14ac:dyDescent="0.2">
      <c r="C70" s="97"/>
      <c r="D70" s="97"/>
      <c r="E70" s="97"/>
      <c r="F70" s="97"/>
    </row>
    <row r="71" spans="1:6" x14ac:dyDescent="0.2">
      <c r="A71" s="99" t="s">
        <v>279</v>
      </c>
      <c r="B71" s="242" t="s">
        <v>298</v>
      </c>
    </row>
    <row r="72" spans="1:6" x14ac:dyDescent="0.2">
      <c r="A72" s="157" t="s">
        <v>34</v>
      </c>
      <c r="B72" s="241">
        <f>SUM(B73:B78)</f>
        <v>16713.350591831182</v>
      </c>
    </row>
    <row r="73" spans="1:6" x14ac:dyDescent="0.2">
      <c r="A73" s="159" t="s">
        <v>1</v>
      </c>
      <c r="B73" s="168">
        <f>B39-B5</f>
        <v>9692.986222252599</v>
      </c>
    </row>
    <row r="74" spans="1:6" x14ac:dyDescent="0.2">
      <c r="A74" s="159" t="s">
        <v>5</v>
      </c>
      <c r="B74" s="168">
        <f>B43-B9</f>
        <v>1587.7723253193035</v>
      </c>
    </row>
    <row r="75" spans="1:6" x14ac:dyDescent="0.2">
      <c r="A75" s="159" t="s">
        <v>6</v>
      </c>
      <c r="B75" s="168">
        <f>B44-B10</f>
        <v>3909.3166300116136</v>
      </c>
    </row>
    <row r="76" spans="1:6" x14ac:dyDescent="0.2">
      <c r="A76" s="159" t="s">
        <v>12</v>
      </c>
      <c r="B76" s="168">
        <f>B50-B16</f>
        <v>0</v>
      </c>
    </row>
    <row r="77" spans="1:6" x14ac:dyDescent="0.2">
      <c r="A77" s="159" t="s">
        <v>194</v>
      </c>
      <c r="B77" s="168">
        <f>B51-B17</f>
        <v>0</v>
      </c>
    </row>
    <row r="78" spans="1:6" x14ac:dyDescent="0.2">
      <c r="A78" s="161" t="s">
        <v>14</v>
      </c>
      <c r="B78" s="168">
        <f>B52-B18</f>
        <v>1523.275414247666</v>
      </c>
    </row>
    <row r="79" spans="1:6" x14ac:dyDescent="0.2">
      <c r="A79" s="162" t="s">
        <v>216</v>
      </c>
      <c r="B79" s="168"/>
    </row>
    <row r="80" spans="1:6" x14ac:dyDescent="0.2">
      <c r="A80" s="159" t="s">
        <v>15</v>
      </c>
      <c r="B80" s="168">
        <f>B54-B20</f>
        <v>-732.09422617447979</v>
      </c>
    </row>
    <row r="81" spans="1:3" x14ac:dyDescent="0.2">
      <c r="A81" s="163" t="s">
        <v>18</v>
      </c>
      <c r="B81" s="168">
        <f>B57-B23</f>
        <v>-8355.8190694165132</v>
      </c>
    </row>
    <row r="82" spans="1:3" x14ac:dyDescent="0.2">
      <c r="A82" s="164" t="s">
        <v>19</v>
      </c>
      <c r="B82" s="240">
        <f>B58-B24</f>
        <v>-8355.819069416495</v>
      </c>
    </row>
    <row r="83" spans="1:3" x14ac:dyDescent="0.2">
      <c r="A83" s="165" t="s">
        <v>20</v>
      </c>
      <c r="B83" s="168">
        <f>B59-B25</f>
        <v>0</v>
      </c>
    </row>
    <row r="84" spans="1:3" x14ac:dyDescent="0.2">
      <c r="A84" s="159" t="s">
        <v>6</v>
      </c>
      <c r="B84" s="168">
        <f>B60-B26</f>
        <v>0</v>
      </c>
    </row>
    <row r="85" spans="1:3" x14ac:dyDescent="0.2">
      <c r="A85" s="159" t="s">
        <v>12</v>
      </c>
      <c r="B85" s="168">
        <f>B66-B32</f>
        <v>-8042.7338669987666</v>
      </c>
    </row>
    <row r="86" spans="1:3" x14ac:dyDescent="0.2">
      <c r="A86" s="159" t="s">
        <v>194</v>
      </c>
      <c r="B86" s="168">
        <f>B67-B33</f>
        <v>0</v>
      </c>
    </row>
    <row r="87" spans="1:3" x14ac:dyDescent="0.2">
      <c r="A87" s="161" t="s">
        <v>14</v>
      </c>
      <c r="B87" s="168">
        <f>B68-B34</f>
        <v>0</v>
      </c>
    </row>
    <row r="88" spans="1:3" x14ac:dyDescent="0.2">
      <c r="A88" s="166" t="s">
        <v>217</v>
      </c>
      <c r="B88" s="169">
        <f>B69-B35</f>
        <v>-417.29657075850992</v>
      </c>
      <c r="C88" s="27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B224"/>
  <sheetViews>
    <sheetView workbookViewId="0">
      <pane xSplit="1" ySplit="2" topLeftCell="B182" activePane="bottomRight" state="frozen"/>
      <selection pane="topRight" activeCell="B1" sqref="B1"/>
      <selection pane="bottomLeft" activeCell="A3" sqref="A3"/>
      <selection pane="bottomRight" activeCell="A227" sqref="A227"/>
    </sheetView>
  </sheetViews>
  <sheetFormatPr defaultColWidth="9" defaultRowHeight="10.199999999999999" x14ac:dyDescent="0.2"/>
  <cols>
    <col min="1" max="1" width="56.44140625" style="19" bestFit="1" customWidth="1"/>
    <col min="2" max="2" width="8.77734375" style="19" bestFit="1" customWidth="1"/>
    <col min="3" max="27" width="8" style="19" customWidth="1"/>
    <col min="28" max="28" width="2.5546875" style="19" customWidth="1"/>
    <col min="29" max="16384" width="9" style="19"/>
  </cols>
  <sheetData>
    <row r="1" spans="1:28" s="20" customFormat="1" x14ac:dyDescent="0.2">
      <c r="A1" s="280" t="s">
        <v>196</v>
      </c>
      <c r="B1" s="47">
        <v>0</v>
      </c>
      <c r="C1" s="47">
        <v>1</v>
      </c>
      <c r="D1" s="47">
        <v>2</v>
      </c>
      <c r="E1" s="47">
        <v>3</v>
      </c>
      <c r="F1" s="47">
        <v>4</v>
      </c>
      <c r="G1" s="44">
        <v>5</v>
      </c>
      <c r="H1" s="44">
        <v>6</v>
      </c>
      <c r="I1" s="44">
        <v>7</v>
      </c>
      <c r="J1" s="44">
        <v>8</v>
      </c>
      <c r="K1" s="44">
        <v>9</v>
      </c>
      <c r="L1" s="44">
        <v>10</v>
      </c>
      <c r="M1" s="44">
        <v>11</v>
      </c>
      <c r="N1" s="44">
        <v>12</v>
      </c>
      <c r="O1" s="44">
        <v>13</v>
      </c>
      <c r="P1" s="44">
        <v>14</v>
      </c>
      <c r="Q1" s="44">
        <v>15</v>
      </c>
      <c r="R1" s="44">
        <v>16</v>
      </c>
      <c r="S1" s="44">
        <v>17</v>
      </c>
      <c r="T1" s="44">
        <v>18</v>
      </c>
      <c r="U1" s="44">
        <v>19</v>
      </c>
      <c r="V1" s="44">
        <v>20</v>
      </c>
      <c r="W1" s="44">
        <v>21</v>
      </c>
      <c r="X1" s="44">
        <v>22</v>
      </c>
      <c r="Y1" s="44">
        <v>23</v>
      </c>
      <c r="Z1" s="44">
        <v>24</v>
      </c>
      <c r="AA1" s="44">
        <v>25</v>
      </c>
      <c r="AB1" s="45"/>
    </row>
    <row r="2" spans="1:28" s="20" customFormat="1" x14ac:dyDescent="0.2">
      <c r="A2" s="280"/>
      <c r="B2" s="48">
        <v>2014</v>
      </c>
      <c r="C2" s="48">
        <v>2015</v>
      </c>
      <c r="D2" s="48">
        <v>2016</v>
      </c>
      <c r="E2" s="48">
        <v>2017</v>
      </c>
      <c r="F2" s="48">
        <v>2018</v>
      </c>
      <c r="G2" s="46">
        <v>2019</v>
      </c>
      <c r="H2" s="46">
        <v>2020</v>
      </c>
      <c r="I2" s="46">
        <v>2021</v>
      </c>
      <c r="J2" s="46">
        <v>2022</v>
      </c>
      <c r="K2" s="46">
        <v>2023</v>
      </c>
      <c r="L2" s="46">
        <v>2024</v>
      </c>
      <c r="M2" s="46">
        <v>2025</v>
      </c>
      <c r="N2" s="46">
        <v>2026</v>
      </c>
      <c r="O2" s="46">
        <v>2027</v>
      </c>
      <c r="P2" s="46">
        <v>2028</v>
      </c>
      <c r="Q2" s="46">
        <v>2029</v>
      </c>
      <c r="R2" s="46">
        <v>2030</v>
      </c>
      <c r="S2" s="46">
        <v>2031</v>
      </c>
      <c r="T2" s="46">
        <v>2032</v>
      </c>
      <c r="U2" s="46">
        <v>2033</v>
      </c>
      <c r="V2" s="46">
        <v>2034</v>
      </c>
      <c r="W2" s="46">
        <v>2035</v>
      </c>
      <c r="X2" s="46">
        <v>2036</v>
      </c>
      <c r="Y2" s="46">
        <v>2037</v>
      </c>
      <c r="Z2" s="46">
        <v>2038</v>
      </c>
      <c r="AA2" s="46">
        <v>2039</v>
      </c>
      <c r="AB2" s="45"/>
    </row>
    <row r="3" spans="1:28" x14ac:dyDescent="0.2">
      <c r="A3" s="1" t="s">
        <v>0</v>
      </c>
      <c r="AB3" s="18"/>
    </row>
    <row r="4" spans="1:28" x14ac:dyDescent="0.2">
      <c r="A4" s="49" t="s">
        <v>181</v>
      </c>
      <c r="C4" s="21">
        <v>0.05</v>
      </c>
      <c r="D4" s="21">
        <f t="shared" ref="D4:AA4" si="0">$C$4</f>
        <v>0.05</v>
      </c>
      <c r="E4" s="21">
        <f t="shared" si="0"/>
        <v>0.05</v>
      </c>
      <c r="F4" s="21">
        <f t="shared" si="0"/>
        <v>0.05</v>
      </c>
      <c r="G4" s="21">
        <f t="shared" si="0"/>
        <v>0.05</v>
      </c>
      <c r="H4" s="21">
        <f t="shared" si="0"/>
        <v>0.05</v>
      </c>
      <c r="I4" s="21">
        <f t="shared" si="0"/>
        <v>0.05</v>
      </c>
      <c r="J4" s="21">
        <f t="shared" si="0"/>
        <v>0.05</v>
      </c>
      <c r="K4" s="21">
        <f t="shared" si="0"/>
        <v>0.05</v>
      </c>
      <c r="L4" s="21">
        <f t="shared" si="0"/>
        <v>0.05</v>
      </c>
      <c r="M4" s="21">
        <f t="shared" si="0"/>
        <v>0.05</v>
      </c>
      <c r="N4" s="21">
        <f t="shared" si="0"/>
        <v>0.05</v>
      </c>
      <c r="O4" s="21">
        <f t="shared" si="0"/>
        <v>0.05</v>
      </c>
      <c r="P4" s="21">
        <f t="shared" si="0"/>
        <v>0.05</v>
      </c>
      <c r="Q4" s="21">
        <f t="shared" si="0"/>
        <v>0.05</v>
      </c>
      <c r="R4" s="21">
        <f t="shared" si="0"/>
        <v>0.05</v>
      </c>
      <c r="S4" s="21">
        <f t="shared" si="0"/>
        <v>0.05</v>
      </c>
      <c r="T4" s="21">
        <f t="shared" si="0"/>
        <v>0.05</v>
      </c>
      <c r="U4" s="21">
        <f t="shared" si="0"/>
        <v>0.05</v>
      </c>
      <c r="V4" s="21">
        <f t="shared" si="0"/>
        <v>0.05</v>
      </c>
      <c r="W4" s="21">
        <f t="shared" si="0"/>
        <v>0.05</v>
      </c>
      <c r="X4" s="21">
        <f t="shared" si="0"/>
        <v>0.05</v>
      </c>
      <c r="Y4" s="21">
        <f t="shared" si="0"/>
        <v>0.05</v>
      </c>
      <c r="Z4" s="21">
        <f t="shared" si="0"/>
        <v>0.05</v>
      </c>
      <c r="AA4" s="21">
        <f t="shared" si="0"/>
        <v>0.05</v>
      </c>
      <c r="AB4" s="18"/>
    </row>
    <row r="5" spans="1:28" x14ac:dyDescent="0.2">
      <c r="A5" s="49" t="s">
        <v>182</v>
      </c>
      <c r="C5" s="22">
        <v>1.7999999999999999E-2</v>
      </c>
      <c r="D5" s="22">
        <f t="shared" ref="D5:AA5" si="1">$C$5</f>
        <v>1.7999999999999999E-2</v>
      </c>
      <c r="E5" s="22">
        <f t="shared" si="1"/>
        <v>1.7999999999999999E-2</v>
      </c>
      <c r="F5" s="22">
        <f t="shared" si="1"/>
        <v>1.7999999999999999E-2</v>
      </c>
      <c r="G5" s="22">
        <f t="shared" si="1"/>
        <v>1.7999999999999999E-2</v>
      </c>
      <c r="H5" s="22">
        <f t="shared" si="1"/>
        <v>1.7999999999999999E-2</v>
      </c>
      <c r="I5" s="22">
        <f t="shared" si="1"/>
        <v>1.7999999999999999E-2</v>
      </c>
      <c r="J5" s="22">
        <f t="shared" si="1"/>
        <v>1.7999999999999999E-2</v>
      </c>
      <c r="K5" s="22">
        <f t="shared" si="1"/>
        <v>1.7999999999999999E-2</v>
      </c>
      <c r="L5" s="22">
        <f t="shared" si="1"/>
        <v>1.7999999999999999E-2</v>
      </c>
      <c r="M5" s="22">
        <f t="shared" si="1"/>
        <v>1.7999999999999999E-2</v>
      </c>
      <c r="N5" s="22">
        <f t="shared" si="1"/>
        <v>1.7999999999999999E-2</v>
      </c>
      <c r="O5" s="22">
        <f t="shared" si="1"/>
        <v>1.7999999999999999E-2</v>
      </c>
      <c r="P5" s="22">
        <f t="shared" si="1"/>
        <v>1.7999999999999999E-2</v>
      </c>
      <c r="Q5" s="22">
        <f t="shared" si="1"/>
        <v>1.7999999999999999E-2</v>
      </c>
      <c r="R5" s="22">
        <f t="shared" si="1"/>
        <v>1.7999999999999999E-2</v>
      </c>
      <c r="S5" s="22">
        <f t="shared" si="1"/>
        <v>1.7999999999999999E-2</v>
      </c>
      <c r="T5" s="22">
        <f t="shared" si="1"/>
        <v>1.7999999999999999E-2</v>
      </c>
      <c r="U5" s="22">
        <f t="shared" si="1"/>
        <v>1.7999999999999999E-2</v>
      </c>
      <c r="V5" s="22">
        <f t="shared" si="1"/>
        <v>1.7999999999999999E-2</v>
      </c>
      <c r="W5" s="22">
        <f t="shared" si="1"/>
        <v>1.7999999999999999E-2</v>
      </c>
      <c r="X5" s="22">
        <f t="shared" si="1"/>
        <v>1.7999999999999999E-2</v>
      </c>
      <c r="Y5" s="22">
        <f t="shared" si="1"/>
        <v>1.7999999999999999E-2</v>
      </c>
      <c r="Z5" s="22">
        <f t="shared" si="1"/>
        <v>1.7999999999999999E-2</v>
      </c>
      <c r="AA5" s="22">
        <f t="shared" si="1"/>
        <v>1.7999999999999999E-2</v>
      </c>
      <c r="AB5" s="18"/>
    </row>
    <row r="6" spans="1:28" x14ac:dyDescent="0.2">
      <c r="A6" s="68" t="s">
        <v>42</v>
      </c>
      <c r="B6" s="10">
        <v>21400</v>
      </c>
      <c r="AB6" s="18"/>
    </row>
    <row r="7" spans="1:28" x14ac:dyDescent="0.2">
      <c r="A7" s="2" t="s">
        <v>26</v>
      </c>
      <c r="AB7" s="18"/>
    </row>
    <row r="8" spans="1:28" x14ac:dyDescent="0.2">
      <c r="A8" s="36" t="s">
        <v>34</v>
      </c>
      <c r="AB8" s="18"/>
    </row>
    <row r="9" spans="1:28" x14ac:dyDescent="0.2">
      <c r="A9" s="7" t="s">
        <v>1</v>
      </c>
      <c r="B9" s="10">
        <f>SUM(B10:B12)</f>
        <v>253232</v>
      </c>
      <c r="AB9" s="18"/>
    </row>
    <row r="10" spans="1:28" x14ac:dyDescent="0.2">
      <c r="A10" s="38" t="s">
        <v>2</v>
      </c>
      <c r="B10" s="10">
        <v>171729</v>
      </c>
      <c r="AB10" s="18"/>
    </row>
    <row r="11" spans="1:28" x14ac:dyDescent="0.2">
      <c r="A11" s="38" t="s">
        <v>3</v>
      </c>
      <c r="B11" s="10">
        <v>860</v>
      </c>
      <c r="AB11" s="18"/>
    </row>
    <row r="12" spans="1:28" x14ac:dyDescent="0.2">
      <c r="A12" s="38" t="s">
        <v>4</v>
      </c>
      <c r="B12" s="10">
        <v>80643</v>
      </c>
      <c r="AB12" s="18"/>
    </row>
    <row r="13" spans="1:28" x14ac:dyDescent="0.2">
      <c r="A13" s="7" t="s">
        <v>5</v>
      </c>
      <c r="B13" s="10">
        <v>41481</v>
      </c>
      <c r="AB13" s="18"/>
    </row>
    <row r="14" spans="1:28" x14ac:dyDescent="0.2">
      <c r="A14" s="7" t="s">
        <v>6</v>
      </c>
      <c r="B14" s="10">
        <f>SUM(B15:B19)</f>
        <v>102132</v>
      </c>
      <c r="AB14" s="18"/>
    </row>
    <row r="15" spans="1:28" x14ac:dyDescent="0.2">
      <c r="A15" s="39" t="s">
        <v>7</v>
      </c>
      <c r="B15" s="10">
        <v>4708</v>
      </c>
      <c r="AB15" s="18"/>
    </row>
    <row r="16" spans="1:28" x14ac:dyDescent="0.2">
      <c r="A16" s="39" t="s">
        <v>8</v>
      </c>
      <c r="B16" s="10">
        <v>9238</v>
      </c>
      <c r="AB16" s="18"/>
    </row>
    <row r="17" spans="1:28" x14ac:dyDescent="0.2">
      <c r="A17" s="39" t="s">
        <v>9</v>
      </c>
      <c r="B17" s="10">
        <v>0</v>
      </c>
      <c r="AB17" s="18"/>
    </row>
    <row r="18" spans="1:28" x14ac:dyDescent="0.2">
      <c r="A18" s="39" t="s">
        <v>10</v>
      </c>
      <c r="B18" s="10">
        <v>76385</v>
      </c>
      <c r="AB18" s="18"/>
    </row>
    <row r="19" spans="1:28" x14ac:dyDescent="0.2">
      <c r="A19" s="39" t="s">
        <v>11</v>
      </c>
      <c r="B19" s="10">
        <v>11801</v>
      </c>
      <c r="AB19" s="18"/>
    </row>
    <row r="20" spans="1:28" x14ac:dyDescent="0.2">
      <c r="A20" s="7" t="s">
        <v>12</v>
      </c>
      <c r="B20" s="10">
        <v>0</v>
      </c>
      <c r="AB20" s="18"/>
    </row>
    <row r="21" spans="1:28" x14ac:dyDescent="0.2">
      <c r="A21" s="84" t="s">
        <v>13</v>
      </c>
      <c r="B21" s="34">
        <v>1117</v>
      </c>
      <c r="AB21" s="18"/>
    </row>
    <row r="22" spans="1:28" x14ac:dyDescent="0.2">
      <c r="A22" s="6" t="s">
        <v>14</v>
      </c>
      <c r="B22" s="10">
        <v>39796</v>
      </c>
      <c r="AB22" s="18"/>
    </row>
    <row r="23" spans="1:28" x14ac:dyDescent="0.2">
      <c r="A23" s="36" t="s">
        <v>35</v>
      </c>
      <c r="AB23" s="18"/>
    </row>
    <row r="24" spans="1:28" x14ac:dyDescent="0.2">
      <c r="A24" s="7" t="s">
        <v>15</v>
      </c>
      <c r="B24" s="10">
        <f>B25+B26</f>
        <v>20465</v>
      </c>
      <c r="AB24" s="18"/>
    </row>
    <row r="25" spans="1:28" x14ac:dyDescent="0.2">
      <c r="A25" s="83" t="s">
        <v>16</v>
      </c>
      <c r="B25" s="34">
        <v>221</v>
      </c>
      <c r="AB25" s="18"/>
    </row>
    <row r="26" spans="1:28" x14ac:dyDescent="0.2">
      <c r="A26" s="83" t="s">
        <v>17</v>
      </c>
      <c r="B26" s="34">
        <v>20244</v>
      </c>
      <c r="AB26" s="18"/>
    </row>
    <row r="27" spans="1:28" x14ac:dyDescent="0.2">
      <c r="A27" s="24" t="s">
        <v>18</v>
      </c>
      <c r="B27" s="10">
        <f>B28+B29</f>
        <v>967010</v>
      </c>
      <c r="AB27" s="18"/>
    </row>
    <row r="28" spans="1:28" x14ac:dyDescent="0.2">
      <c r="A28" s="40" t="s">
        <v>19</v>
      </c>
      <c r="B28" s="10">
        <v>934316</v>
      </c>
      <c r="AB28" s="18"/>
    </row>
    <row r="29" spans="1:28" x14ac:dyDescent="0.2">
      <c r="A29" s="38" t="s">
        <v>20</v>
      </c>
      <c r="B29" s="10">
        <v>32694</v>
      </c>
      <c r="AB29" s="18"/>
    </row>
    <row r="30" spans="1:28" x14ac:dyDescent="0.2">
      <c r="A30" s="7" t="s">
        <v>6</v>
      </c>
      <c r="B30" s="10">
        <f>SUM(B31:B35)</f>
        <v>191420</v>
      </c>
      <c r="AB30" s="18"/>
    </row>
    <row r="31" spans="1:28" x14ac:dyDescent="0.2">
      <c r="A31" s="37" t="s">
        <v>7</v>
      </c>
      <c r="B31" s="10">
        <v>0</v>
      </c>
      <c r="AB31" s="18"/>
    </row>
    <row r="32" spans="1:28" x14ac:dyDescent="0.2">
      <c r="A32" s="37" t="s">
        <v>21</v>
      </c>
      <c r="B32" s="10">
        <v>0</v>
      </c>
      <c r="AB32" s="18"/>
    </row>
    <row r="33" spans="1:28" x14ac:dyDescent="0.2">
      <c r="A33" s="40" t="s">
        <v>22</v>
      </c>
      <c r="B33" s="10">
        <v>15075</v>
      </c>
      <c r="AB33" s="18"/>
    </row>
    <row r="34" spans="1:28" x14ac:dyDescent="0.2">
      <c r="A34" s="37" t="s">
        <v>23</v>
      </c>
      <c r="B34" s="10">
        <v>2013</v>
      </c>
      <c r="AB34" s="18"/>
    </row>
    <row r="35" spans="1:28" x14ac:dyDescent="0.2">
      <c r="A35" s="37" t="s">
        <v>24</v>
      </c>
      <c r="B35" s="10">
        <v>174332</v>
      </c>
      <c r="AB35" s="18"/>
    </row>
    <row r="36" spans="1:28" x14ac:dyDescent="0.2">
      <c r="A36" s="84" t="s">
        <v>12</v>
      </c>
      <c r="B36" s="34">
        <v>224827</v>
      </c>
      <c r="AB36" s="18"/>
    </row>
    <row r="37" spans="1:28" x14ac:dyDescent="0.2">
      <c r="A37" s="84" t="s">
        <v>13</v>
      </c>
      <c r="B37" s="34">
        <v>3379</v>
      </c>
      <c r="AB37" s="18"/>
    </row>
    <row r="38" spans="1:28" x14ac:dyDescent="0.2">
      <c r="A38" s="6" t="s">
        <v>14</v>
      </c>
      <c r="B38" s="10">
        <v>105844</v>
      </c>
      <c r="AB38" s="18"/>
    </row>
    <row r="39" spans="1:28" x14ac:dyDescent="0.2">
      <c r="A39" s="41" t="s">
        <v>25</v>
      </c>
      <c r="C39" s="26">
        <v>0.03</v>
      </c>
      <c r="D39" s="26">
        <v>0.28999999999999998</v>
      </c>
      <c r="E39" s="26">
        <v>0.5</v>
      </c>
      <c r="F39" s="26">
        <v>0.18</v>
      </c>
      <c r="G39" s="21"/>
      <c r="AB39" s="18"/>
    </row>
    <row r="40" spans="1:28" x14ac:dyDescent="0.2">
      <c r="A40" s="27" t="s">
        <v>30</v>
      </c>
      <c r="AB40" s="18"/>
    </row>
    <row r="41" spans="1:28" x14ac:dyDescent="0.2">
      <c r="A41" s="29" t="s">
        <v>166</v>
      </c>
      <c r="B41" s="19">
        <v>21</v>
      </c>
      <c r="AB41" s="18"/>
    </row>
    <row r="42" spans="1:28" x14ac:dyDescent="0.2">
      <c r="A42" s="29" t="s">
        <v>31</v>
      </c>
      <c r="B42" s="19">
        <v>4</v>
      </c>
      <c r="AB42" s="18"/>
    </row>
    <row r="43" spans="1:28" ht="10.5" x14ac:dyDescent="0.25">
      <c r="A43" s="27" t="s">
        <v>84</v>
      </c>
      <c r="AB43" s="18"/>
    </row>
    <row r="44" spans="1:28" x14ac:dyDescent="0.2">
      <c r="A44" s="29" t="s">
        <v>63</v>
      </c>
      <c r="B44" s="10">
        <v>450000</v>
      </c>
      <c r="AB44" s="18"/>
    </row>
    <row r="45" spans="1:28" x14ac:dyDescent="0.2">
      <c r="A45" s="29" t="s">
        <v>64</v>
      </c>
      <c r="G45" s="21">
        <v>0.75</v>
      </c>
      <c r="H45" s="21">
        <v>0.9</v>
      </c>
      <c r="I45" s="21">
        <v>1</v>
      </c>
      <c r="J45" s="21">
        <v>1</v>
      </c>
      <c r="K45" s="21">
        <f>$J$45</f>
        <v>1</v>
      </c>
      <c r="L45" s="21">
        <f t="shared" ref="L45:W45" si="2">$J$45</f>
        <v>1</v>
      </c>
      <c r="M45" s="21">
        <f t="shared" si="2"/>
        <v>1</v>
      </c>
      <c r="N45" s="21">
        <f t="shared" si="2"/>
        <v>1</v>
      </c>
      <c r="O45" s="21">
        <f t="shared" si="2"/>
        <v>1</v>
      </c>
      <c r="P45" s="21">
        <f t="shared" si="2"/>
        <v>1</v>
      </c>
      <c r="Q45" s="21">
        <f t="shared" si="2"/>
        <v>1</v>
      </c>
      <c r="R45" s="21">
        <f t="shared" si="2"/>
        <v>1</v>
      </c>
      <c r="S45" s="21">
        <f t="shared" si="2"/>
        <v>1</v>
      </c>
      <c r="T45" s="21">
        <f t="shared" si="2"/>
        <v>1</v>
      </c>
      <c r="U45" s="21">
        <f t="shared" si="2"/>
        <v>1</v>
      </c>
      <c r="V45" s="21">
        <f t="shared" si="2"/>
        <v>1</v>
      </c>
      <c r="W45" s="21">
        <f t="shared" si="2"/>
        <v>1</v>
      </c>
      <c r="X45" s="21">
        <f t="shared" ref="X45:AA45" si="3">W45-20%</f>
        <v>0.8</v>
      </c>
      <c r="Y45" s="21">
        <f t="shared" si="3"/>
        <v>0.60000000000000009</v>
      </c>
      <c r="Z45" s="21">
        <f t="shared" si="3"/>
        <v>0.40000000000000008</v>
      </c>
      <c r="AA45" s="21">
        <f t="shared" si="3"/>
        <v>0.20000000000000007</v>
      </c>
      <c r="AB45" s="18"/>
    </row>
    <row r="46" spans="1:28" ht="13.2" x14ac:dyDescent="0.25">
      <c r="A46" s="29" t="s">
        <v>73</v>
      </c>
      <c r="B46" s="19">
        <v>505</v>
      </c>
      <c r="G46" s="258"/>
      <c r="H46" s="258"/>
      <c r="I46" s="258"/>
      <c r="J46" s="259"/>
      <c r="K46" s="259"/>
      <c r="L46" s="259"/>
      <c r="M46" s="259"/>
      <c r="AB46" s="18"/>
    </row>
    <row r="47" spans="1:28" x14ac:dyDescent="0.2">
      <c r="A47" s="27" t="s">
        <v>85</v>
      </c>
      <c r="G47" s="20"/>
      <c r="H47" s="20"/>
      <c r="I47" s="20"/>
      <c r="J47" s="20"/>
      <c r="K47" s="20"/>
      <c r="L47" s="20"/>
      <c r="M47" s="20"/>
      <c r="AB47" s="18"/>
    </row>
    <row r="48" spans="1:28" x14ac:dyDescent="0.2">
      <c r="A48" s="29" t="s">
        <v>327</v>
      </c>
      <c r="B48" s="19">
        <v>6.69</v>
      </c>
      <c r="C48" s="19">
        <v>6.83</v>
      </c>
      <c r="G48" s="20"/>
      <c r="H48" s="20"/>
      <c r="I48" s="20"/>
      <c r="J48" s="20"/>
      <c r="K48" s="20"/>
      <c r="L48" s="20"/>
      <c r="M48" s="20"/>
      <c r="AB48" s="18"/>
    </row>
    <row r="49" spans="1:28" ht="13.2" x14ac:dyDescent="0.25">
      <c r="A49" s="73" t="s">
        <v>222</v>
      </c>
      <c r="B49" s="74">
        <v>9.5</v>
      </c>
      <c r="AB49" s="18"/>
    </row>
    <row r="50" spans="1:28" x14ac:dyDescent="0.2">
      <c r="A50" s="29" t="s">
        <v>76</v>
      </c>
      <c r="B50" s="21">
        <v>0.02</v>
      </c>
      <c r="AB50" s="18"/>
    </row>
    <row r="51" spans="1:28" x14ac:dyDescent="0.2">
      <c r="A51" s="29" t="s">
        <v>326</v>
      </c>
      <c r="B51" s="10">
        <v>13851522</v>
      </c>
      <c r="AB51" s="18"/>
    </row>
    <row r="52" spans="1:28" x14ac:dyDescent="0.2">
      <c r="A52" s="29" t="s">
        <v>190</v>
      </c>
      <c r="B52" s="10">
        <v>399600</v>
      </c>
      <c r="AB52" s="18"/>
    </row>
    <row r="53" spans="1:28" x14ac:dyDescent="0.2">
      <c r="A53" s="29" t="s">
        <v>79</v>
      </c>
      <c r="C53" s="10">
        <v>9000</v>
      </c>
      <c r="D53" s="10">
        <v>10000</v>
      </c>
      <c r="E53" s="10">
        <v>11000</v>
      </c>
      <c r="F53" s="10">
        <v>12500</v>
      </c>
      <c r="G53" s="10"/>
      <c r="H53" s="10"/>
      <c r="I53" s="10"/>
      <c r="AB53" s="18"/>
    </row>
    <row r="54" spans="1:28" x14ac:dyDescent="0.2">
      <c r="A54" s="29" t="s">
        <v>188</v>
      </c>
      <c r="B54" s="10">
        <v>8191800</v>
      </c>
      <c r="AB54" s="18"/>
    </row>
    <row r="55" spans="1:28" x14ac:dyDescent="0.2">
      <c r="A55" s="29" t="s">
        <v>80</v>
      </c>
      <c r="B55" s="19">
        <v>20</v>
      </c>
      <c r="F55" s="20"/>
      <c r="G55" s="20"/>
      <c r="AB55" s="18"/>
    </row>
    <row r="56" spans="1:28" x14ac:dyDescent="0.2">
      <c r="A56" s="29" t="s">
        <v>191</v>
      </c>
      <c r="F56" s="20"/>
      <c r="G56" s="20"/>
      <c r="AB56" s="18"/>
    </row>
    <row r="57" spans="1:28" ht="12.45" x14ac:dyDescent="0.25">
      <c r="A57" s="42" t="s">
        <v>195</v>
      </c>
      <c r="B57" s="30">
        <v>32</v>
      </c>
      <c r="C57" s="31"/>
      <c r="F57" s="260"/>
      <c r="G57" s="261"/>
      <c r="I57" s="30"/>
      <c r="AB57" s="18"/>
    </row>
    <row r="58" spans="1:28" ht="12.45" x14ac:dyDescent="0.25">
      <c r="A58" s="42" t="s">
        <v>86</v>
      </c>
      <c r="B58" s="30">
        <v>0.5</v>
      </c>
      <c r="C58" s="31"/>
      <c r="F58" s="260"/>
      <c r="G58" s="262"/>
      <c r="I58" s="30"/>
      <c r="AB58" s="18"/>
    </row>
    <row r="59" spans="1:28" ht="12.45" x14ac:dyDescent="0.25">
      <c r="A59" s="42" t="s">
        <v>87</v>
      </c>
      <c r="B59" s="30">
        <v>5.21</v>
      </c>
      <c r="C59" s="31"/>
      <c r="F59" s="254"/>
      <c r="G59" s="256"/>
      <c r="I59" s="30"/>
      <c r="AB59" s="18"/>
    </row>
    <row r="60" spans="1:28" ht="12.45" x14ac:dyDescent="0.25">
      <c r="A60" s="42" t="s">
        <v>88</v>
      </c>
      <c r="B60" s="30">
        <v>3.1280000000000001</v>
      </c>
      <c r="C60" s="31"/>
      <c r="F60" s="254"/>
      <c r="G60" s="256"/>
      <c r="I60" s="30"/>
      <c r="AB60" s="18"/>
    </row>
    <row r="61" spans="1:28" ht="12.45" x14ac:dyDescent="0.25">
      <c r="A61" s="42" t="s">
        <v>89</v>
      </c>
      <c r="B61" s="30">
        <v>5.2160000000000002</v>
      </c>
      <c r="C61" s="31"/>
      <c r="F61" s="254"/>
      <c r="G61" s="256"/>
      <c r="I61" s="30"/>
      <c r="AB61" s="18"/>
    </row>
    <row r="62" spans="1:28" ht="12.45" x14ac:dyDescent="0.25">
      <c r="A62" s="42" t="s">
        <v>90</v>
      </c>
      <c r="B62" s="30">
        <v>6.3940000000000001</v>
      </c>
      <c r="C62" s="31"/>
      <c r="F62" s="254"/>
      <c r="G62" s="256"/>
      <c r="I62" s="30"/>
      <c r="AB62" s="18"/>
    </row>
    <row r="63" spans="1:28" ht="12.45" x14ac:dyDescent="0.25">
      <c r="A63" s="42" t="s">
        <v>91</v>
      </c>
      <c r="B63" s="30">
        <v>0.16</v>
      </c>
      <c r="C63" s="31"/>
      <c r="F63" s="254"/>
      <c r="G63" s="255"/>
      <c r="I63" s="30"/>
      <c r="AB63" s="18"/>
    </row>
    <row r="64" spans="1:28" ht="12.45" x14ac:dyDescent="0.25">
      <c r="A64" s="42" t="s">
        <v>92</v>
      </c>
      <c r="B64" s="30">
        <v>41.924999999999997</v>
      </c>
      <c r="C64" s="31"/>
      <c r="F64" s="254"/>
      <c r="G64" s="256"/>
      <c r="I64" s="30"/>
      <c r="AB64" s="18"/>
    </row>
    <row r="65" spans="1:28" ht="12.45" x14ac:dyDescent="0.25">
      <c r="A65" s="42" t="s">
        <v>93</v>
      </c>
      <c r="B65" s="30">
        <v>18.462</v>
      </c>
      <c r="C65" s="31"/>
      <c r="F65" s="254"/>
      <c r="G65" s="256"/>
      <c r="I65" s="30"/>
      <c r="AB65" s="18"/>
    </row>
    <row r="66" spans="1:28" ht="12.45" x14ac:dyDescent="0.25">
      <c r="A66" s="42" t="s">
        <v>94</v>
      </c>
      <c r="B66" s="30">
        <v>0.46800000000000003</v>
      </c>
      <c r="C66" s="31"/>
      <c r="F66" s="254"/>
      <c r="G66" s="255"/>
      <c r="I66" s="30"/>
      <c r="AB66" s="18"/>
    </row>
    <row r="67" spans="1:28" ht="12.45" x14ac:dyDescent="0.25">
      <c r="A67" s="42" t="s">
        <v>95</v>
      </c>
      <c r="B67" s="30">
        <v>189.934</v>
      </c>
      <c r="C67" s="31"/>
      <c r="F67" s="254"/>
      <c r="G67" s="256"/>
      <c r="I67" s="30"/>
      <c r="AB67" s="18"/>
    </row>
    <row r="68" spans="1:28" ht="12.45" x14ac:dyDescent="0.25">
      <c r="A68" s="42" t="s">
        <v>96</v>
      </c>
      <c r="B68" s="30">
        <v>0.25900000000000001</v>
      </c>
      <c r="C68" s="31"/>
      <c r="F68" s="254"/>
      <c r="G68" s="255"/>
      <c r="I68" s="30"/>
      <c r="AB68" s="18"/>
    </row>
    <row r="69" spans="1:28" ht="12.45" x14ac:dyDescent="0.25">
      <c r="A69" s="42" t="s">
        <v>97</v>
      </c>
      <c r="B69" s="30">
        <v>473.673</v>
      </c>
      <c r="C69" s="31"/>
      <c r="F69" s="260"/>
      <c r="G69" s="261"/>
      <c r="I69" s="30"/>
      <c r="AB69" s="18"/>
    </row>
    <row r="70" spans="1:28" x14ac:dyDescent="0.2">
      <c r="A70" s="29" t="s">
        <v>98</v>
      </c>
      <c r="F70" s="20"/>
      <c r="G70" s="20"/>
      <c r="AB70" s="18"/>
    </row>
    <row r="71" spans="1:28" ht="12.45" x14ac:dyDescent="0.25">
      <c r="A71" s="42" t="s">
        <v>195</v>
      </c>
      <c r="B71" s="65">
        <v>8886.7999999999993</v>
      </c>
      <c r="C71" s="32"/>
      <c r="F71" s="263"/>
      <c r="G71" s="20"/>
      <c r="AB71" s="18"/>
    </row>
    <row r="72" spans="1:28" ht="12.45" x14ac:dyDescent="0.25">
      <c r="A72" s="42" t="s">
        <v>86</v>
      </c>
      <c r="B72" s="65">
        <v>6024.9</v>
      </c>
      <c r="C72" s="32"/>
      <c r="F72" s="263"/>
      <c r="G72" s="20"/>
      <c r="AB72" s="18"/>
    </row>
    <row r="73" spans="1:28" ht="12.45" x14ac:dyDescent="0.25">
      <c r="A73" s="42" t="s">
        <v>87</v>
      </c>
      <c r="B73" s="65">
        <v>3237</v>
      </c>
      <c r="C73" s="32"/>
      <c r="F73" s="253"/>
      <c r="AB73" s="18"/>
    </row>
    <row r="74" spans="1:28" ht="12.45" x14ac:dyDescent="0.25">
      <c r="A74" s="42" t="s">
        <v>88</v>
      </c>
      <c r="B74" s="65">
        <v>5426.5</v>
      </c>
      <c r="C74" s="32"/>
      <c r="F74" s="253"/>
      <c r="AB74" s="18"/>
    </row>
    <row r="75" spans="1:28" ht="12.45" x14ac:dyDescent="0.25">
      <c r="A75" s="42" t="s">
        <v>89</v>
      </c>
      <c r="B75" s="65">
        <v>4242.7</v>
      </c>
      <c r="C75" s="32"/>
      <c r="F75" s="253"/>
      <c r="AB75" s="18"/>
    </row>
    <row r="76" spans="1:28" ht="12.45" x14ac:dyDescent="0.25">
      <c r="A76" s="42" t="s">
        <v>90</v>
      </c>
      <c r="B76" s="65">
        <v>3966.4</v>
      </c>
      <c r="C76" s="32"/>
      <c r="F76" s="253"/>
      <c r="AB76" s="18"/>
    </row>
    <row r="77" spans="1:28" ht="12.45" x14ac:dyDescent="0.25">
      <c r="A77" s="42" t="s">
        <v>91</v>
      </c>
      <c r="B77" s="65">
        <v>8434.9</v>
      </c>
      <c r="C77" s="32"/>
      <c r="F77" s="253"/>
      <c r="AB77" s="18"/>
    </row>
    <row r="78" spans="1:28" ht="12.45" x14ac:dyDescent="0.25">
      <c r="A78" s="42" t="s">
        <v>92</v>
      </c>
      <c r="B78" s="65">
        <v>135.6</v>
      </c>
      <c r="C78" s="32"/>
      <c r="F78" s="253"/>
      <c r="AB78" s="18"/>
    </row>
    <row r="79" spans="1:28" ht="12.45" x14ac:dyDescent="0.25">
      <c r="A79" s="42" t="s">
        <v>93</v>
      </c>
      <c r="B79" s="65">
        <v>6329.7</v>
      </c>
      <c r="C79" s="32"/>
      <c r="F79" s="253"/>
      <c r="AB79" s="18"/>
    </row>
    <row r="80" spans="1:28" ht="12.45" x14ac:dyDescent="0.25">
      <c r="A80" s="42" t="s">
        <v>94</v>
      </c>
      <c r="B80" s="65">
        <v>4287.7</v>
      </c>
      <c r="C80" s="32"/>
      <c r="F80" s="253"/>
      <c r="AB80" s="18"/>
    </row>
    <row r="81" spans="1:28" ht="12.45" x14ac:dyDescent="0.25">
      <c r="A81" s="42" t="s">
        <v>95</v>
      </c>
      <c r="B81" s="65">
        <v>179.8</v>
      </c>
      <c r="C81" s="32"/>
      <c r="F81" s="253"/>
      <c r="AB81" s="18"/>
    </row>
    <row r="82" spans="1:28" ht="12.45" x14ac:dyDescent="0.25">
      <c r="A82" s="42" t="s">
        <v>96</v>
      </c>
      <c r="B82" s="65">
        <v>1129.5999999999999</v>
      </c>
      <c r="C82" s="32"/>
      <c r="F82" s="253"/>
      <c r="AB82" s="18"/>
    </row>
    <row r="83" spans="1:28" ht="12.45" x14ac:dyDescent="0.25">
      <c r="A83" s="42" t="s">
        <v>97</v>
      </c>
      <c r="B83" s="65">
        <v>312.60000000000002</v>
      </c>
      <c r="C83" s="32"/>
      <c r="F83" s="263"/>
      <c r="G83" s="20"/>
      <c r="AB83" s="18"/>
    </row>
    <row r="84" spans="1:28" x14ac:dyDescent="0.2">
      <c r="A84" s="29" t="s">
        <v>192</v>
      </c>
      <c r="F84" s="20"/>
      <c r="G84" s="20"/>
      <c r="AB84" s="18"/>
    </row>
    <row r="85" spans="1:28" ht="12.45" x14ac:dyDescent="0.25">
      <c r="A85" s="42" t="s">
        <v>101</v>
      </c>
      <c r="B85" s="30">
        <v>9</v>
      </c>
      <c r="C85" s="58"/>
      <c r="F85" s="260"/>
      <c r="G85" s="261"/>
      <c r="AB85" s="18"/>
    </row>
    <row r="86" spans="1:28" ht="12.45" x14ac:dyDescent="0.25">
      <c r="A86" s="42" t="s">
        <v>102</v>
      </c>
      <c r="B86" s="30">
        <v>2.4</v>
      </c>
      <c r="C86" s="58"/>
      <c r="F86" s="260"/>
      <c r="G86" s="261"/>
      <c r="AB86" s="18"/>
    </row>
    <row r="87" spans="1:28" ht="12.45" x14ac:dyDescent="0.25">
      <c r="A87" s="42" t="s">
        <v>103</v>
      </c>
      <c r="B87" s="30">
        <v>12.51</v>
      </c>
      <c r="C87" s="58"/>
      <c r="F87" s="260"/>
      <c r="G87" s="261"/>
      <c r="AB87" s="18"/>
    </row>
    <row r="88" spans="1:28" ht="12.45" x14ac:dyDescent="0.25">
      <c r="A88" s="42" t="s">
        <v>104</v>
      </c>
      <c r="B88" s="30">
        <v>0.8</v>
      </c>
      <c r="C88" s="58"/>
      <c r="F88" s="260"/>
      <c r="G88" s="262"/>
      <c r="AB88" s="18"/>
    </row>
    <row r="89" spans="1:28" ht="12.45" x14ac:dyDescent="0.25">
      <c r="A89" s="42" t="s">
        <v>105</v>
      </c>
      <c r="B89" s="30">
        <v>1.86</v>
      </c>
      <c r="C89" s="58"/>
      <c r="F89" s="254"/>
      <c r="G89" s="256"/>
      <c r="AB89" s="18"/>
    </row>
    <row r="90" spans="1:28" ht="12.45" x14ac:dyDescent="0.25">
      <c r="A90" s="42" t="s">
        <v>106</v>
      </c>
      <c r="B90" s="30">
        <v>2.66</v>
      </c>
      <c r="C90" s="58"/>
      <c r="F90" s="254"/>
      <c r="G90" s="256"/>
      <c r="AB90" s="18"/>
    </row>
    <row r="91" spans="1:28" ht="12.45" x14ac:dyDescent="0.25">
      <c r="A91" s="42" t="s">
        <v>107</v>
      </c>
      <c r="B91" s="30">
        <v>0.28999999999999998</v>
      </c>
      <c r="C91" s="58"/>
      <c r="F91" s="254"/>
      <c r="G91" s="255"/>
      <c r="AB91" s="18"/>
    </row>
    <row r="92" spans="1:28" ht="12.45" x14ac:dyDescent="0.25">
      <c r="A92" s="42" t="s">
        <v>108</v>
      </c>
      <c r="B92" s="30">
        <v>1.125</v>
      </c>
      <c r="C92" s="58"/>
      <c r="F92" s="254"/>
      <c r="G92" s="256"/>
      <c r="AB92" s="18"/>
    </row>
    <row r="93" spans="1:28" ht="12.45" x14ac:dyDescent="0.25">
      <c r="A93" s="42" t="s">
        <v>109</v>
      </c>
      <c r="B93" s="30">
        <v>6.3150000000000004</v>
      </c>
      <c r="C93" s="58"/>
      <c r="F93" s="254"/>
      <c r="G93" s="256"/>
      <c r="AB93" s="18"/>
    </row>
    <row r="94" spans="1:28" ht="12.45" x14ac:dyDescent="0.25">
      <c r="A94" s="42" t="s">
        <v>110</v>
      </c>
      <c r="B94" s="30">
        <v>1.19</v>
      </c>
      <c r="C94" s="58"/>
      <c r="F94" s="254"/>
      <c r="G94" s="256"/>
      <c r="AB94" s="18"/>
    </row>
    <row r="95" spans="1:28" ht="12.45" x14ac:dyDescent="0.25">
      <c r="A95" s="42" t="s">
        <v>111</v>
      </c>
      <c r="B95" s="30">
        <v>12.92</v>
      </c>
      <c r="C95" s="58"/>
      <c r="F95" s="254"/>
      <c r="G95" s="256"/>
      <c r="AB95" s="18"/>
    </row>
    <row r="96" spans="1:28" ht="12.45" x14ac:dyDescent="0.25">
      <c r="A96" s="42" t="s">
        <v>112</v>
      </c>
      <c r="B96" s="30">
        <v>0.99</v>
      </c>
      <c r="C96" s="58"/>
      <c r="F96" s="254"/>
      <c r="G96" s="255"/>
      <c r="AB96" s="18"/>
    </row>
    <row r="97" spans="1:28" ht="12.45" x14ac:dyDescent="0.25">
      <c r="A97" s="42" t="s">
        <v>113</v>
      </c>
      <c r="B97" s="30">
        <v>0.73499999999999999</v>
      </c>
      <c r="C97" s="58"/>
      <c r="F97" s="254"/>
      <c r="G97" s="255"/>
      <c r="AB97" s="18"/>
    </row>
    <row r="98" spans="1:28" ht="12.45" x14ac:dyDescent="0.25">
      <c r="A98" s="42" t="s">
        <v>114</v>
      </c>
      <c r="B98" s="30">
        <v>3.0950000000000002</v>
      </c>
      <c r="C98" s="58"/>
      <c r="F98" s="260"/>
      <c r="G98" s="261"/>
      <c r="AB98" s="18"/>
    </row>
    <row r="99" spans="1:28" x14ac:dyDescent="0.2">
      <c r="A99" s="29" t="s">
        <v>115</v>
      </c>
      <c r="F99" s="20"/>
      <c r="G99" s="20"/>
      <c r="AB99" s="18"/>
    </row>
    <row r="100" spans="1:28" ht="12.45" x14ac:dyDescent="0.25">
      <c r="A100" s="42" t="s">
        <v>101</v>
      </c>
      <c r="B100" s="65">
        <v>763.5</v>
      </c>
      <c r="C100" s="32"/>
      <c r="F100" s="263"/>
      <c r="G100" s="20"/>
      <c r="AB100" s="18"/>
    </row>
    <row r="101" spans="1:28" ht="12.45" x14ac:dyDescent="0.25">
      <c r="A101" s="42" t="s">
        <v>102</v>
      </c>
      <c r="B101" s="65">
        <v>17799.400000000001</v>
      </c>
      <c r="C101" s="32"/>
      <c r="F101" s="263"/>
      <c r="G101" s="20"/>
      <c r="AB101" s="18"/>
    </row>
    <row r="102" spans="1:28" ht="12.45" x14ac:dyDescent="0.25">
      <c r="A102" s="42" t="s">
        <v>103</v>
      </c>
      <c r="B102" s="65">
        <v>14089.3</v>
      </c>
      <c r="C102" s="32"/>
      <c r="F102" s="263"/>
      <c r="G102" s="20"/>
      <c r="AB102" s="18"/>
    </row>
    <row r="103" spans="1:28" ht="12.45" x14ac:dyDescent="0.25">
      <c r="A103" s="42" t="s">
        <v>104</v>
      </c>
      <c r="B103" s="65">
        <v>33445.199999999997</v>
      </c>
      <c r="C103" s="32"/>
      <c r="F103" s="253"/>
      <c r="AB103" s="18"/>
    </row>
    <row r="104" spans="1:28" ht="12.45" x14ac:dyDescent="0.25">
      <c r="A104" s="42" t="s">
        <v>105</v>
      </c>
      <c r="B104" s="65">
        <v>33726.400000000001</v>
      </c>
      <c r="C104" s="32"/>
      <c r="F104" s="253"/>
      <c r="AB104" s="18"/>
    </row>
    <row r="105" spans="1:28" ht="12.45" x14ac:dyDescent="0.25">
      <c r="A105" s="42" t="s">
        <v>106</v>
      </c>
      <c r="B105" s="65">
        <v>31717.5</v>
      </c>
      <c r="C105" s="32"/>
      <c r="F105" s="253"/>
      <c r="AB105" s="18"/>
    </row>
    <row r="106" spans="1:28" ht="12.45" x14ac:dyDescent="0.25">
      <c r="A106" s="42" t="s">
        <v>107</v>
      </c>
      <c r="B106" s="65">
        <v>35868.6</v>
      </c>
      <c r="C106" s="32"/>
      <c r="F106" s="253"/>
      <c r="AB106" s="18"/>
    </row>
    <row r="107" spans="1:28" ht="12.45" x14ac:dyDescent="0.25">
      <c r="A107" s="42" t="s">
        <v>108</v>
      </c>
      <c r="B107" s="65">
        <v>26043.599999999999</v>
      </c>
      <c r="C107" s="32"/>
      <c r="F107" s="253"/>
      <c r="AB107" s="18"/>
    </row>
    <row r="108" spans="1:28" ht="12.45" x14ac:dyDescent="0.25">
      <c r="A108" s="42" t="s">
        <v>109</v>
      </c>
      <c r="B108" s="65">
        <v>12405.5</v>
      </c>
      <c r="C108" s="32"/>
      <c r="F108" s="253"/>
      <c r="AB108" s="18"/>
    </row>
    <row r="109" spans="1:28" ht="12.45" x14ac:dyDescent="0.25">
      <c r="A109" s="42" t="s">
        <v>110</v>
      </c>
      <c r="B109" s="65">
        <v>17799.400000000001</v>
      </c>
      <c r="C109" s="32"/>
      <c r="F109" s="253"/>
      <c r="AB109" s="18"/>
    </row>
    <row r="110" spans="1:28" ht="12.45" x14ac:dyDescent="0.25">
      <c r="A110" s="42" t="s">
        <v>111</v>
      </c>
      <c r="B110" s="65">
        <v>17799.400000000001</v>
      </c>
      <c r="C110" s="32"/>
      <c r="F110" s="253"/>
      <c r="AB110" s="18"/>
    </row>
    <row r="111" spans="1:28" ht="12.45" x14ac:dyDescent="0.25">
      <c r="A111" s="42" t="s">
        <v>112</v>
      </c>
      <c r="B111" s="65">
        <v>32848.300000000003</v>
      </c>
      <c r="C111" s="32"/>
      <c r="F111" s="253"/>
      <c r="AB111" s="18"/>
    </row>
    <row r="112" spans="1:28" ht="12.45" x14ac:dyDescent="0.25">
      <c r="A112" s="42" t="s">
        <v>113</v>
      </c>
      <c r="B112" s="65">
        <v>12901.7</v>
      </c>
      <c r="C112" s="32"/>
      <c r="F112" s="253"/>
      <c r="AB112" s="18"/>
    </row>
    <row r="113" spans="1:28" ht="12.45" x14ac:dyDescent="0.25">
      <c r="A113" s="42" t="s">
        <v>114</v>
      </c>
      <c r="B113" s="65">
        <v>12901.7</v>
      </c>
      <c r="C113" s="32"/>
      <c r="F113" s="263"/>
      <c r="G113" s="20"/>
      <c r="H113" s="20"/>
      <c r="AB113" s="18"/>
    </row>
    <row r="114" spans="1:28" x14ac:dyDescent="0.2">
      <c r="A114" s="33" t="s">
        <v>167</v>
      </c>
      <c r="B114" s="12"/>
      <c r="C114" s="12"/>
      <c r="D114" s="12"/>
      <c r="F114" s="20"/>
      <c r="G114" s="264">
        <v>242</v>
      </c>
      <c r="H114" s="264">
        <v>303</v>
      </c>
      <c r="I114" s="12">
        <v>303</v>
      </c>
      <c r="J114" s="12">
        <v>303</v>
      </c>
      <c r="K114" s="12">
        <v>303</v>
      </c>
      <c r="L114" s="12">
        <v>303</v>
      </c>
      <c r="M114" s="12">
        <v>303</v>
      </c>
      <c r="N114" s="12">
        <v>303</v>
      </c>
      <c r="O114" s="12">
        <v>303</v>
      </c>
      <c r="P114" s="12">
        <v>303</v>
      </c>
      <c r="Q114" s="12">
        <v>303</v>
      </c>
      <c r="R114" s="12">
        <v>303</v>
      </c>
      <c r="S114" s="12">
        <v>303</v>
      </c>
      <c r="T114" s="12">
        <v>303</v>
      </c>
      <c r="U114" s="12">
        <v>303</v>
      </c>
      <c r="V114" s="12">
        <v>303</v>
      </c>
      <c r="W114" s="12">
        <v>303</v>
      </c>
      <c r="X114" s="12">
        <v>240</v>
      </c>
      <c r="Y114" s="12">
        <v>180</v>
      </c>
      <c r="Z114" s="12">
        <v>145</v>
      </c>
      <c r="AA114" s="12">
        <v>80</v>
      </c>
      <c r="AB114" s="18"/>
    </row>
    <row r="115" spans="1:28" ht="13.8" thickBot="1" x14ac:dyDescent="0.3">
      <c r="A115" s="33" t="s">
        <v>129</v>
      </c>
      <c r="B115" s="12">
        <v>23</v>
      </c>
      <c r="C115" s="13"/>
      <c r="D115" s="12"/>
      <c r="F115" s="20"/>
      <c r="G115" s="265"/>
      <c r="H115" s="265"/>
      <c r="M115" s="13"/>
      <c r="N115" s="13"/>
      <c r="O115" s="13"/>
      <c r="P115" s="13"/>
      <c r="Q115" s="21"/>
      <c r="R115" s="21"/>
      <c r="S115" s="21"/>
      <c r="T115" s="21"/>
      <c r="U115" s="21"/>
      <c r="V115" s="21"/>
      <c r="W115" s="21"/>
      <c r="X115" s="257"/>
      <c r="Y115" s="257"/>
      <c r="Z115" s="257"/>
      <c r="AA115" s="257"/>
      <c r="AB115" s="18"/>
    </row>
    <row r="116" spans="1:28" x14ac:dyDescent="0.2">
      <c r="A116" s="33" t="s">
        <v>132</v>
      </c>
      <c r="B116" s="12"/>
      <c r="C116" s="17"/>
      <c r="F116" s="20"/>
      <c r="G116" s="20"/>
      <c r="H116" s="20"/>
      <c r="AB116" s="18"/>
    </row>
    <row r="117" spans="1:28" x14ac:dyDescent="0.2">
      <c r="A117" s="43" t="s">
        <v>130</v>
      </c>
      <c r="B117" s="12">
        <v>470</v>
      </c>
      <c r="C117" s="17"/>
      <c r="F117" s="20"/>
      <c r="G117" s="20"/>
      <c r="H117" s="20"/>
      <c r="AB117" s="18"/>
    </row>
    <row r="118" spans="1:28" x14ac:dyDescent="0.2">
      <c r="A118" s="43" t="s">
        <v>131</v>
      </c>
      <c r="B118" s="12">
        <v>1200</v>
      </c>
      <c r="C118" s="12"/>
      <c r="AB118" s="18"/>
    </row>
    <row r="119" spans="1:28" x14ac:dyDescent="0.2">
      <c r="A119" s="43" t="s">
        <v>117</v>
      </c>
      <c r="B119" s="12">
        <v>13</v>
      </c>
      <c r="C119" s="12"/>
      <c r="AB119" s="18"/>
    </row>
    <row r="120" spans="1:28" x14ac:dyDescent="0.2">
      <c r="A120" s="43" t="s">
        <v>178</v>
      </c>
      <c r="B120" s="13">
        <v>0.05</v>
      </c>
      <c r="C120" s="12"/>
      <c r="AB120" s="18"/>
    </row>
    <row r="121" spans="1:28" x14ac:dyDescent="0.2">
      <c r="A121" s="33" t="s">
        <v>134</v>
      </c>
      <c r="B121" s="11"/>
      <c r="C121" s="13"/>
      <c r="D121" s="12"/>
      <c r="E121" s="20"/>
      <c r="F121" s="20"/>
      <c r="G121" s="266">
        <v>0.03</v>
      </c>
      <c r="H121" s="266">
        <v>0.03</v>
      </c>
      <c r="I121" s="266">
        <v>0.03</v>
      </c>
      <c r="J121" s="266">
        <v>0.03</v>
      </c>
      <c r="K121" s="13">
        <v>0.03</v>
      </c>
      <c r="L121" s="13">
        <v>0.02</v>
      </c>
      <c r="M121" s="13">
        <v>0.02</v>
      </c>
      <c r="N121" s="13">
        <v>0.02</v>
      </c>
      <c r="O121" s="13">
        <v>0.02</v>
      </c>
      <c r="P121" s="13">
        <v>0.02</v>
      </c>
      <c r="Q121" s="21">
        <v>0.01</v>
      </c>
      <c r="R121" s="21">
        <v>0.01</v>
      </c>
      <c r="S121" s="21">
        <v>0.01</v>
      </c>
      <c r="T121" s="21">
        <v>0.01</v>
      </c>
      <c r="U121" s="21">
        <v>0.01</v>
      </c>
      <c r="V121" s="21">
        <v>0.01</v>
      </c>
      <c r="W121" s="21">
        <v>0.01</v>
      </c>
      <c r="X121" s="21">
        <v>0.01</v>
      </c>
      <c r="Y121" s="21">
        <v>0.01</v>
      </c>
      <c r="Z121" s="21">
        <v>0.01</v>
      </c>
      <c r="AA121" s="21">
        <v>0.01</v>
      </c>
      <c r="AB121" s="18"/>
    </row>
    <row r="122" spans="1:28" ht="13.2" x14ac:dyDescent="0.25">
      <c r="A122" s="33" t="s">
        <v>144</v>
      </c>
      <c r="B122" s="11"/>
      <c r="C122" s="10"/>
      <c r="D122" s="12"/>
      <c r="E122" s="20"/>
      <c r="F122" s="20"/>
      <c r="G122" s="258"/>
      <c r="H122" s="258"/>
      <c r="I122" s="259"/>
      <c r="J122" s="20"/>
      <c r="AB122" s="18"/>
    </row>
    <row r="123" spans="1:28" x14ac:dyDescent="0.2">
      <c r="A123" s="43" t="s">
        <v>120</v>
      </c>
      <c r="B123" s="10">
        <f>13.6*10000</f>
        <v>136000</v>
      </c>
      <c r="C123" s="10"/>
      <c r="D123" s="12"/>
      <c r="E123" s="20"/>
      <c r="F123" s="20"/>
      <c r="G123" s="20"/>
      <c r="H123" s="20"/>
      <c r="I123" s="20"/>
      <c r="J123" s="20"/>
      <c r="AB123" s="18"/>
    </row>
    <row r="124" spans="1:28" x14ac:dyDescent="0.2">
      <c r="A124" s="43" t="s">
        <v>145</v>
      </c>
      <c r="B124" s="14">
        <v>0.19</v>
      </c>
      <c r="C124" s="10"/>
      <c r="D124" s="12"/>
      <c r="E124" s="20"/>
      <c r="F124" s="20"/>
      <c r="G124" s="20"/>
      <c r="H124" s="20"/>
      <c r="I124" s="20"/>
      <c r="J124" s="20"/>
      <c r="AB124" s="18"/>
    </row>
    <row r="125" spans="1:28" x14ac:dyDescent="0.2">
      <c r="A125" s="81" t="s">
        <v>231</v>
      </c>
      <c r="B125" s="82">
        <v>3.92</v>
      </c>
      <c r="C125" s="14"/>
      <c r="D125" s="12"/>
      <c r="E125" s="20"/>
      <c r="F125" s="20"/>
      <c r="G125" s="20"/>
      <c r="H125" s="20"/>
      <c r="I125" s="20"/>
      <c r="J125" s="20"/>
      <c r="AB125" s="18"/>
    </row>
    <row r="126" spans="1:28" x14ac:dyDescent="0.2">
      <c r="A126" s="43" t="s">
        <v>179</v>
      </c>
      <c r="B126" s="14">
        <v>0.41</v>
      </c>
      <c r="C126" s="14"/>
      <c r="D126" s="12"/>
      <c r="E126" s="20"/>
      <c r="F126" s="20"/>
      <c r="G126" s="20"/>
      <c r="H126" s="20"/>
      <c r="I126" s="20"/>
      <c r="J126" s="20"/>
      <c r="AB126" s="18"/>
    </row>
    <row r="127" spans="1:28" x14ac:dyDescent="0.2">
      <c r="A127" s="33" t="s">
        <v>328</v>
      </c>
      <c r="B127" s="14"/>
      <c r="C127" s="14"/>
      <c r="D127" s="12"/>
      <c r="E127" s="20"/>
      <c r="F127" s="20"/>
      <c r="G127" s="20"/>
      <c r="H127" s="20"/>
      <c r="I127" s="20"/>
      <c r="J127" s="20"/>
      <c r="AB127" s="18"/>
    </row>
    <row r="128" spans="1:28" ht="13.2" x14ac:dyDescent="0.25">
      <c r="A128" s="43" t="s">
        <v>223</v>
      </c>
      <c r="B128" s="16">
        <v>5.0000000000000001E-3</v>
      </c>
      <c r="C128" s="15"/>
      <c r="D128" s="12"/>
      <c r="E128" s="260"/>
      <c r="F128" s="263"/>
      <c r="G128" s="20"/>
      <c r="H128" s="20"/>
      <c r="I128" s="20"/>
      <c r="J128" s="20"/>
      <c r="AB128" s="18"/>
    </row>
    <row r="129" spans="1:28" x14ac:dyDescent="0.2">
      <c r="A129" s="76" t="s">
        <v>224</v>
      </c>
      <c r="B129" s="77">
        <v>4.4999999999999997E-3</v>
      </c>
      <c r="C129" s="15"/>
      <c r="D129" s="12"/>
      <c r="E129" s="20"/>
      <c r="F129" s="20"/>
      <c r="G129" s="20"/>
      <c r="H129" s="20"/>
      <c r="I129" s="20"/>
      <c r="J129" s="20"/>
      <c r="AB129" s="18"/>
    </row>
    <row r="130" spans="1:28" ht="13.2" x14ac:dyDescent="0.25">
      <c r="A130" s="43" t="s">
        <v>122</v>
      </c>
      <c r="B130" s="16">
        <v>5.0000000000000001E-4</v>
      </c>
      <c r="C130" s="16"/>
      <c r="D130" s="12"/>
      <c r="E130" s="260"/>
      <c r="F130" s="263"/>
      <c r="G130" s="20"/>
      <c r="H130" s="20"/>
      <c r="I130" s="20"/>
      <c r="J130" s="20"/>
      <c r="AB130" s="18"/>
    </row>
    <row r="131" spans="1:28" ht="13.2" x14ac:dyDescent="0.25">
      <c r="A131" s="43" t="s">
        <v>123</v>
      </c>
      <c r="B131" s="16">
        <v>5.0000000000000001E-4</v>
      </c>
      <c r="C131" s="16"/>
      <c r="D131" s="12"/>
      <c r="E131" s="260"/>
      <c r="F131" s="263"/>
      <c r="G131" s="20"/>
      <c r="H131" s="20"/>
      <c r="I131" s="20"/>
      <c r="J131" s="20"/>
      <c r="AB131" s="18"/>
    </row>
    <row r="132" spans="1:28" ht="13.2" x14ac:dyDescent="0.25">
      <c r="A132" s="43" t="s">
        <v>124</v>
      </c>
      <c r="B132" s="16">
        <v>1.6999999999999999E-3</v>
      </c>
      <c r="C132" s="16"/>
      <c r="D132" s="12"/>
      <c r="E132" s="260"/>
      <c r="F132" s="263"/>
      <c r="G132" s="20"/>
      <c r="H132" s="20"/>
      <c r="I132" s="20"/>
      <c r="J132" s="20"/>
      <c r="AB132" s="18"/>
    </row>
    <row r="133" spans="1:28" ht="13.2" x14ac:dyDescent="0.25">
      <c r="A133" s="43" t="s">
        <v>125</v>
      </c>
      <c r="B133" s="16">
        <v>7.7999999999999996E-3</v>
      </c>
      <c r="C133" s="16"/>
      <c r="D133" s="12"/>
      <c r="E133" s="260"/>
      <c r="F133" s="263"/>
      <c r="G133" s="20"/>
      <c r="H133" s="20"/>
      <c r="I133" s="20"/>
      <c r="J133" s="20"/>
      <c r="AB133" s="18"/>
    </row>
    <row r="134" spans="1:28" ht="13.2" x14ac:dyDescent="0.25">
      <c r="A134" s="43" t="s">
        <v>126</v>
      </c>
      <c r="B134" s="16">
        <v>7.3000000000000001E-3</v>
      </c>
      <c r="C134" s="16"/>
      <c r="D134" s="12"/>
      <c r="E134" s="260"/>
      <c r="F134" s="263"/>
      <c r="G134" s="20"/>
      <c r="H134" s="20"/>
      <c r="I134" s="20"/>
      <c r="J134" s="20"/>
      <c r="AB134" s="18"/>
    </row>
    <row r="135" spans="1:28" x14ac:dyDescent="0.2">
      <c r="A135" s="75" t="s">
        <v>218</v>
      </c>
      <c r="B135" s="75">
        <v>0.75</v>
      </c>
      <c r="E135" s="20"/>
      <c r="F135" s="20"/>
      <c r="G135" s="20"/>
      <c r="H135" s="20"/>
      <c r="I135" s="20"/>
      <c r="J135" s="20"/>
    </row>
    <row r="136" spans="1:28" x14ac:dyDescent="0.2">
      <c r="A136" s="75" t="s">
        <v>226</v>
      </c>
      <c r="B136" s="78">
        <v>0.1</v>
      </c>
      <c r="E136" s="20"/>
      <c r="F136" s="20"/>
      <c r="G136" s="20"/>
      <c r="H136" s="20"/>
      <c r="I136" s="20"/>
      <c r="J136" s="20"/>
      <c r="AB136" s="18"/>
    </row>
    <row r="137" spans="1:28" ht="10.5" x14ac:dyDescent="0.25">
      <c r="E137" s="20"/>
      <c r="F137" s="20"/>
      <c r="G137" s="20"/>
      <c r="H137" s="20"/>
      <c r="I137" s="20"/>
      <c r="J137" s="20"/>
      <c r="AB137" s="18"/>
    </row>
    <row r="138" spans="1:28" x14ac:dyDescent="0.2">
      <c r="A138" s="27" t="s">
        <v>38</v>
      </c>
      <c r="AB138" s="18"/>
    </row>
    <row r="139" spans="1:28" ht="10.5" x14ac:dyDescent="0.25">
      <c r="A139" s="27"/>
      <c r="AB139" s="18"/>
    </row>
    <row r="140" spans="1:28" x14ac:dyDescent="0.2">
      <c r="A140" s="27" t="s">
        <v>65</v>
      </c>
      <c r="AB140" s="18"/>
    </row>
    <row r="141" spans="1:28" x14ac:dyDescent="0.2">
      <c r="A141" s="19" t="s">
        <v>39</v>
      </c>
      <c r="B141" s="30">
        <v>1</v>
      </c>
      <c r="C141" s="30">
        <f t="shared" ref="C141:AA141" si="4">B141*(1+C4)</f>
        <v>1.05</v>
      </c>
      <c r="D141" s="30">
        <f t="shared" si="4"/>
        <v>1.1025</v>
      </c>
      <c r="E141" s="30">
        <f t="shared" si="4"/>
        <v>1.1576250000000001</v>
      </c>
      <c r="F141" s="30">
        <f t="shared" si="4"/>
        <v>1.2155062500000002</v>
      </c>
      <c r="G141" s="30">
        <f t="shared" si="4"/>
        <v>1.2762815625000004</v>
      </c>
      <c r="H141" s="30">
        <f t="shared" si="4"/>
        <v>1.3400956406250004</v>
      </c>
      <c r="I141" s="30">
        <f t="shared" si="4"/>
        <v>1.4071004226562505</v>
      </c>
      <c r="J141" s="30">
        <f t="shared" si="4"/>
        <v>1.477455443789063</v>
      </c>
      <c r="K141" s="30">
        <f t="shared" si="4"/>
        <v>1.5513282159785162</v>
      </c>
      <c r="L141" s="30">
        <f t="shared" si="4"/>
        <v>1.628894626777442</v>
      </c>
      <c r="M141" s="30">
        <f t="shared" si="4"/>
        <v>1.7103393581163142</v>
      </c>
      <c r="N141" s="30">
        <f t="shared" si="4"/>
        <v>1.7958563260221301</v>
      </c>
      <c r="O141" s="30">
        <f t="shared" si="4"/>
        <v>1.8856491423232367</v>
      </c>
      <c r="P141" s="30">
        <f t="shared" si="4"/>
        <v>1.9799315994393987</v>
      </c>
      <c r="Q141" s="30">
        <f t="shared" si="4"/>
        <v>2.0789281794113688</v>
      </c>
      <c r="R141" s="30">
        <f t="shared" si="4"/>
        <v>2.1828745883819374</v>
      </c>
      <c r="S141" s="30">
        <f t="shared" si="4"/>
        <v>2.2920183178010345</v>
      </c>
      <c r="T141" s="30">
        <f t="shared" si="4"/>
        <v>2.4066192336910861</v>
      </c>
      <c r="U141" s="30">
        <f t="shared" si="4"/>
        <v>2.5269501953756404</v>
      </c>
      <c r="V141" s="30">
        <f t="shared" si="4"/>
        <v>2.6532977051444226</v>
      </c>
      <c r="W141" s="30">
        <f t="shared" si="4"/>
        <v>2.7859625904016441</v>
      </c>
      <c r="X141" s="30">
        <f t="shared" si="4"/>
        <v>2.9252607199217264</v>
      </c>
      <c r="Y141" s="30">
        <f t="shared" si="4"/>
        <v>3.0715237559178128</v>
      </c>
      <c r="Z141" s="30">
        <f t="shared" si="4"/>
        <v>3.2250999437137038</v>
      </c>
      <c r="AA141" s="30">
        <f t="shared" si="4"/>
        <v>3.3863549408993889</v>
      </c>
      <c r="AB141" s="18"/>
    </row>
    <row r="142" spans="1:28" x14ac:dyDescent="0.2">
      <c r="A142" s="19" t="s">
        <v>40</v>
      </c>
      <c r="B142" s="30">
        <v>1</v>
      </c>
      <c r="C142" s="30">
        <f t="shared" ref="C142:AA142" si="5">B142*(1+C5)</f>
        <v>1.018</v>
      </c>
      <c r="D142" s="30">
        <f t="shared" si="5"/>
        <v>1.036324</v>
      </c>
      <c r="E142" s="30">
        <f t="shared" si="5"/>
        <v>1.0549778320000001</v>
      </c>
      <c r="F142" s="30">
        <f t="shared" si="5"/>
        <v>1.0739674329760001</v>
      </c>
      <c r="G142" s="30">
        <f t="shared" si="5"/>
        <v>1.0932988467695681</v>
      </c>
      <c r="H142" s="30">
        <f t="shared" si="5"/>
        <v>1.1129782260114203</v>
      </c>
      <c r="I142" s="30">
        <f t="shared" si="5"/>
        <v>1.1330118340796258</v>
      </c>
      <c r="J142" s="30">
        <f t="shared" si="5"/>
        <v>1.1534060470930592</v>
      </c>
      <c r="K142" s="30">
        <f t="shared" si="5"/>
        <v>1.1741673559407342</v>
      </c>
      <c r="L142" s="30">
        <f t="shared" si="5"/>
        <v>1.1953023683476673</v>
      </c>
      <c r="M142" s="30">
        <f t="shared" si="5"/>
        <v>1.2168178109779253</v>
      </c>
      <c r="N142" s="30">
        <f t="shared" si="5"/>
        <v>1.2387205315755279</v>
      </c>
      <c r="O142" s="30">
        <f t="shared" si="5"/>
        <v>1.2610175011438873</v>
      </c>
      <c r="P142" s="30">
        <f t="shared" si="5"/>
        <v>1.2837158161644773</v>
      </c>
      <c r="Q142" s="30">
        <f t="shared" si="5"/>
        <v>1.3068227008554378</v>
      </c>
      <c r="R142" s="30">
        <f t="shared" si="5"/>
        <v>1.3303455094708356</v>
      </c>
      <c r="S142" s="30">
        <f t="shared" si="5"/>
        <v>1.3542917286413108</v>
      </c>
      <c r="T142" s="30">
        <f t="shared" si="5"/>
        <v>1.3786689797568543</v>
      </c>
      <c r="U142" s="30">
        <f t="shared" si="5"/>
        <v>1.4034850213924777</v>
      </c>
      <c r="V142" s="30">
        <f t="shared" si="5"/>
        <v>1.4287477517775422</v>
      </c>
      <c r="W142" s="30">
        <f t="shared" si="5"/>
        <v>1.454465211309538</v>
      </c>
      <c r="X142" s="30">
        <f t="shared" si="5"/>
        <v>1.4806455851131097</v>
      </c>
      <c r="Y142" s="30">
        <f t="shared" si="5"/>
        <v>1.5072972056451457</v>
      </c>
      <c r="Z142" s="30">
        <f t="shared" si="5"/>
        <v>1.5344285553467583</v>
      </c>
      <c r="AA142" s="30">
        <f t="shared" si="5"/>
        <v>1.562048269343</v>
      </c>
      <c r="AB142" s="18"/>
    </row>
    <row r="143" spans="1:28" x14ac:dyDescent="0.2">
      <c r="A143" s="19" t="s">
        <v>41</v>
      </c>
      <c r="B143" s="10">
        <f>B6</f>
        <v>21400</v>
      </c>
      <c r="C143" s="10">
        <f>$B$143*C141/C142</f>
        <v>22072.691552062868</v>
      </c>
      <c r="D143" s="10">
        <f t="shared" ref="D143:AA143" si="6">$B$143*D141/D142</f>
        <v>22766.528614603154</v>
      </c>
      <c r="E143" s="10">
        <f t="shared" si="6"/>
        <v>23482.175879502272</v>
      </c>
      <c r="F143" s="10">
        <f t="shared" si="6"/>
        <v>24220.318932688988</v>
      </c>
      <c r="G143" s="10">
        <f t="shared" si="6"/>
        <v>24981.664910926756</v>
      </c>
      <c r="H143" s="10">
        <f t="shared" si="6"/>
        <v>25766.943179246657</v>
      </c>
      <c r="I143" s="10">
        <f t="shared" si="6"/>
        <v>26576.906029674843</v>
      </c>
      <c r="J143" s="10">
        <f t="shared" si="6"/>
        <v>27412.329401923955</v>
      </c>
      <c r="K143" s="10">
        <f t="shared" si="6"/>
        <v>28274.013626738852</v>
      </c>
      <c r="L143" s="10">
        <f t="shared" si="6"/>
        <v>29162.784192608837</v>
      </c>
      <c r="M143" s="10">
        <f t="shared" si="6"/>
        <v>30079.492536580827</v>
      </c>
      <c r="N143" s="10">
        <f t="shared" si="6"/>
        <v>31025.016859931111</v>
      </c>
      <c r="O143" s="10">
        <f t="shared" si="6"/>
        <v>32000.262969477088</v>
      </c>
      <c r="P143" s="10">
        <f t="shared" si="6"/>
        <v>33006.165145334919</v>
      </c>
      <c r="Q143" s="10">
        <f t="shared" si="6"/>
        <v>34043.687035954485</v>
      </c>
      <c r="R143" s="10">
        <f t="shared" si="6"/>
        <v>35113.822581289009</v>
      </c>
      <c r="S143" s="10">
        <f t="shared" si="6"/>
        <v>36217.596964983757</v>
      </c>
      <c r="T143" s="10">
        <f t="shared" si="6"/>
        <v>37356.06759649601</v>
      </c>
      <c r="U143" s="10">
        <f t="shared" si="6"/>
        <v>38530.325124087241</v>
      </c>
      <c r="V143" s="10">
        <f t="shared" si="6"/>
        <v>39741.494479657769</v>
      </c>
      <c r="W143" s="10">
        <f t="shared" si="6"/>
        <v>40990.735956425015</v>
      </c>
      <c r="X143" s="10">
        <f t="shared" si="6"/>
        <v>42279.246320477665</v>
      </c>
      <c r="Y143" s="10">
        <f t="shared" si="6"/>
        <v>43608.259957270675</v>
      </c>
      <c r="Z143" s="10">
        <f t="shared" si="6"/>
        <v>44979.05005415935</v>
      </c>
      <c r="AA143" s="10">
        <f t="shared" si="6"/>
        <v>46392.929820105419</v>
      </c>
      <c r="AB143" s="18"/>
    </row>
    <row r="144" spans="1:28" ht="10.5" x14ac:dyDescent="0.25">
      <c r="AB144" s="18"/>
    </row>
    <row r="145" spans="1:28" x14ac:dyDescent="0.2">
      <c r="A145" s="27" t="s">
        <v>66</v>
      </c>
      <c r="AB145" s="18"/>
    </row>
    <row r="146" spans="1:28" x14ac:dyDescent="0.2">
      <c r="A146" s="27" t="s">
        <v>67</v>
      </c>
      <c r="AB146" s="18"/>
    </row>
    <row r="147" spans="1:28" x14ac:dyDescent="0.2">
      <c r="A147" s="23" t="s">
        <v>34</v>
      </c>
      <c r="AB147" s="18"/>
    </row>
    <row r="148" spans="1:28" s="55" customFormat="1" x14ac:dyDescent="0.2">
      <c r="A148" s="54" t="s">
        <v>1</v>
      </c>
      <c r="C148" s="56">
        <f>$B9*C$39*'Gia NH3'!$B$4</f>
        <v>7976.808</v>
      </c>
      <c r="D148" s="56">
        <f>$B9*D$39*'Gia NH3'!$B$4</f>
        <v>77109.144</v>
      </c>
      <c r="E148" s="56">
        <f>$B9*E$39*'Gia NH3'!$B$4</f>
        <v>132946.80000000002</v>
      </c>
      <c r="F148" s="56">
        <f>$B9*F$39*'Gia NH3'!$B$4</f>
        <v>47860.847999999998</v>
      </c>
      <c r="AB148" s="57"/>
    </row>
    <row r="149" spans="1:28" x14ac:dyDescent="0.2">
      <c r="A149" s="24" t="s">
        <v>2</v>
      </c>
      <c r="C149" s="56">
        <f>$B10*C$39*'Gia NH3'!$B$4</f>
        <v>5409.4634999999998</v>
      </c>
      <c r="D149" s="56">
        <f>$B10*D$39*'Gia NH3'!$B$4</f>
        <v>52291.480499999998</v>
      </c>
      <c r="E149" s="56">
        <f>$B10*E$39*'Gia NH3'!$B$4</f>
        <v>90157.725000000006</v>
      </c>
      <c r="F149" s="56">
        <f>$B10*F$39*'Gia NH3'!$B$4</f>
        <v>32456.780999999999</v>
      </c>
      <c r="AB149" s="18"/>
    </row>
    <row r="150" spans="1:28" x14ac:dyDescent="0.2">
      <c r="A150" s="24" t="s">
        <v>3</v>
      </c>
      <c r="C150" s="56">
        <f>$B11*C$39*'Gia NH3'!$B$4</f>
        <v>27.090000000000003</v>
      </c>
      <c r="D150" s="56">
        <f>$B11*D$39*'Gia NH3'!$B$4</f>
        <v>261.87</v>
      </c>
      <c r="E150" s="56">
        <f>$B11*E$39*'Gia NH3'!$B$4</f>
        <v>451.5</v>
      </c>
      <c r="F150" s="56">
        <f>$B11*F$39*'Gia NH3'!$B$4</f>
        <v>162.54</v>
      </c>
      <c r="AB150" s="18"/>
    </row>
    <row r="151" spans="1:28" x14ac:dyDescent="0.2">
      <c r="A151" s="24" t="s">
        <v>4</v>
      </c>
      <c r="C151" s="56">
        <f>$B12*C$39*'Gia NH3'!$B$4</f>
        <v>2540.2545</v>
      </c>
      <c r="D151" s="56">
        <f>$B12*D$39*'Gia NH3'!$B$4</f>
        <v>24555.7935</v>
      </c>
      <c r="E151" s="56">
        <f>$B12*E$39*'Gia NH3'!$B$4</f>
        <v>42337.575000000004</v>
      </c>
      <c r="F151" s="56">
        <f>$B12*F$39*'Gia NH3'!$B$4</f>
        <v>15241.527</v>
      </c>
      <c r="AB151" s="18"/>
    </row>
    <row r="152" spans="1:28" s="55" customFormat="1" x14ac:dyDescent="0.2">
      <c r="A152" s="54" t="s">
        <v>5</v>
      </c>
      <c r="C152" s="56">
        <f>$B13*C$39*'Gia NH3'!$B$4</f>
        <v>1306.6515000000002</v>
      </c>
      <c r="D152" s="56">
        <f>$B13*D$39*'Gia NH3'!$B$4</f>
        <v>12630.9645</v>
      </c>
      <c r="E152" s="56">
        <f>$B13*E$39*'Gia NH3'!$B$4</f>
        <v>21777.525000000001</v>
      </c>
      <c r="F152" s="56">
        <f>$B13*F$39*'Gia NH3'!$B$4</f>
        <v>7839.9090000000006</v>
      </c>
      <c r="AB152" s="57"/>
    </row>
    <row r="153" spans="1:28" s="55" customFormat="1" x14ac:dyDescent="0.2">
      <c r="A153" s="54" t="s">
        <v>6</v>
      </c>
      <c r="C153" s="56">
        <f>$B14*C$39*'Gia NH3'!$B$4</f>
        <v>3217.1580000000004</v>
      </c>
      <c r="D153" s="56">
        <f>$B14*D$39*'Gia NH3'!$B$4</f>
        <v>31099.194</v>
      </c>
      <c r="E153" s="56">
        <f>$B14*E$39*'Gia NH3'!$B$4</f>
        <v>53619.3</v>
      </c>
      <c r="F153" s="56">
        <f>$B14*F$39*'Gia NH3'!$B$4</f>
        <v>19302.948</v>
      </c>
      <c r="AB153" s="57"/>
    </row>
    <row r="154" spans="1:28" x14ac:dyDescent="0.2">
      <c r="A154" s="4" t="s">
        <v>7</v>
      </c>
      <c r="C154" s="56">
        <f>$B15*C$39*'Gia NH3'!$B$4</f>
        <v>148.30199999999999</v>
      </c>
      <c r="D154" s="56">
        <f>$B15*D$39*'Gia NH3'!$B$4</f>
        <v>1433.586</v>
      </c>
      <c r="E154" s="56">
        <f>$B15*E$39*'Gia NH3'!$B$4</f>
        <v>2471.7000000000003</v>
      </c>
      <c r="F154" s="56">
        <f>$B15*F$39*'Gia NH3'!$B$4</f>
        <v>889.81200000000001</v>
      </c>
      <c r="AB154" s="18"/>
    </row>
    <row r="155" spans="1:28" x14ac:dyDescent="0.2">
      <c r="A155" s="4" t="s">
        <v>8</v>
      </c>
      <c r="C155" s="56">
        <f>$B16*C$39*'Gia NH3'!$B$4</f>
        <v>290.99700000000001</v>
      </c>
      <c r="D155" s="56">
        <f>$B16*D$39*'Gia NH3'!$B$4</f>
        <v>2812.971</v>
      </c>
      <c r="E155" s="56">
        <f>$B16*E$39*'Gia NH3'!$B$4</f>
        <v>4849.95</v>
      </c>
      <c r="F155" s="56">
        <f>$B16*F$39*'Gia NH3'!$B$4</f>
        <v>1745.982</v>
      </c>
      <c r="AB155" s="18"/>
    </row>
    <row r="156" spans="1:28" x14ac:dyDescent="0.2">
      <c r="A156" s="4" t="s">
        <v>9</v>
      </c>
      <c r="C156" s="56">
        <f>$B17*C$39*'Gia NH3'!$B$4</f>
        <v>0</v>
      </c>
      <c r="D156" s="56">
        <f>$B17*D$39*'Gia NH3'!$B$4</f>
        <v>0</v>
      </c>
      <c r="E156" s="56">
        <f>$B17*E$39*'Gia NH3'!$B$4</f>
        <v>0</v>
      </c>
      <c r="F156" s="56">
        <f>$B17*F$39*'Gia NH3'!$B$4</f>
        <v>0</v>
      </c>
      <c r="AB156" s="18"/>
    </row>
    <row r="157" spans="1:28" x14ac:dyDescent="0.2">
      <c r="A157" s="4" t="s">
        <v>10</v>
      </c>
      <c r="C157" s="56">
        <f>$B18*C$39*'Gia NH3'!$B$4</f>
        <v>2406.1274999999996</v>
      </c>
      <c r="D157" s="56">
        <f>$B18*D$39*'Gia NH3'!$B$4</f>
        <v>23259.232499999998</v>
      </c>
      <c r="E157" s="56">
        <f>$B18*E$39*'Gia NH3'!$B$4</f>
        <v>40102.125</v>
      </c>
      <c r="F157" s="56">
        <f>$B18*F$39*'Gia NH3'!$B$4</f>
        <v>14436.764999999999</v>
      </c>
      <c r="AB157" s="18"/>
    </row>
    <row r="158" spans="1:28" x14ac:dyDescent="0.2">
      <c r="A158" s="4" t="s">
        <v>11</v>
      </c>
      <c r="C158" s="56">
        <f>$B19*C$39*'Gia NH3'!$B$4</f>
        <v>371.73149999999998</v>
      </c>
      <c r="D158" s="56">
        <f>$B19*D$39*'Gia NH3'!$B$4</f>
        <v>3593.4045000000001</v>
      </c>
      <c r="E158" s="56">
        <f>$B19*E$39*'Gia NH3'!$B$4</f>
        <v>6195.5250000000005</v>
      </c>
      <c r="F158" s="56">
        <f>$B19*F$39*'Gia NH3'!$B$4</f>
        <v>2230.3890000000001</v>
      </c>
      <c r="AB158" s="18"/>
    </row>
    <row r="159" spans="1:28" x14ac:dyDescent="0.2">
      <c r="A159" s="3" t="s">
        <v>12</v>
      </c>
      <c r="C159" s="56">
        <v>0</v>
      </c>
      <c r="D159" s="56">
        <v>0</v>
      </c>
      <c r="E159" s="56">
        <v>0</v>
      </c>
      <c r="F159" s="56">
        <v>0</v>
      </c>
      <c r="AB159" s="18"/>
    </row>
    <row r="160" spans="1:28" x14ac:dyDescent="0.2">
      <c r="A160" s="3" t="s">
        <v>194</v>
      </c>
      <c r="C160" s="56"/>
      <c r="D160" s="56"/>
      <c r="E160" s="56"/>
      <c r="F160" s="56"/>
      <c r="AB160" s="18"/>
    </row>
    <row r="161" spans="1:28" x14ac:dyDescent="0.2">
      <c r="A161" s="5" t="s">
        <v>14</v>
      </c>
      <c r="C161" s="56">
        <f>$B22*C$39*'Gia NH3'!$B$4</f>
        <v>1253.5739999999998</v>
      </c>
      <c r="D161" s="56">
        <f>$B22*D$39*'Gia NH3'!$B$4</f>
        <v>12117.882</v>
      </c>
      <c r="E161" s="56">
        <f>$B22*E$39*'Gia NH3'!$B$4</f>
        <v>20892.900000000001</v>
      </c>
      <c r="F161" s="56">
        <f>$B22*F$39*'Gia NH3'!$B$4</f>
        <v>7521.4440000000004</v>
      </c>
      <c r="AB161" s="18"/>
    </row>
    <row r="162" spans="1:28" x14ac:dyDescent="0.2">
      <c r="A162" s="23" t="s">
        <v>216</v>
      </c>
      <c r="C162" s="10"/>
      <c r="D162" s="10"/>
      <c r="E162" s="10"/>
      <c r="F162" s="10"/>
      <c r="AB162" s="18"/>
    </row>
    <row r="163" spans="1:28" x14ac:dyDescent="0.2">
      <c r="A163" s="3" t="s">
        <v>15</v>
      </c>
      <c r="C163" s="10">
        <v>0</v>
      </c>
      <c r="D163" s="10">
        <v>0</v>
      </c>
      <c r="E163" s="10">
        <v>0</v>
      </c>
      <c r="F163" s="10">
        <v>0</v>
      </c>
      <c r="AB163" s="18"/>
    </row>
    <row r="164" spans="1:28" x14ac:dyDescent="0.2">
      <c r="A164" s="24" t="s">
        <v>16</v>
      </c>
      <c r="C164" s="10">
        <v>0</v>
      </c>
      <c r="D164" s="10">
        <v>0</v>
      </c>
      <c r="E164" s="10">
        <v>0</v>
      </c>
      <c r="F164" s="10">
        <v>0</v>
      </c>
      <c r="AB164" s="18"/>
    </row>
    <row r="165" spans="1:28" x14ac:dyDescent="0.2">
      <c r="A165" s="24" t="s">
        <v>17</v>
      </c>
      <c r="C165" s="10">
        <v>0</v>
      </c>
      <c r="D165" s="10">
        <v>0</v>
      </c>
      <c r="E165" s="10">
        <v>0</v>
      </c>
      <c r="F165" s="10">
        <v>0</v>
      </c>
      <c r="AB165" s="18"/>
    </row>
    <row r="166" spans="1:28" x14ac:dyDescent="0.2">
      <c r="A166" s="25" t="s">
        <v>18</v>
      </c>
      <c r="C166" s="10">
        <f>C167+C168</f>
        <v>1028.1742990654207</v>
      </c>
      <c r="D166" s="10">
        <f t="shared" ref="D166:F166" si="7">D167+D168</f>
        <v>9939.0182242990631</v>
      </c>
      <c r="E166" s="10">
        <f t="shared" si="7"/>
        <v>17136.238317757008</v>
      </c>
      <c r="F166" s="10">
        <f t="shared" si="7"/>
        <v>6169.045794392523</v>
      </c>
      <c r="AB166" s="18"/>
    </row>
    <row r="167" spans="1:28" x14ac:dyDescent="0.2">
      <c r="A167" s="6" t="s">
        <v>19</v>
      </c>
      <c r="C167" s="10">
        <f>$B28*C$39/$B$6*1000*$B$135</f>
        <v>982.34158878504672</v>
      </c>
      <c r="D167" s="10">
        <f>$B28*D$39/$B$6*1000*$B$135</f>
        <v>9495.9686915887833</v>
      </c>
      <c r="E167" s="10">
        <f>$B28*E$39/$B$6*1000*$B$135</f>
        <v>16372.359813084113</v>
      </c>
      <c r="F167" s="10">
        <f>$B28*F$39/$B$6*1000*$B$135</f>
        <v>5894.0495327102799</v>
      </c>
      <c r="AB167" s="18"/>
    </row>
    <row r="168" spans="1:28" x14ac:dyDescent="0.2">
      <c r="A168" s="24" t="s">
        <v>20</v>
      </c>
      <c r="C168" s="10">
        <f t="shared" ref="C168:F174" si="8">$B29*C$39/$B$6*1000</f>
        <v>45.832710280373824</v>
      </c>
      <c r="D168" s="10">
        <f t="shared" si="8"/>
        <v>443.04953271028035</v>
      </c>
      <c r="E168" s="10">
        <f t="shared" si="8"/>
        <v>763.87850467289718</v>
      </c>
      <c r="F168" s="10">
        <f t="shared" si="8"/>
        <v>274.99626168224302</v>
      </c>
      <c r="AB168" s="18"/>
    </row>
    <row r="169" spans="1:28" x14ac:dyDescent="0.2">
      <c r="A169" s="3" t="s">
        <v>6</v>
      </c>
      <c r="C169" s="10">
        <f t="shared" si="8"/>
        <v>268.34579439252332</v>
      </c>
      <c r="D169" s="10">
        <f t="shared" si="8"/>
        <v>2594.0093457943926</v>
      </c>
      <c r="E169" s="10">
        <f t="shared" si="8"/>
        <v>4472.4299065420555</v>
      </c>
      <c r="F169" s="10">
        <f t="shared" si="8"/>
        <v>1610.0747663551401</v>
      </c>
      <c r="H169" s="10"/>
      <c r="I169" s="10"/>
      <c r="J169" s="10"/>
      <c r="K169" s="10"/>
      <c r="AB169" s="18"/>
    </row>
    <row r="170" spans="1:28" x14ac:dyDescent="0.2">
      <c r="A170" s="7" t="s">
        <v>7</v>
      </c>
      <c r="C170" s="10">
        <f t="shared" si="8"/>
        <v>0</v>
      </c>
      <c r="D170" s="10">
        <f t="shared" si="8"/>
        <v>0</v>
      </c>
      <c r="E170" s="10">
        <f t="shared" si="8"/>
        <v>0</v>
      </c>
      <c r="F170" s="10">
        <f t="shared" si="8"/>
        <v>0</v>
      </c>
      <c r="AB170" s="18"/>
    </row>
    <row r="171" spans="1:28" x14ac:dyDescent="0.2">
      <c r="A171" s="7" t="s">
        <v>21</v>
      </c>
      <c r="C171" s="10">
        <f t="shared" si="8"/>
        <v>0</v>
      </c>
      <c r="D171" s="10">
        <f t="shared" si="8"/>
        <v>0</v>
      </c>
      <c r="E171" s="10">
        <f t="shared" si="8"/>
        <v>0</v>
      </c>
      <c r="F171" s="10">
        <f t="shared" si="8"/>
        <v>0</v>
      </c>
      <c r="AB171" s="18"/>
    </row>
    <row r="172" spans="1:28" x14ac:dyDescent="0.2">
      <c r="A172" s="6" t="s">
        <v>22</v>
      </c>
      <c r="C172" s="10">
        <f t="shared" si="8"/>
        <v>21.133177570093459</v>
      </c>
      <c r="D172" s="10">
        <f t="shared" si="8"/>
        <v>204.28738317757009</v>
      </c>
      <c r="E172" s="10">
        <f t="shared" si="8"/>
        <v>352.21962616822429</v>
      </c>
      <c r="F172" s="10">
        <f t="shared" si="8"/>
        <v>126.79906542056074</v>
      </c>
      <c r="AB172" s="18"/>
    </row>
    <row r="173" spans="1:28" x14ac:dyDescent="0.2">
      <c r="A173" s="7" t="s">
        <v>23</v>
      </c>
      <c r="C173" s="10">
        <f t="shared" si="8"/>
        <v>2.8219626168224297</v>
      </c>
      <c r="D173" s="10">
        <f t="shared" si="8"/>
        <v>27.278971962616822</v>
      </c>
      <c r="E173" s="10">
        <f t="shared" si="8"/>
        <v>47.032710280373834</v>
      </c>
      <c r="F173" s="10">
        <f t="shared" si="8"/>
        <v>16.931775700934576</v>
      </c>
      <c r="AB173" s="18"/>
    </row>
    <row r="174" spans="1:28" x14ac:dyDescent="0.2">
      <c r="A174" s="7" t="s">
        <v>24</v>
      </c>
      <c r="C174" s="10">
        <f t="shared" si="8"/>
        <v>244.39065420560749</v>
      </c>
      <c r="D174" s="10">
        <f t="shared" si="8"/>
        <v>2362.4429906542055</v>
      </c>
      <c r="E174" s="10">
        <f t="shared" si="8"/>
        <v>4073.1775700934581</v>
      </c>
      <c r="F174" s="10">
        <f t="shared" si="8"/>
        <v>1466.3439252336448</v>
      </c>
      <c r="AB174" s="18"/>
    </row>
    <row r="175" spans="1:28" x14ac:dyDescent="0.2">
      <c r="A175" s="3" t="s">
        <v>12</v>
      </c>
      <c r="C175" s="10">
        <v>0</v>
      </c>
      <c r="D175" s="10">
        <v>0</v>
      </c>
      <c r="E175" s="10">
        <v>0</v>
      </c>
      <c r="F175" s="10">
        <v>0</v>
      </c>
      <c r="AB175" s="18"/>
    </row>
    <row r="176" spans="1:28" x14ac:dyDescent="0.2">
      <c r="A176" s="3" t="s">
        <v>194</v>
      </c>
      <c r="C176" s="10"/>
      <c r="D176" s="10"/>
      <c r="E176" s="10"/>
      <c r="F176" s="10"/>
      <c r="AB176" s="18"/>
    </row>
    <row r="177" spans="1:28" x14ac:dyDescent="0.2">
      <c r="A177" s="5" t="s">
        <v>14</v>
      </c>
      <c r="C177" s="10">
        <f>$B38*C$39/$B$6*1000</f>
        <v>148.37943925233643</v>
      </c>
      <c r="D177" s="10">
        <f>$B38*D$39/$B$6*1000</f>
        <v>1434.3345794392524</v>
      </c>
      <c r="E177" s="10">
        <f>$B38*E$39/$B$6*1000</f>
        <v>2472.9906542056074</v>
      </c>
      <c r="F177" s="10">
        <f>$B38*F$39/$B$6*1000</f>
        <v>890.27663551401861</v>
      </c>
      <c r="AB177" s="18"/>
    </row>
    <row r="178" spans="1:28" x14ac:dyDescent="0.2">
      <c r="A178" s="27" t="s">
        <v>217</v>
      </c>
      <c r="C178" s="2">
        <f>C148+C152+C153+C161+C166+C169+C177</f>
        <v>15199.091032710281</v>
      </c>
      <c r="D178" s="2">
        <f>D148+D152+D153+D161+D166+D169+D177</f>
        <v>146924.54664953271</v>
      </c>
      <c r="E178" s="2">
        <f>E148+E152+E153+E161+E166+E169+E177</f>
        <v>253318.18387850467</v>
      </c>
      <c r="F178" s="2">
        <f>F148+F152+F153+F161+F166+F169+F177</f>
        <v>91194.546196261697</v>
      </c>
      <c r="AB178" s="18"/>
    </row>
    <row r="179" spans="1:28" ht="10.5" x14ac:dyDescent="0.25">
      <c r="AB179" s="18"/>
    </row>
    <row r="180" spans="1:28" s="80" customFormat="1" x14ac:dyDescent="0.2">
      <c r="A180" s="79" t="s">
        <v>229</v>
      </c>
    </row>
    <row r="181" spans="1:28" x14ac:dyDescent="0.2">
      <c r="A181" s="19" t="s">
        <v>72</v>
      </c>
      <c r="G181" s="10">
        <f t="shared" ref="G181:AA181" si="9">$B$44*G45</f>
        <v>337500</v>
      </c>
      <c r="H181" s="10">
        <f t="shared" si="9"/>
        <v>405000</v>
      </c>
      <c r="I181" s="10">
        <f t="shared" si="9"/>
        <v>450000</v>
      </c>
      <c r="J181" s="10">
        <f t="shared" si="9"/>
        <v>450000</v>
      </c>
      <c r="K181" s="10">
        <f t="shared" si="9"/>
        <v>450000</v>
      </c>
      <c r="L181" s="10">
        <f t="shared" si="9"/>
        <v>450000</v>
      </c>
      <c r="M181" s="10">
        <f t="shared" si="9"/>
        <v>450000</v>
      </c>
      <c r="N181" s="10">
        <f t="shared" si="9"/>
        <v>450000</v>
      </c>
      <c r="O181" s="10">
        <f t="shared" si="9"/>
        <v>450000</v>
      </c>
      <c r="P181" s="10">
        <f t="shared" si="9"/>
        <v>450000</v>
      </c>
      <c r="Q181" s="10">
        <f t="shared" si="9"/>
        <v>450000</v>
      </c>
      <c r="R181" s="10">
        <f t="shared" si="9"/>
        <v>450000</v>
      </c>
      <c r="S181" s="10">
        <f t="shared" si="9"/>
        <v>450000</v>
      </c>
      <c r="T181" s="10">
        <f t="shared" si="9"/>
        <v>450000</v>
      </c>
      <c r="U181" s="10">
        <f t="shared" si="9"/>
        <v>450000</v>
      </c>
      <c r="V181" s="10">
        <f t="shared" si="9"/>
        <v>450000</v>
      </c>
      <c r="W181" s="10">
        <f t="shared" si="9"/>
        <v>450000</v>
      </c>
      <c r="X181" s="10">
        <f t="shared" si="9"/>
        <v>360000</v>
      </c>
      <c r="Y181" s="10">
        <f t="shared" si="9"/>
        <v>270000.00000000006</v>
      </c>
      <c r="Z181" s="10">
        <f t="shared" si="9"/>
        <v>180000.00000000003</v>
      </c>
      <c r="AA181" s="10">
        <f t="shared" si="9"/>
        <v>90000.000000000029</v>
      </c>
      <c r="AB181" s="18"/>
    </row>
    <row r="182" spans="1:28" x14ac:dyDescent="0.2">
      <c r="A182" s="19" t="s">
        <v>219</v>
      </c>
      <c r="G182" s="10">
        <f>'Gia NH3'!$E$23</f>
        <v>529.01401869158883</v>
      </c>
      <c r="H182" s="10">
        <f>'Gia NH3'!$E$23</f>
        <v>529.01401869158883</v>
      </c>
      <c r="I182" s="10">
        <f>'Gia NH3'!$E$23</f>
        <v>529.01401869158883</v>
      </c>
      <c r="J182" s="10">
        <f>'Gia NH3'!$E$23</f>
        <v>529.01401869158883</v>
      </c>
      <c r="K182" s="10">
        <f>'Gia NH3'!$E$23</f>
        <v>529.01401869158883</v>
      </c>
      <c r="L182" s="10">
        <f>'Gia NH3'!$E$23</f>
        <v>529.01401869158883</v>
      </c>
      <c r="M182" s="10">
        <f>'Gia NH3'!$E$23</f>
        <v>529.01401869158883</v>
      </c>
      <c r="N182" s="10">
        <f>'Gia NH3'!$E$23</f>
        <v>529.01401869158883</v>
      </c>
      <c r="O182" s="10">
        <f>'Gia NH3'!$E$23</f>
        <v>529.01401869158883</v>
      </c>
      <c r="P182" s="10">
        <f>'Gia NH3'!$E$23</f>
        <v>529.01401869158883</v>
      </c>
      <c r="Q182" s="10">
        <f>'Gia NH3'!$E$23</f>
        <v>529.01401869158883</v>
      </c>
      <c r="R182" s="10">
        <f>'Gia NH3'!$E$23</f>
        <v>529.01401869158883</v>
      </c>
      <c r="S182" s="10">
        <f>'Gia NH3'!$E$23</f>
        <v>529.01401869158883</v>
      </c>
      <c r="T182" s="10">
        <f>'Gia NH3'!$E$23</f>
        <v>529.01401869158883</v>
      </c>
      <c r="U182" s="10">
        <f>'Gia NH3'!$E$23</f>
        <v>529.01401869158883</v>
      </c>
      <c r="V182" s="10">
        <f>'Gia NH3'!$E$23</f>
        <v>529.01401869158883</v>
      </c>
      <c r="W182" s="10">
        <f>'Gia NH3'!$E$23</f>
        <v>529.01401869158883</v>
      </c>
      <c r="X182" s="10">
        <f>'Gia NH3'!$E$23</f>
        <v>529.01401869158883</v>
      </c>
      <c r="Y182" s="10">
        <f>'Gia NH3'!$E$23</f>
        <v>529.01401869158883</v>
      </c>
      <c r="Z182" s="10">
        <f>'Gia NH3'!$E$23</f>
        <v>529.01401869158883</v>
      </c>
      <c r="AA182" s="10">
        <f>'Gia NH3'!$E$23</f>
        <v>529.01401869158883</v>
      </c>
      <c r="AB182" s="18"/>
    </row>
    <row r="183" spans="1:28" x14ac:dyDescent="0.2">
      <c r="A183" s="19" t="s">
        <v>220</v>
      </c>
      <c r="G183" s="10">
        <f>G182*G181/1000</f>
        <v>178542.23130841125</v>
      </c>
      <c r="H183" s="10">
        <f t="shared" ref="H183:AA183" si="10">H182*H181/1000</f>
        <v>214250.67757009348</v>
      </c>
      <c r="I183" s="10">
        <f t="shared" si="10"/>
        <v>238056.30841121497</v>
      </c>
      <c r="J183" s="10">
        <f t="shared" si="10"/>
        <v>238056.30841121497</v>
      </c>
      <c r="K183" s="10">
        <f t="shared" si="10"/>
        <v>238056.30841121497</v>
      </c>
      <c r="L183" s="10">
        <f t="shared" si="10"/>
        <v>238056.30841121497</v>
      </c>
      <c r="M183" s="10">
        <f t="shared" si="10"/>
        <v>238056.30841121497</v>
      </c>
      <c r="N183" s="10">
        <f t="shared" si="10"/>
        <v>238056.30841121497</v>
      </c>
      <c r="O183" s="10">
        <f t="shared" si="10"/>
        <v>238056.30841121497</v>
      </c>
      <c r="P183" s="10">
        <f t="shared" si="10"/>
        <v>238056.30841121497</v>
      </c>
      <c r="Q183" s="10">
        <f t="shared" si="10"/>
        <v>238056.30841121497</v>
      </c>
      <c r="R183" s="10">
        <f t="shared" si="10"/>
        <v>238056.30841121497</v>
      </c>
      <c r="S183" s="10">
        <f t="shared" si="10"/>
        <v>238056.30841121497</v>
      </c>
      <c r="T183" s="10">
        <f t="shared" si="10"/>
        <v>238056.30841121497</v>
      </c>
      <c r="U183" s="10">
        <f t="shared" si="10"/>
        <v>238056.30841121497</v>
      </c>
      <c r="V183" s="10">
        <f t="shared" si="10"/>
        <v>238056.30841121497</v>
      </c>
      <c r="W183" s="10">
        <f t="shared" si="10"/>
        <v>238056.30841121497</v>
      </c>
      <c r="X183" s="10">
        <f t="shared" si="10"/>
        <v>190445.046728972</v>
      </c>
      <c r="Y183" s="10">
        <f t="shared" si="10"/>
        <v>142833.78504672903</v>
      </c>
      <c r="Z183" s="10">
        <f t="shared" si="10"/>
        <v>95222.523364486013</v>
      </c>
      <c r="AA183" s="10">
        <f t="shared" si="10"/>
        <v>47611.261682243014</v>
      </c>
      <c r="AB183" s="18"/>
    </row>
    <row r="184" spans="1:28" ht="10.5" x14ac:dyDescent="0.25">
      <c r="AB184" s="18"/>
    </row>
    <row r="185" spans="1:28" x14ac:dyDescent="0.2">
      <c r="A185" s="27" t="s">
        <v>230</v>
      </c>
      <c r="AB185" s="18"/>
    </row>
    <row r="186" spans="1:28" x14ac:dyDescent="0.2">
      <c r="A186" s="19" t="s">
        <v>221</v>
      </c>
      <c r="G186" s="30">
        <f t="shared" ref="G186:AA186" si="11">$B$49</f>
        <v>9.5</v>
      </c>
      <c r="H186" s="30">
        <f t="shared" si="11"/>
        <v>9.5</v>
      </c>
      <c r="I186" s="30">
        <f t="shared" si="11"/>
        <v>9.5</v>
      </c>
      <c r="J186" s="30">
        <f t="shared" si="11"/>
        <v>9.5</v>
      </c>
      <c r="K186" s="30">
        <f t="shared" si="11"/>
        <v>9.5</v>
      </c>
      <c r="L186" s="30">
        <f t="shared" si="11"/>
        <v>9.5</v>
      </c>
      <c r="M186" s="30">
        <f t="shared" si="11"/>
        <v>9.5</v>
      </c>
      <c r="N186" s="30">
        <f t="shared" si="11"/>
        <v>9.5</v>
      </c>
      <c r="O186" s="30">
        <f t="shared" si="11"/>
        <v>9.5</v>
      </c>
      <c r="P186" s="30">
        <f t="shared" si="11"/>
        <v>9.5</v>
      </c>
      <c r="Q186" s="30">
        <f t="shared" si="11"/>
        <v>9.5</v>
      </c>
      <c r="R186" s="30">
        <f t="shared" si="11"/>
        <v>9.5</v>
      </c>
      <c r="S186" s="30">
        <f t="shared" si="11"/>
        <v>9.5</v>
      </c>
      <c r="T186" s="30">
        <f t="shared" si="11"/>
        <v>9.5</v>
      </c>
      <c r="U186" s="30">
        <f t="shared" si="11"/>
        <v>9.5</v>
      </c>
      <c r="V186" s="30">
        <f t="shared" si="11"/>
        <v>9.5</v>
      </c>
      <c r="W186" s="30">
        <f t="shared" si="11"/>
        <v>9.5</v>
      </c>
      <c r="X186" s="30">
        <f t="shared" si="11"/>
        <v>9.5</v>
      </c>
      <c r="Y186" s="30">
        <f t="shared" si="11"/>
        <v>9.5</v>
      </c>
      <c r="Z186" s="30">
        <f t="shared" si="11"/>
        <v>9.5</v>
      </c>
      <c r="AA186" s="30">
        <f t="shared" si="11"/>
        <v>9.5</v>
      </c>
      <c r="AB186" s="18"/>
    </row>
    <row r="187" spans="1:28" x14ac:dyDescent="0.2">
      <c r="A187" s="19" t="s">
        <v>300</v>
      </c>
      <c r="F187" s="10"/>
      <c r="G187" s="10">
        <f>$F$53/$F$141</f>
        <v>10283.780934898523</v>
      </c>
      <c r="H187" s="10">
        <f t="shared" ref="H187:AA187" si="12">$F$53/$F$141</f>
        <v>10283.780934898523</v>
      </c>
      <c r="I187" s="10">
        <f t="shared" si="12"/>
        <v>10283.780934898523</v>
      </c>
      <c r="J187" s="10">
        <f t="shared" si="12"/>
        <v>10283.780934898523</v>
      </c>
      <c r="K187" s="10">
        <f t="shared" si="12"/>
        <v>10283.780934898523</v>
      </c>
      <c r="L187" s="10">
        <f t="shared" si="12"/>
        <v>10283.780934898523</v>
      </c>
      <c r="M187" s="10">
        <f t="shared" si="12"/>
        <v>10283.780934898523</v>
      </c>
      <c r="N187" s="10">
        <f t="shared" si="12"/>
        <v>10283.780934898523</v>
      </c>
      <c r="O187" s="10">
        <f t="shared" si="12"/>
        <v>10283.780934898523</v>
      </c>
      <c r="P187" s="10">
        <f t="shared" si="12"/>
        <v>10283.780934898523</v>
      </c>
      <c r="Q187" s="10">
        <f t="shared" si="12"/>
        <v>10283.780934898523</v>
      </c>
      <c r="R187" s="10">
        <f t="shared" si="12"/>
        <v>10283.780934898523</v>
      </c>
      <c r="S187" s="10">
        <f t="shared" si="12"/>
        <v>10283.780934898523</v>
      </c>
      <c r="T187" s="10">
        <f t="shared" si="12"/>
        <v>10283.780934898523</v>
      </c>
      <c r="U187" s="10">
        <f t="shared" si="12"/>
        <v>10283.780934898523</v>
      </c>
      <c r="V187" s="10">
        <f t="shared" si="12"/>
        <v>10283.780934898523</v>
      </c>
      <c r="W187" s="10">
        <f t="shared" si="12"/>
        <v>10283.780934898523</v>
      </c>
      <c r="X187" s="10">
        <f t="shared" si="12"/>
        <v>10283.780934898523</v>
      </c>
      <c r="Y187" s="10">
        <f t="shared" si="12"/>
        <v>10283.780934898523</v>
      </c>
      <c r="Z187" s="10">
        <f t="shared" si="12"/>
        <v>10283.780934898523</v>
      </c>
      <c r="AA187" s="10">
        <f t="shared" si="12"/>
        <v>10283.780934898523</v>
      </c>
      <c r="AB187" s="18"/>
    </row>
    <row r="188" spans="1:28" x14ac:dyDescent="0.2">
      <c r="A188" s="27" t="s">
        <v>127</v>
      </c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8"/>
    </row>
    <row r="189" spans="1:28" x14ac:dyDescent="0.2">
      <c r="A189" s="19" t="s">
        <v>78</v>
      </c>
      <c r="G189" s="10">
        <f t="shared" ref="G189:AA189" si="13">G186*$B$51*G45/1000</f>
        <v>98692.094249999995</v>
      </c>
      <c r="H189" s="10">
        <f t="shared" si="13"/>
        <v>118430.51310000001</v>
      </c>
      <c r="I189" s="10">
        <f t="shared" si="13"/>
        <v>131589.459</v>
      </c>
      <c r="J189" s="10">
        <f t="shared" si="13"/>
        <v>131589.459</v>
      </c>
      <c r="K189" s="10">
        <f t="shared" si="13"/>
        <v>131589.459</v>
      </c>
      <c r="L189" s="10">
        <f t="shared" si="13"/>
        <v>131589.459</v>
      </c>
      <c r="M189" s="10">
        <f t="shared" si="13"/>
        <v>131589.459</v>
      </c>
      <c r="N189" s="10">
        <f t="shared" si="13"/>
        <v>131589.459</v>
      </c>
      <c r="O189" s="10">
        <f t="shared" si="13"/>
        <v>131589.459</v>
      </c>
      <c r="P189" s="10">
        <f t="shared" si="13"/>
        <v>131589.459</v>
      </c>
      <c r="Q189" s="10">
        <f t="shared" si="13"/>
        <v>131589.459</v>
      </c>
      <c r="R189" s="10">
        <f t="shared" si="13"/>
        <v>131589.459</v>
      </c>
      <c r="S189" s="10">
        <f t="shared" si="13"/>
        <v>131589.459</v>
      </c>
      <c r="T189" s="10">
        <f t="shared" si="13"/>
        <v>131589.459</v>
      </c>
      <c r="U189" s="10">
        <f t="shared" si="13"/>
        <v>131589.459</v>
      </c>
      <c r="V189" s="10">
        <f t="shared" si="13"/>
        <v>131589.459</v>
      </c>
      <c r="W189" s="10">
        <f t="shared" si="13"/>
        <v>131589.459</v>
      </c>
      <c r="X189" s="10">
        <f t="shared" si="13"/>
        <v>105271.5672</v>
      </c>
      <c r="Y189" s="10">
        <f t="shared" si="13"/>
        <v>78953.675400000007</v>
      </c>
      <c r="Z189" s="10">
        <f t="shared" si="13"/>
        <v>52635.78360000001</v>
      </c>
      <c r="AA189" s="10">
        <f t="shared" si="13"/>
        <v>26317.891800000009</v>
      </c>
      <c r="AB189" s="18"/>
    </row>
    <row r="190" spans="1:28" x14ac:dyDescent="0.2">
      <c r="A190" s="19" t="s">
        <v>81</v>
      </c>
      <c r="G190" s="10">
        <f>$B$52*G45*G187/$B$143/1000</f>
        <v>144.02098813967697</v>
      </c>
      <c r="H190" s="10">
        <f t="shared" ref="H190:AA190" si="14">$B$52*H45*H187/$B$143/1000</f>
        <v>172.82518576761237</v>
      </c>
      <c r="I190" s="10">
        <f t="shared" si="14"/>
        <v>192.02798418623595</v>
      </c>
      <c r="J190" s="10">
        <f t="shared" si="14"/>
        <v>192.02798418623595</v>
      </c>
      <c r="K190" s="10">
        <f t="shared" si="14"/>
        <v>192.02798418623595</v>
      </c>
      <c r="L190" s="10">
        <f t="shared" si="14"/>
        <v>192.02798418623595</v>
      </c>
      <c r="M190" s="10">
        <f t="shared" si="14"/>
        <v>192.02798418623595</v>
      </c>
      <c r="N190" s="10">
        <f t="shared" si="14"/>
        <v>192.02798418623595</v>
      </c>
      <c r="O190" s="10">
        <f t="shared" si="14"/>
        <v>192.02798418623595</v>
      </c>
      <c r="P190" s="10">
        <f t="shared" si="14"/>
        <v>192.02798418623595</v>
      </c>
      <c r="Q190" s="10">
        <f t="shared" si="14"/>
        <v>192.02798418623595</v>
      </c>
      <c r="R190" s="10">
        <f t="shared" si="14"/>
        <v>192.02798418623595</v>
      </c>
      <c r="S190" s="10">
        <f t="shared" si="14"/>
        <v>192.02798418623595</v>
      </c>
      <c r="T190" s="10">
        <f t="shared" si="14"/>
        <v>192.02798418623595</v>
      </c>
      <c r="U190" s="10">
        <f t="shared" si="14"/>
        <v>192.02798418623595</v>
      </c>
      <c r="V190" s="10">
        <f t="shared" si="14"/>
        <v>192.02798418623595</v>
      </c>
      <c r="W190" s="10">
        <f t="shared" si="14"/>
        <v>192.02798418623595</v>
      </c>
      <c r="X190" s="10">
        <f t="shared" si="14"/>
        <v>153.62238734898875</v>
      </c>
      <c r="Y190" s="10">
        <f t="shared" si="14"/>
        <v>115.21679051174159</v>
      </c>
      <c r="Z190" s="10">
        <f t="shared" si="14"/>
        <v>76.811193674494405</v>
      </c>
      <c r="AA190" s="10">
        <f t="shared" si="14"/>
        <v>38.405596837247209</v>
      </c>
      <c r="AB190" s="18"/>
    </row>
    <row r="191" spans="1:28" s="58" customFormat="1" x14ac:dyDescent="0.2">
      <c r="A191" s="19" t="s">
        <v>82</v>
      </c>
      <c r="G191" s="14">
        <f t="shared" ref="G191:AA191" si="15">$B$54*$B$55*G45/$B$6/1000</f>
        <v>5.7419158878504675</v>
      </c>
      <c r="H191" s="14">
        <f t="shared" si="15"/>
        <v>6.8902990654205603</v>
      </c>
      <c r="I191" s="14">
        <f t="shared" si="15"/>
        <v>7.6558878504672894</v>
      </c>
      <c r="J191" s="14">
        <f t="shared" si="15"/>
        <v>7.6558878504672894</v>
      </c>
      <c r="K191" s="14">
        <f t="shared" si="15"/>
        <v>7.6558878504672894</v>
      </c>
      <c r="L191" s="14">
        <f t="shared" si="15"/>
        <v>7.6558878504672894</v>
      </c>
      <c r="M191" s="14">
        <f t="shared" si="15"/>
        <v>7.6558878504672894</v>
      </c>
      <c r="N191" s="14">
        <f t="shared" si="15"/>
        <v>7.6558878504672894</v>
      </c>
      <c r="O191" s="14">
        <f t="shared" si="15"/>
        <v>7.6558878504672894</v>
      </c>
      <c r="P191" s="14">
        <f t="shared" si="15"/>
        <v>7.6558878504672894</v>
      </c>
      <c r="Q191" s="14">
        <f t="shared" si="15"/>
        <v>7.6558878504672894</v>
      </c>
      <c r="R191" s="14">
        <f t="shared" si="15"/>
        <v>7.6558878504672894</v>
      </c>
      <c r="S191" s="14">
        <f t="shared" si="15"/>
        <v>7.6558878504672894</v>
      </c>
      <c r="T191" s="14">
        <f t="shared" si="15"/>
        <v>7.6558878504672894</v>
      </c>
      <c r="U191" s="14">
        <f t="shared" si="15"/>
        <v>7.6558878504672894</v>
      </c>
      <c r="V191" s="14">
        <f t="shared" si="15"/>
        <v>7.6558878504672894</v>
      </c>
      <c r="W191" s="14">
        <f t="shared" si="15"/>
        <v>7.6558878504672894</v>
      </c>
      <c r="X191" s="14">
        <f t="shared" si="15"/>
        <v>6.124710280373832</v>
      </c>
      <c r="Y191" s="14">
        <f t="shared" si="15"/>
        <v>4.5935327102803747</v>
      </c>
      <c r="Z191" s="14">
        <f t="shared" si="15"/>
        <v>3.0623551401869169</v>
      </c>
      <c r="AA191" s="14">
        <f t="shared" si="15"/>
        <v>1.5311775700934585</v>
      </c>
      <c r="AB191" s="59"/>
    </row>
    <row r="192" spans="1:28" x14ac:dyDescent="0.2">
      <c r="A192" s="19" t="s">
        <v>99</v>
      </c>
      <c r="G192" s="10">
        <f>SUMPRODUCT($B$57:$B$69,$B$71:$B$83)*G45*'Gia NH3'!$B$4/1000</f>
        <v>533.24228097000002</v>
      </c>
      <c r="H192" s="10">
        <f>SUMPRODUCT($B$57:$B$69,$B$71:$B$83)*H45*'Gia NH3'!$B$4/1000</f>
        <v>639.89073716400014</v>
      </c>
      <c r="I192" s="10">
        <f>SUMPRODUCT($B$57:$B$69,$B$71:$B$83)*I45*'Gia NH3'!$B$4/1000</f>
        <v>710.98970796000015</v>
      </c>
      <c r="J192" s="10">
        <f>SUMPRODUCT($B$57:$B$69,$B$71:$B$83)*J45*'Gia NH3'!$B$4/1000</f>
        <v>710.98970796000015</v>
      </c>
      <c r="K192" s="10">
        <f>SUMPRODUCT($B$57:$B$69,$B$71:$B$83)*K45*'Gia NH3'!$B$4/1000</f>
        <v>710.98970796000015</v>
      </c>
      <c r="L192" s="10">
        <f>SUMPRODUCT($B$57:$B$69,$B$71:$B$83)*L45*'Gia NH3'!$B$4/1000</f>
        <v>710.98970796000015</v>
      </c>
      <c r="M192" s="10">
        <f>SUMPRODUCT($B$57:$B$69,$B$71:$B$83)*M45*'Gia NH3'!$B$4/1000</f>
        <v>710.98970796000015</v>
      </c>
      <c r="N192" s="10">
        <f>SUMPRODUCT($B$57:$B$69,$B$71:$B$83)*N45*'Gia NH3'!$B$4/1000</f>
        <v>710.98970796000015</v>
      </c>
      <c r="O192" s="10">
        <f>SUMPRODUCT($B$57:$B$69,$B$71:$B$83)*O45*'Gia NH3'!$B$4/1000</f>
        <v>710.98970796000015</v>
      </c>
      <c r="P192" s="10">
        <f>SUMPRODUCT($B$57:$B$69,$B$71:$B$83)*P45*'Gia NH3'!$B$4/1000</f>
        <v>710.98970796000015</v>
      </c>
      <c r="Q192" s="10">
        <f>SUMPRODUCT($B$57:$B$69,$B$71:$B$83)*Q45*'Gia NH3'!$B$4/1000</f>
        <v>710.98970796000015</v>
      </c>
      <c r="R192" s="10">
        <f>SUMPRODUCT($B$57:$B$69,$B$71:$B$83)*R45*'Gia NH3'!$B$4/1000</f>
        <v>710.98970796000015</v>
      </c>
      <c r="S192" s="10">
        <f>SUMPRODUCT($B$57:$B$69,$B$71:$B$83)*S45*'Gia NH3'!$B$4/1000</f>
        <v>710.98970796000015</v>
      </c>
      <c r="T192" s="10">
        <f>SUMPRODUCT($B$57:$B$69,$B$71:$B$83)*T45*'Gia NH3'!$B$4/1000</f>
        <v>710.98970796000015</v>
      </c>
      <c r="U192" s="10">
        <f>SUMPRODUCT($B$57:$B$69,$B$71:$B$83)*U45*'Gia NH3'!$B$4/1000</f>
        <v>710.98970796000015</v>
      </c>
      <c r="V192" s="10">
        <f>SUMPRODUCT($B$57:$B$69,$B$71:$B$83)*V45*'Gia NH3'!$B$4/1000</f>
        <v>710.98970796000015</v>
      </c>
      <c r="W192" s="10">
        <f>SUMPRODUCT($B$57:$B$69,$B$71:$B$83)*W45*'Gia NH3'!$B$4/1000</f>
        <v>710.98970796000015</v>
      </c>
      <c r="X192" s="10">
        <f>SUMPRODUCT($B$57:$B$69,$B$71:$B$83)*X45*'Gia NH3'!$B$4/1000</f>
        <v>568.79176636800003</v>
      </c>
      <c r="Y192" s="10">
        <f>SUMPRODUCT($B$57:$B$69,$B$71:$B$83)*Y45*'Gia NH3'!$B$4/1000</f>
        <v>426.59382477600013</v>
      </c>
      <c r="Z192" s="10">
        <f>SUMPRODUCT($B$57:$B$69,$B$71:$B$83)*Z45*'Gia NH3'!$B$4/1000</f>
        <v>284.39588318400007</v>
      </c>
      <c r="AA192" s="10">
        <f>SUMPRODUCT($B$57:$B$69,$B$71:$B$83)*AA45*'Gia NH3'!$B$4/1000</f>
        <v>142.19794159200003</v>
      </c>
      <c r="AB192" s="18"/>
    </row>
    <row r="193" spans="1:28" x14ac:dyDescent="0.2">
      <c r="A193" s="19" t="s">
        <v>100</v>
      </c>
      <c r="G193" s="10">
        <f>SUMPRODUCT($B$85:$B$98,$B$100:$B$113)*G45*'Gia NH3'!$B$4/1000</f>
        <v>670.02669995625013</v>
      </c>
      <c r="H193" s="10">
        <f>SUMPRODUCT($B$85:$B$98,$B$100:$B$113)*H45*'Gia NH3'!$B$4/1000</f>
        <v>804.03203994750015</v>
      </c>
      <c r="I193" s="10">
        <f>SUMPRODUCT($B$85:$B$98,$B$100:$B$113)*I45*'Gia NH3'!$B$4/1000</f>
        <v>893.36893327500013</v>
      </c>
      <c r="J193" s="10">
        <f>SUMPRODUCT($B$85:$B$98,$B$100:$B$113)*J45*'Gia NH3'!$B$4/1000</f>
        <v>893.36893327500013</v>
      </c>
      <c r="K193" s="10">
        <f>SUMPRODUCT($B$85:$B$98,$B$100:$B$113)*K45*'Gia NH3'!$B$4/1000</f>
        <v>893.36893327500013</v>
      </c>
      <c r="L193" s="10">
        <f>SUMPRODUCT($B$85:$B$98,$B$100:$B$113)*L45*'Gia NH3'!$B$4/1000</f>
        <v>893.36893327500013</v>
      </c>
      <c r="M193" s="10">
        <f>SUMPRODUCT($B$85:$B$98,$B$100:$B$113)*M45*'Gia NH3'!$B$4/1000</f>
        <v>893.36893327500013</v>
      </c>
      <c r="N193" s="10">
        <f>SUMPRODUCT($B$85:$B$98,$B$100:$B$113)*N45*'Gia NH3'!$B$4/1000</f>
        <v>893.36893327500013</v>
      </c>
      <c r="O193" s="10">
        <f>SUMPRODUCT($B$85:$B$98,$B$100:$B$113)*O45*'Gia NH3'!$B$4/1000</f>
        <v>893.36893327500013</v>
      </c>
      <c r="P193" s="10">
        <f>SUMPRODUCT($B$85:$B$98,$B$100:$B$113)*P45*'Gia NH3'!$B$4/1000</f>
        <v>893.36893327500013</v>
      </c>
      <c r="Q193" s="10">
        <f>SUMPRODUCT($B$85:$B$98,$B$100:$B$113)*Q45*'Gia NH3'!$B$4/1000</f>
        <v>893.36893327500013</v>
      </c>
      <c r="R193" s="10">
        <f>SUMPRODUCT($B$85:$B$98,$B$100:$B$113)*R45*'Gia NH3'!$B$4/1000</f>
        <v>893.36893327500013</v>
      </c>
      <c r="S193" s="10">
        <f>SUMPRODUCT($B$85:$B$98,$B$100:$B$113)*S45*'Gia NH3'!$B$4/1000</f>
        <v>893.36893327500013</v>
      </c>
      <c r="T193" s="10">
        <f>SUMPRODUCT($B$85:$B$98,$B$100:$B$113)*T45*'Gia NH3'!$B$4/1000</f>
        <v>893.36893327500013</v>
      </c>
      <c r="U193" s="10">
        <f>SUMPRODUCT($B$85:$B$98,$B$100:$B$113)*U45*'Gia NH3'!$B$4/1000</f>
        <v>893.36893327500013</v>
      </c>
      <c r="V193" s="10">
        <f>SUMPRODUCT($B$85:$B$98,$B$100:$B$113)*V45*'Gia NH3'!$B$4/1000</f>
        <v>893.36893327500013</v>
      </c>
      <c r="W193" s="10">
        <f>SUMPRODUCT($B$85:$B$98,$B$100:$B$113)*W45*'Gia NH3'!$B$4/1000</f>
        <v>893.36893327500013</v>
      </c>
      <c r="X193" s="10">
        <f>SUMPRODUCT($B$85:$B$98,$B$100:$B$113)*X45*'Gia NH3'!$B$4/1000</f>
        <v>714.69514662000006</v>
      </c>
      <c r="Y193" s="10">
        <f>SUMPRODUCT($B$85:$B$98,$B$100:$B$113)*Y45*'Gia NH3'!$B$4/1000</f>
        <v>536.0213599650001</v>
      </c>
      <c r="Z193" s="10">
        <f>SUMPRODUCT($B$85:$B$98,$B$100:$B$113)*Z45*'Gia NH3'!$B$4/1000</f>
        <v>357.34757331000009</v>
      </c>
      <c r="AA193" s="10">
        <f>SUMPRODUCT($B$85:$B$98,$B$100:$B$113)*AA45*'Gia NH3'!$B$4/1000</f>
        <v>178.67378665500007</v>
      </c>
      <c r="AB193" s="18"/>
    </row>
    <row r="194" spans="1:28" x14ac:dyDescent="0.2">
      <c r="A194" s="19" t="s">
        <v>128</v>
      </c>
      <c r="G194" s="10">
        <f t="shared" ref="G194:AA194" si="16">G114*$B$117*$B$119*(1+$B$120)^G1/1000</f>
        <v>1887.13544394375</v>
      </c>
      <c r="H194" s="10">
        <f t="shared" si="16"/>
        <v>2480.9592623582812</v>
      </c>
      <c r="I194" s="10">
        <f t="shared" si="16"/>
        <v>2605.0072254761953</v>
      </c>
      <c r="J194" s="10">
        <f t="shared" si="16"/>
        <v>2735.2575867500054</v>
      </c>
      <c r="K194" s="10">
        <f t="shared" si="16"/>
        <v>2872.0204660875056</v>
      </c>
      <c r="L194" s="10">
        <f t="shared" si="16"/>
        <v>3015.6214893918809</v>
      </c>
      <c r="M194" s="10">
        <f t="shared" si="16"/>
        <v>3166.4025638614753</v>
      </c>
      <c r="N194" s="10">
        <f t="shared" si="16"/>
        <v>3324.7226920545481</v>
      </c>
      <c r="O194" s="10">
        <f t="shared" si="16"/>
        <v>3490.9588266572764</v>
      </c>
      <c r="P194" s="10">
        <f t="shared" si="16"/>
        <v>3665.5067679901395</v>
      </c>
      <c r="Q194" s="10">
        <f t="shared" si="16"/>
        <v>3848.7821063896477</v>
      </c>
      <c r="R194" s="10">
        <f t="shared" si="16"/>
        <v>4041.2212117091294</v>
      </c>
      <c r="S194" s="10">
        <f t="shared" si="16"/>
        <v>4243.2822722945866</v>
      </c>
      <c r="T194" s="10">
        <f t="shared" si="16"/>
        <v>4455.4463859093157</v>
      </c>
      <c r="U194" s="10">
        <f t="shared" si="16"/>
        <v>4678.2187052047821</v>
      </c>
      <c r="V194" s="10">
        <f t="shared" si="16"/>
        <v>4912.1296404650211</v>
      </c>
      <c r="W194" s="10">
        <f t="shared" si="16"/>
        <v>5157.7361224882716</v>
      </c>
      <c r="X194" s="10">
        <f t="shared" si="16"/>
        <v>4289.6023196932165</v>
      </c>
      <c r="Y194" s="10">
        <f t="shared" si="16"/>
        <v>3378.0618267584082</v>
      </c>
      <c r="Z194" s="10">
        <f t="shared" si="16"/>
        <v>2857.2772951331531</v>
      </c>
      <c r="AA194" s="10">
        <f t="shared" si="16"/>
        <v>1655.2502951116198</v>
      </c>
      <c r="AB194" s="18"/>
    </row>
    <row r="195" spans="1:28" x14ac:dyDescent="0.2">
      <c r="A195" s="27" t="s">
        <v>133</v>
      </c>
      <c r="AB195" s="18"/>
    </row>
    <row r="196" spans="1:28" x14ac:dyDescent="0.2">
      <c r="A196" s="19" t="s">
        <v>118</v>
      </c>
      <c r="G196" s="10">
        <f>'Financial Model'!G281/'Financial Model'!G154</f>
        <v>5624.4375</v>
      </c>
      <c r="H196" s="10">
        <f>'Financial Model'!H281/'Financial Model'!H154</f>
        <v>6749.3250000000007</v>
      </c>
      <c r="I196" s="10">
        <f>'Financial Model'!I281/'Financial Model'!I154</f>
        <v>7499.2499999999991</v>
      </c>
      <c r="J196" s="10">
        <f>'Financial Model'!J281/'Financial Model'!J154</f>
        <v>7499.25</v>
      </c>
      <c r="K196" s="10">
        <f>'Financial Model'!K281/'Financial Model'!K154</f>
        <v>7499.2499999999991</v>
      </c>
      <c r="L196" s="10">
        <f>'Financial Model'!L281/'Financial Model'!L154</f>
        <v>4999.5</v>
      </c>
      <c r="M196" s="10">
        <f>'Financial Model'!M281/'Financial Model'!M154</f>
        <v>4999.5000000000018</v>
      </c>
      <c r="N196" s="10">
        <f>'Financial Model'!N281/'Financial Model'!N154</f>
        <v>4999.5000000000009</v>
      </c>
      <c r="O196" s="10">
        <f>'Financial Model'!O281/'Financial Model'!O154</f>
        <v>4999.5000000000009</v>
      </c>
      <c r="P196" s="10">
        <f>'Financial Model'!P281/'Financial Model'!P154</f>
        <v>4999.5</v>
      </c>
      <c r="Q196" s="10">
        <f>'Financial Model'!Q281/'Financial Model'!Q154</f>
        <v>2499.75</v>
      </c>
      <c r="R196" s="10">
        <f>'Financial Model'!R281/'Financial Model'!R154</f>
        <v>2499.7500000000005</v>
      </c>
      <c r="S196" s="10">
        <f>'Financial Model'!S281/'Financial Model'!S154</f>
        <v>2499.75</v>
      </c>
      <c r="T196" s="10">
        <f>'Financial Model'!T281/'Financial Model'!T154</f>
        <v>2499.7500000000005</v>
      </c>
      <c r="U196" s="10">
        <f>'Financial Model'!U281/'Financial Model'!U154</f>
        <v>2499.7500000000005</v>
      </c>
      <c r="V196" s="10">
        <f>'Financial Model'!V281/'Financial Model'!V154</f>
        <v>2499.75</v>
      </c>
      <c r="W196" s="10">
        <f>'Financial Model'!W281/'Financial Model'!W154</f>
        <v>2499.75</v>
      </c>
      <c r="X196" s="10">
        <f>'Financial Model'!X281/'Financial Model'!X154</f>
        <v>1999.8000000000002</v>
      </c>
      <c r="Y196" s="10">
        <f>'Financial Model'!Y281/'Financial Model'!Y154</f>
        <v>1499.8500000000004</v>
      </c>
      <c r="Z196" s="10">
        <f>'Financial Model'!Z281/'Financial Model'!Z154</f>
        <v>999.90000000000009</v>
      </c>
      <c r="AA196" s="10">
        <f>'Financial Model'!AA281/'Financial Model'!AA154</f>
        <v>499.95000000000027</v>
      </c>
      <c r="AB196" s="18"/>
    </row>
    <row r="197" spans="1:28" x14ac:dyDescent="0.2">
      <c r="A197" s="19" t="s">
        <v>143</v>
      </c>
      <c r="G197" s="10">
        <f t="shared" ref="G197:AA197" si="17">$B$115*$B$118*$B$119*(1+$B$120)^G1/1000</f>
        <v>457.92982462500009</v>
      </c>
      <c r="H197" s="10">
        <f t="shared" si="17"/>
        <v>480.82631585625001</v>
      </c>
      <c r="I197" s="10">
        <f t="shared" si="17"/>
        <v>504.86763164906256</v>
      </c>
      <c r="J197" s="10">
        <f t="shared" si="17"/>
        <v>530.1110132315157</v>
      </c>
      <c r="K197" s="10">
        <f t="shared" si="17"/>
        <v>556.61656389309155</v>
      </c>
      <c r="L197" s="10">
        <f t="shared" si="17"/>
        <v>584.44739208774604</v>
      </c>
      <c r="M197" s="10">
        <f t="shared" si="17"/>
        <v>613.66976169213342</v>
      </c>
      <c r="N197" s="10">
        <f t="shared" si="17"/>
        <v>644.35324977673997</v>
      </c>
      <c r="O197" s="10">
        <f t="shared" si="17"/>
        <v>676.57091226557714</v>
      </c>
      <c r="P197" s="10">
        <f t="shared" si="17"/>
        <v>710.39945787885574</v>
      </c>
      <c r="Q197" s="10">
        <f t="shared" si="17"/>
        <v>745.91943077279882</v>
      </c>
      <c r="R197" s="10">
        <f t="shared" si="17"/>
        <v>783.21540231143865</v>
      </c>
      <c r="S197" s="10">
        <f t="shared" si="17"/>
        <v>822.37617242701072</v>
      </c>
      <c r="T197" s="10">
        <f t="shared" si="17"/>
        <v>863.49498104836118</v>
      </c>
      <c r="U197" s="10">
        <f t="shared" si="17"/>
        <v>906.66973010077936</v>
      </c>
      <c r="V197" s="10">
        <f t="shared" si="17"/>
        <v>952.00321660581824</v>
      </c>
      <c r="W197" s="10">
        <f t="shared" si="17"/>
        <v>999.6033774361091</v>
      </c>
      <c r="X197" s="10">
        <f t="shared" si="17"/>
        <v>1049.5835463079145</v>
      </c>
      <c r="Y197" s="10">
        <f t="shared" si="17"/>
        <v>1102.0627236233104</v>
      </c>
      <c r="Z197" s="10">
        <f t="shared" si="17"/>
        <v>1157.165859804476</v>
      </c>
      <c r="AA197" s="10">
        <f t="shared" si="17"/>
        <v>1215.0241527946996</v>
      </c>
      <c r="AB197" s="18"/>
    </row>
    <row r="198" spans="1:28" x14ac:dyDescent="0.2">
      <c r="A198" s="19" t="s">
        <v>119</v>
      </c>
      <c r="G198" s="10">
        <f t="shared" ref="G198:AA198" si="18">$B$123*($B$125+$B$126)/1000</f>
        <v>588.88</v>
      </c>
      <c r="H198" s="10">
        <f t="shared" si="18"/>
        <v>588.88</v>
      </c>
      <c r="I198" s="10">
        <f t="shared" si="18"/>
        <v>588.88</v>
      </c>
      <c r="J198" s="10">
        <f t="shared" si="18"/>
        <v>588.88</v>
      </c>
      <c r="K198" s="10">
        <f t="shared" si="18"/>
        <v>588.88</v>
      </c>
      <c r="L198" s="10">
        <f t="shared" si="18"/>
        <v>588.88</v>
      </c>
      <c r="M198" s="10">
        <f t="shared" si="18"/>
        <v>588.88</v>
      </c>
      <c r="N198" s="10">
        <f t="shared" si="18"/>
        <v>588.88</v>
      </c>
      <c r="O198" s="10">
        <f t="shared" si="18"/>
        <v>588.88</v>
      </c>
      <c r="P198" s="10">
        <f t="shared" si="18"/>
        <v>588.88</v>
      </c>
      <c r="Q198" s="10">
        <f t="shared" si="18"/>
        <v>588.88</v>
      </c>
      <c r="R198" s="10">
        <f t="shared" si="18"/>
        <v>588.88</v>
      </c>
      <c r="S198" s="10">
        <f t="shared" si="18"/>
        <v>588.88</v>
      </c>
      <c r="T198" s="10">
        <f t="shared" si="18"/>
        <v>588.88</v>
      </c>
      <c r="U198" s="10">
        <f t="shared" si="18"/>
        <v>588.88</v>
      </c>
      <c r="V198" s="10">
        <f t="shared" si="18"/>
        <v>588.88</v>
      </c>
      <c r="W198" s="10">
        <f t="shared" si="18"/>
        <v>588.88</v>
      </c>
      <c r="X198" s="10">
        <f t="shared" si="18"/>
        <v>588.88</v>
      </c>
      <c r="Y198" s="10">
        <f t="shared" si="18"/>
        <v>588.88</v>
      </c>
      <c r="Z198" s="10">
        <f t="shared" si="18"/>
        <v>588.88</v>
      </c>
      <c r="AA198" s="10">
        <f t="shared" si="18"/>
        <v>588.88</v>
      </c>
      <c r="AB198" s="18"/>
    </row>
    <row r="199" spans="1:28" x14ac:dyDescent="0.2">
      <c r="A199" s="19" t="s">
        <v>121</v>
      </c>
      <c r="G199" s="10">
        <f>'Financial Model'!$B$258*($B128+$B129)/2/$F$142</f>
        <v>2442.8131089531184</v>
      </c>
      <c r="H199" s="10">
        <f>'Financial Model'!$B$258*($B128+$B129)/2/$F$142</f>
        <v>2442.8131089531184</v>
      </c>
      <c r="I199" s="10">
        <f>'Financial Model'!$B$258*($B128+$B129)/2/$F$142</f>
        <v>2442.8131089531184</v>
      </c>
      <c r="J199" s="10">
        <f>'Financial Model'!$B$258*($B128+$B129)/2/$F$142</f>
        <v>2442.8131089531184</v>
      </c>
      <c r="K199" s="10">
        <f>'Financial Model'!$B$258*($B128+$B129)/2/$F$142</f>
        <v>2442.8131089531184</v>
      </c>
      <c r="L199" s="10">
        <f>'Financial Model'!$B$258*($B128+$B129)/2/$F$142</f>
        <v>2442.8131089531184</v>
      </c>
      <c r="M199" s="10">
        <f>'Financial Model'!$B$258*($B128+$B129)/2/$F$142</f>
        <v>2442.8131089531184</v>
      </c>
      <c r="N199" s="10">
        <f>'Financial Model'!$B$258*($B128+$B129)/2/$F$142</f>
        <v>2442.8131089531184</v>
      </c>
      <c r="O199" s="10">
        <f>'Financial Model'!$B$258*($B128+$B129)/2/$F$142</f>
        <v>2442.8131089531184</v>
      </c>
      <c r="P199" s="10">
        <f>'Financial Model'!$B$258*($B128+$B129)/2/$F$142</f>
        <v>2442.8131089531184</v>
      </c>
      <c r="Q199" s="10">
        <f>'Financial Model'!$B$258*($B128+$B129)/2/$F$142</f>
        <v>2442.8131089531184</v>
      </c>
      <c r="R199" s="10">
        <f>'Financial Model'!$B$258*($B128+$B129)/2/$F$142</f>
        <v>2442.8131089531184</v>
      </c>
      <c r="S199" s="10">
        <f>'Financial Model'!$B$258*($B128+$B129)/2/$F$142</f>
        <v>2442.8131089531184</v>
      </c>
      <c r="T199" s="10">
        <f>'Financial Model'!$B$258*($B128+$B129)/2/$F$142</f>
        <v>2442.8131089531184</v>
      </c>
      <c r="U199" s="10">
        <f>'Financial Model'!$B$258*($B128+$B129)/2/$F$142</f>
        <v>2442.8131089531184</v>
      </c>
      <c r="V199" s="10">
        <f>'Financial Model'!$B$258*($B128+$B129)/2/$F$142</f>
        <v>2442.8131089531184</v>
      </c>
      <c r="W199" s="10">
        <f>'Financial Model'!$B$258*($B128+$B129)/2/$F$142</f>
        <v>2442.8131089531184</v>
      </c>
      <c r="X199" s="10">
        <f>'Financial Model'!$B$258*($B128+$B129)/2/$F$142</f>
        <v>2442.8131089531184</v>
      </c>
      <c r="Y199" s="10">
        <f>'Financial Model'!$B$258*($B128+$B129)/2/$F$142</f>
        <v>2442.8131089531184</v>
      </c>
      <c r="Z199" s="10">
        <f>'Financial Model'!$B$258*($B128+$B129)/2/$F$142</f>
        <v>2442.8131089531184</v>
      </c>
      <c r="AA199" s="10">
        <f>'Financial Model'!$B$258*($B128+$B129)/2/$F$142</f>
        <v>2442.8131089531184</v>
      </c>
      <c r="AB199" s="18"/>
    </row>
    <row r="200" spans="1:28" x14ac:dyDescent="0.2">
      <c r="A200" s="19" t="s">
        <v>122</v>
      </c>
      <c r="G200" s="10">
        <f>'Financial Model'!$B$258*$B130/$F$142</f>
        <v>257.13822199506507</v>
      </c>
      <c r="H200" s="10">
        <f>'Financial Model'!$B$258*$B130/$F$142</f>
        <v>257.13822199506507</v>
      </c>
      <c r="I200" s="10">
        <f>'Financial Model'!$B$258*$B130/$F$142</f>
        <v>257.13822199506507</v>
      </c>
      <c r="J200" s="10">
        <f>'Financial Model'!$B$258*$B130/$F$142</f>
        <v>257.13822199506507</v>
      </c>
      <c r="K200" s="10">
        <f>'Financial Model'!$B$258*$B130/$F$142</f>
        <v>257.13822199506507</v>
      </c>
      <c r="L200" s="10">
        <f>'Financial Model'!$B$258*$B130/$F$142</f>
        <v>257.13822199506507</v>
      </c>
      <c r="M200" s="10">
        <f>'Financial Model'!$B$258*$B130/$F$142</f>
        <v>257.13822199506507</v>
      </c>
      <c r="N200" s="10">
        <f>'Financial Model'!$B$258*$B130/$F$142</f>
        <v>257.13822199506507</v>
      </c>
      <c r="O200" s="10">
        <f>'Financial Model'!$B$258*$B130/$F$142</f>
        <v>257.13822199506507</v>
      </c>
      <c r="P200" s="10">
        <f>'Financial Model'!$B$258*$B130/$F$142</f>
        <v>257.13822199506507</v>
      </c>
      <c r="Q200" s="10">
        <f>'Financial Model'!$B$258*$B130/$F$142</f>
        <v>257.13822199506507</v>
      </c>
      <c r="R200" s="10">
        <f>'Financial Model'!$B$258*$B130/$F$142</f>
        <v>257.13822199506507</v>
      </c>
      <c r="S200" s="10">
        <f>'Financial Model'!$B$258*$B130/$F$142</f>
        <v>257.13822199506507</v>
      </c>
      <c r="T200" s="10">
        <f>'Financial Model'!$B$258*$B130/$F$142</f>
        <v>257.13822199506507</v>
      </c>
      <c r="U200" s="10">
        <f>'Financial Model'!$B$258*$B130/$F$142</f>
        <v>257.13822199506507</v>
      </c>
      <c r="V200" s="10">
        <f>'Financial Model'!$B$258*$B130/$F$142</f>
        <v>257.13822199506507</v>
      </c>
      <c r="W200" s="10">
        <f>'Financial Model'!$B$258*$B130/$F$142</f>
        <v>257.13822199506507</v>
      </c>
      <c r="X200" s="10">
        <f>'Financial Model'!$B$258*$B130/$F$142</f>
        <v>257.13822199506507</v>
      </c>
      <c r="Y200" s="10">
        <f>'Financial Model'!$B$258*$B130/$F$142</f>
        <v>257.13822199506507</v>
      </c>
      <c r="Z200" s="10">
        <f>'Financial Model'!$B$258*$B130/$F$142</f>
        <v>257.13822199506507</v>
      </c>
      <c r="AA200" s="10">
        <f>'Financial Model'!$B$258*$B130/$F$142</f>
        <v>257.13822199506507</v>
      </c>
      <c r="AB200" s="18"/>
    </row>
    <row r="201" spans="1:28" x14ac:dyDescent="0.2">
      <c r="A201" s="19" t="s">
        <v>123</v>
      </c>
      <c r="G201" s="10">
        <f>'Financial Model'!$B$258*$B131/$F$142*'Gia NH3'!$B$4</f>
        <v>269.99513309481836</v>
      </c>
      <c r="H201" s="10">
        <f>'Financial Model'!$B$258*$B131/$F$142*'Gia NH3'!$B$4</f>
        <v>269.99513309481836</v>
      </c>
      <c r="I201" s="10">
        <f>'Financial Model'!$B$258*$B131/$F$142*'Gia NH3'!$B$4</f>
        <v>269.99513309481836</v>
      </c>
      <c r="J201" s="10">
        <f>'Financial Model'!$B$258*$B131/$F$142*'Gia NH3'!$B$4</f>
        <v>269.99513309481836</v>
      </c>
      <c r="K201" s="10">
        <f>'Financial Model'!$B$258*$B131/$F$142*'Gia NH3'!$B$4</f>
        <v>269.99513309481836</v>
      </c>
      <c r="L201" s="10">
        <f>'Financial Model'!$B$258*$B131/$F$142*'Gia NH3'!$B$4</f>
        <v>269.99513309481836</v>
      </c>
      <c r="M201" s="10">
        <f>'Financial Model'!$B$258*$B131/$F$142*'Gia NH3'!$B$4</f>
        <v>269.99513309481836</v>
      </c>
      <c r="N201" s="10">
        <f>'Financial Model'!$B$258*$B131/$F$142*'Gia NH3'!$B$4</f>
        <v>269.99513309481836</v>
      </c>
      <c r="O201" s="10">
        <f>'Financial Model'!$B$258*$B131/$F$142*'Gia NH3'!$B$4</f>
        <v>269.99513309481836</v>
      </c>
      <c r="P201" s="10">
        <f>'Financial Model'!$B$258*$B131/$F$142*'Gia NH3'!$B$4</f>
        <v>269.99513309481836</v>
      </c>
      <c r="Q201" s="10">
        <f>'Financial Model'!$B$258*$B131/$F$142*'Gia NH3'!$B$4</f>
        <v>269.99513309481836</v>
      </c>
      <c r="R201" s="10">
        <f>'Financial Model'!$B$258*$B131/$F$142*'Gia NH3'!$B$4</f>
        <v>269.99513309481836</v>
      </c>
      <c r="S201" s="10">
        <f>'Financial Model'!$B$258*$B131/$F$142*'Gia NH3'!$B$4</f>
        <v>269.99513309481836</v>
      </c>
      <c r="T201" s="10">
        <f>'Financial Model'!$B$258*$B131/$F$142*'Gia NH3'!$B$4</f>
        <v>269.99513309481836</v>
      </c>
      <c r="U201" s="10">
        <f>'Financial Model'!$B$258*$B131/$F$142*'Gia NH3'!$B$4</f>
        <v>269.99513309481836</v>
      </c>
      <c r="V201" s="10">
        <f>'Financial Model'!$B$258*$B131/$F$142*'Gia NH3'!$B$4</f>
        <v>269.99513309481836</v>
      </c>
      <c r="W201" s="10">
        <f>'Financial Model'!$B$258*$B131/$F$142*'Gia NH3'!$B$4</f>
        <v>269.99513309481836</v>
      </c>
      <c r="X201" s="10">
        <f>'Financial Model'!$B$258*$B131/$F$142*'Gia NH3'!$B$4</f>
        <v>269.99513309481836</v>
      </c>
      <c r="Y201" s="10">
        <f>'Financial Model'!$B$258*$B131/$F$142*'Gia NH3'!$B$4</f>
        <v>269.99513309481836</v>
      </c>
      <c r="Z201" s="10">
        <f>'Financial Model'!$B$258*$B131/$F$142*'Gia NH3'!$B$4</f>
        <v>269.99513309481836</v>
      </c>
      <c r="AA201" s="10">
        <f>'Financial Model'!$B$258*$B131/$F$142*'Gia NH3'!$B$4</f>
        <v>269.99513309481836</v>
      </c>
      <c r="AB201" s="18"/>
    </row>
    <row r="202" spans="1:28" x14ac:dyDescent="0.2">
      <c r="A202" s="19" t="s">
        <v>124</v>
      </c>
      <c r="G202" s="10">
        <f>'Financial Model'!$B$258*$B132/$F$142</f>
        <v>874.26995478322124</v>
      </c>
      <c r="H202" s="10">
        <f>'Financial Model'!$B$258*$B132/$F$142</f>
        <v>874.26995478322124</v>
      </c>
      <c r="I202" s="10">
        <f>'Financial Model'!$B$258*$B132/$F$142</f>
        <v>874.26995478322124</v>
      </c>
      <c r="J202" s="10">
        <f>'Financial Model'!$B$258*$B132/$F$142</f>
        <v>874.26995478322124</v>
      </c>
      <c r="K202" s="10">
        <f>'Financial Model'!$B$258*$B132/$F$142</f>
        <v>874.26995478322124</v>
      </c>
      <c r="L202" s="10">
        <f>'Financial Model'!$B$258*$B132/$F$142</f>
        <v>874.26995478322124</v>
      </c>
      <c r="M202" s="10">
        <f>'Financial Model'!$B$258*$B132/$F$142</f>
        <v>874.26995478322124</v>
      </c>
      <c r="N202" s="10">
        <f>'Financial Model'!$B$258*$B132/$F$142</f>
        <v>874.26995478322124</v>
      </c>
      <c r="O202" s="10">
        <f>'Financial Model'!$B$258*$B132/$F$142</f>
        <v>874.26995478322124</v>
      </c>
      <c r="P202" s="10">
        <f>'Financial Model'!$B$258*$B132/$F$142</f>
        <v>874.26995478322124</v>
      </c>
      <c r="Q202" s="10">
        <f>'Financial Model'!$B$258*$B132/$F$142</f>
        <v>874.26995478322124</v>
      </c>
      <c r="R202" s="10">
        <f>'Financial Model'!$B$258*$B132/$F$142</f>
        <v>874.26995478322124</v>
      </c>
      <c r="S202" s="10">
        <f>'Financial Model'!$B$258*$B132/$F$142</f>
        <v>874.26995478322124</v>
      </c>
      <c r="T202" s="10">
        <f>'Financial Model'!$B$258*$B132/$F$142</f>
        <v>874.26995478322124</v>
      </c>
      <c r="U202" s="10">
        <f>'Financial Model'!$B$258*$B132/$F$142</f>
        <v>874.26995478322124</v>
      </c>
      <c r="V202" s="10">
        <f>'Financial Model'!$B$258*$B132/$F$142</f>
        <v>874.26995478322124</v>
      </c>
      <c r="W202" s="10">
        <f>'Financial Model'!$B$258*$B132/$F$142</f>
        <v>874.26995478322124</v>
      </c>
      <c r="X202" s="10">
        <f>'Financial Model'!$B$258*$B132/$F$142</f>
        <v>874.26995478322124</v>
      </c>
      <c r="Y202" s="10">
        <f>'Financial Model'!$B$258*$B132/$F$142</f>
        <v>874.26995478322124</v>
      </c>
      <c r="Z202" s="10">
        <f>'Financial Model'!$B$258*$B132/$F$142</f>
        <v>874.26995478322124</v>
      </c>
      <c r="AA202" s="10">
        <f>'Financial Model'!$B$258*$B132/$F$142</f>
        <v>874.26995478322124</v>
      </c>
      <c r="AB202" s="18"/>
    </row>
    <row r="203" spans="1:28" x14ac:dyDescent="0.2">
      <c r="A203" s="19" t="s">
        <v>125</v>
      </c>
      <c r="G203" s="10">
        <f>'Financial Model'!$B$258*$B133/$F$142*'Gia NH3'!$B$4</f>
        <v>4211.9240762791669</v>
      </c>
      <c r="H203" s="10">
        <f>'Financial Model'!$B$258*$B133/$F$142*'Gia NH3'!$B$4</f>
        <v>4211.9240762791669</v>
      </c>
      <c r="I203" s="10">
        <f>'Financial Model'!$B$258*$B133/$F$142*'Gia NH3'!$B$4</f>
        <v>4211.9240762791669</v>
      </c>
      <c r="J203" s="10">
        <f>'Financial Model'!$B$258*$B133/$F$142*'Gia NH3'!$B$4</f>
        <v>4211.9240762791669</v>
      </c>
      <c r="K203" s="10">
        <f>'Financial Model'!$B$258*$B133/$F$142*'Gia NH3'!$B$4</f>
        <v>4211.9240762791669</v>
      </c>
      <c r="L203" s="10">
        <f>'Financial Model'!$B$258*$B133/$F$142*'Gia NH3'!$B$4</f>
        <v>4211.9240762791669</v>
      </c>
      <c r="M203" s="10">
        <f>'Financial Model'!$B$258*$B133/$F$142*'Gia NH3'!$B$4</f>
        <v>4211.9240762791669</v>
      </c>
      <c r="N203" s="10">
        <f>'Financial Model'!$B$258*$B133/$F$142*'Gia NH3'!$B$4</f>
        <v>4211.9240762791669</v>
      </c>
      <c r="O203" s="10">
        <f>'Financial Model'!$B$258*$B133/$F$142*'Gia NH3'!$B$4</f>
        <v>4211.9240762791669</v>
      </c>
      <c r="P203" s="10">
        <f>'Financial Model'!$B$258*$B133/$F$142*'Gia NH3'!$B$4</f>
        <v>4211.9240762791669</v>
      </c>
      <c r="Q203" s="10">
        <f>'Financial Model'!$B$258*$B133/$F$142*'Gia NH3'!$B$4</f>
        <v>4211.9240762791669</v>
      </c>
      <c r="R203" s="10">
        <f>'Financial Model'!$B$258*$B133/$F$142*'Gia NH3'!$B$4</f>
        <v>4211.9240762791669</v>
      </c>
      <c r="S203" s="10">
        <f>'Financial Model'!$B$258*$B133/$F$142*'Gia NH3'!$B$4</f>
        <v>4211.9240762791669</v>
      </c>
      <c r="T203" s="10">
        <f>'Financial Model'!$B$258*$B133/$F$142*'Gia NH3'!$B$4</f>
        <v>4211.9240762791669</v>
      </c>
      <c r="U203" s="10">
        <f>'Financial Model'!$B$258*$B133/$F$142*'Gia NH3'!$B$4</f>
        <v>4211.9240762791669</v>
      </c>
      <c r="V203" s="10">
        <f>'Financial Model'!$B$258*$B133/$F$142*'Gia NH3'!$B$4</f>
        <v>4211.9240762791669</v>
      </c>
      <c r="W203" s="10">
        <f>'Financial Model'!$B$258*$B133/$F$142*'Gia NH3'!$B$4</f>
        <v>4211.9240762791669</v>
      </c>
      <c r="X203" s="10">
        <f>'Financial Model'!$B$258*$B133/$F$142*'Gia NH3'!$B$4</f>
        <v>4211.9240762791669</v>
      </c>
      <c r="Y203" s="10">
        <f>'Financial Model'!$B$258*$B133/$F$142*'Gia NH3'!$B$4</f>
        <v>4211.9240762791669</v>
      </c>
      <c r="Z203" s="10">
        <f>'Financial Model'!$B$258*$B133/$F$142*'Gia NH3'!$B$4</f>
        <v>4211.9240762791669</v>
      </c>
      <c r="AA203" s="10">
        <f>'Financial Model'!$B$258*$B133/$F$142*'Gia NH3'!$B$4</f>
        <v>4211.9240762791669</v>
      </c>
      <c r="AB203" s="18"/>
    </row>
    <row r="204" spans="1:28" x14ac:dyDescent="0.2">
      <c r="A204" s="19" t="s">
        <v>126</v>
      </c>
      <c r="G204" s="10">
        <f>'Financial Model'!$B$258*$B134/$F$142*'Gia NH3'!$B$4</f>
        <v>3941.9289431843481</v>
      </c>
      <c r="H204" s="10">
        <f>'Financial Model'!$B$258*$B134/$F$142*'Gia NH3'!$B$4</f>
        <v>3941.9289431843481</v>
      </c>
      <c r="I204" s="10">
        <f>'Financial Model'!$B$258*$B134/$F$142*'Gia NH3'!$B$4</f>
        <v>3941.9289431843481</v>
      </c>
      <c r="J204" s="10">
        <f>'Financial Model'!$B$258*$B134/$F$142*'Gia NH3'!$B$4</f>
        <v>3941.9289431843481</v>
      </c>
      <c r="K204" s="10">
        <f>'Financial Model'!$B$258*$B134/$F$142*'Gia NH3'!$B$4</f>
        <v>3941.9289431843481</v>
      </c>
      <c r="L204" s="10">
        <f>'Financial Model'!$B$258*$B134/$F$142*'Gia NH3'!$B$4</f>
        <v>3941.9289431843481</v>
      </c>
      <c r="M204" s="10">
        <f>'Financial Model'!$B$258*$B134/$F$142*'Gia NH3'!$B$4</f>
        <v>3941.9289431843481</v>
      </c>
      <c r="N204" s="10">
        <f>'Financial Model'!$B$258*$B134/$F$142*'Gia NH3'!$B$4</f>
        <v>3941.9289431843481</v>
      </c>
      <c r="O204" s="10">
        <f>'Financial Model'!$B$258*$B134/$F$142*'Gia NH3'!$B$4</f>
        <v>3941.9289431843481</v>
      </c>
      <c r="P204" s="10">
        <f>'Financial Model'!$B$258*$B134/$F$142*'Gia NH3'!$B$4</f>
        <v>3941.9289431843481</v>
      </c>
      <c r="Q204" s="10">
        <f>'Financial Model'!$B$258*$B134/$F$142*'Gia NH3'!$B$4</f>
        <v>3941.9289431843481</v>
      </c>
      <c r="R204" s="10">
        <f>'Financial Model'!$B$258*$B134/$F$142*'Gia NH3'!$B$4</f>
        <v>3941.9289431843481</v>
      </c>
      <c r="S204" s="10">
        <f>'Financial Model'!$B$258*$B134/$F$142*'Gia NH3'!$B$4</f>
        <v>3941.9289431843481</v>
      </c>
      <c r="T204" s="10">
        <f>'Financial Model'!$B$258*$B134/$F$142*'Gia NH3'!$B$4</f>
        <v>3941.9289431843481</v>
      </c>
      <c r="U204" s="10">
        <f>'Financial Model'!$B$258*$B134/$F$142*'Gia NH3'!$B$4</f>
        <v>3941.9289431843481</v>
      </c>
      <c r="V204" s="10">
        <f>'Financial Model'!$B$258*$B134/$F$142*'Gia NH3'!$B$4</f>
        <v>3941.9289431843481</v>
      </c>
      <c r="W204" s="10">
        <f>'Financial Model'!$B$258*$B134/$F$142*'Gia NH3'!$B$4</f>
        <v>3941.9289431843481</v>
      </c>
      <c r="X204" s="10">
        <f>'Financial Model'!$B$258*$B134/$F$142*'Gia NH3'!$B$4</f>
        <v>3941.9289431843481</v>
      </c>
      <c r="Y204" s="10">
        <f>'Financial Model'!$B$258*$B134/$F$142*'Gia NH3'!$B$4</f>
        <v>3941.9289431843481</v>
      </c>
      <c r="Z204" s="10">
        <f>'Financial Model'!$B$258*$B134/$F$142*'Gia NH3'!$B$4</f>
        <v>3941.9289431843481</v>
      </c>
      <c r="AA204" s="10">
        <f>'Financial Model'!$B$258*$B134/$F$142*'Gia NH3'!$B$4</f>
        <v>3941.9289431843481</v>
      </c>
      <c r="AB204" s="18"/>
    </row>
    <row r="205" spans="1:28" ht="10.5" x14ac:dyDescent="0.25">
      <c r="AB205" s="18"/>
    </row>
    <row r="206" spans="1:28" x14ac:dyDescent="0.2">
      <c r="A206" s="27" t="s">
        <v>159</v>
      </c>
      <c r="AB206" s="18"/>
    </row>
    <row r="207" spans="1:28" ht="10.5" x14ac:dyDescent="0.25">
      <c r="AB207" s="18"/>
    </row>
    <row r="208" spans="1:28" x14ac:dyDescent="0.2">
      <c r="A208" s="19" t="s">
        <v>156</v>
      </c>
      <c r="AB208" s="18"/>
    </row>
    <row r="209" spans="1:28" s="60" customFormat="1" ht="10.5" x14ac:dyDescent="0.25">
      <c r="A209" s="63" t="s">
        <v>84</v>
      </c>
      <c r="C209" s="60">
        <v>0</v>
      </c>
      <c r="D209" s="60">
        <v>0</v>
      </c>
      <c r="E209" s="60">
        <v>0</v>
      </c>
      <c r="F209" s="60">
        <v>0</v>
      </c>
      <c r="G209" s="61">
        <f t="shared" ref="G209:AA209" si="19">G183</f>
        <v>178542.23130841125</v>
      </c>
      <c r="H209" s="61">
        <f t="shared" si="19"/>
        <v>214250.67757009348</v>
      </c>
      <c r="I209" s="61">
        <f t="shared" si="19"/>
        <v>238056.30841121497</v>
      </c>
      <c r="J209" s="61">
        <f t="shared" si="19"/>
        <v>238056.30841121497</v>
      </c>
      <c r="K209" s="61">
        <f t="shared" si="19"/>
        <v>238056.30841121497</v>
      </c>
      <c r="L209" s="61">
        <f t="shared" si="19"/>
        <v>238056.30841121497</v>
      </c>
      <c r="M209" s="61">
        <f t="shared" si="19"/>
        <v>238056.30841121497</v>
      </c>
      <c r="N209" s="61">
        <f t="shared" si="19"/>
        <v>238056.30841121497</v>
      </c>
      <c r="O209" s="61">
        <f t="shared" si="19"/>
        <v>238056.30841121497</v>
      </c>
      <c r="P209" s="61">
        <f t="shared" si="19"/>
        <v>238056.30841121497</v>
      </c>
      <c r="Q209" s="61">
        <f t="shared" si="19"/>
        <v>238056.30841121497</v>
      </c>
      <c r="R209" s="61">
        <f t="shared" si="19"/>
        <v>238056.30841121497</v>
      </c>
      <c r="S209" s="61">
        <f t="shared" si="19"/>
        <v>238056.30841121497</v>
      </c>
      <c r="T209" s="61">
        <f t="shared" si="19"/>
        <v>238056.30841121497</v>
      </c>
      <c r="U209" s="61">
        <f t="shared" si="19"/>
        <v>238056.30841121497</v>
      </c>
      <c r="V209" s="61">
        <f t="shared" si="19"/>
        <v>238056.30841121497</v>
      </c>
      <c r="W209" s="61">
        <f t="shared" si="19"/>
        <v>238056.30841121497</v>
      </c>
      <c r="X209" s="61">
        <f t="shared" si="19"/>
        <v>190445.046728972</v>
      </c>
      <c r="Y209" s="61">
        <f t="shared" si="19"/>
        <v>142833.78504672903</v>
      </c>
      <c r="Z209" s="61">
        <f t="shared" si="19"/>
        <v>95222.523364486013</v>
      </c>
      <c r="AA209" s="61">
        <f t="shared" si="19"/>
        <v>47611.261682243014</v>
      </c>
      <c r="AB209" s="62"/>
    </row>
    <row r="210" spans="1:28" ht="10.5" x14ac:dyDescent="0.25">
      <c r="AB210" s="18"/>
    </row>
    <row r="211" spans="1:28" x14ac:dyDescent="0.2">
      <c r="A211" s="19" t="s">
        <v>157</v>
      </c>
      <c r="AB211" s="18"/>
    </row>
    <row r="212" spans="1:28" x14ac:dyDescent="0.2">
      <c r="A212" s="29" t="s">
        <v>85</v>
      </c>
      <c r="C212" s="19">
        <v>0</v>
      </c>
      <c r="D212" s="19">
        <v>0</v>
      </c>
      <c r="E212" s="19">
        <v>0</v>
      </c>
      <c r="F212" s="19">
        <v>0</v>
      </c>
      <c r="G212" s="10">
        <f>SUM(G189:G194)+SUM(G196:G204)</f>
        <v>120601.57834181224</v>
      </c>
      <c r="H212" s="10">
        <f t="shared" ref="H212:AA212" si="20">SUM(H189:H194)+SUM(H196:H204)</f>
        <v>142352.21137844882</v>
      </c>
      <c r="I212" s="10">
        <f t="shared" si="20"/>
        <v>156589.57580868673</v>
      </c>
      <c r="J212" s="10">
        <f t="shared" si="20"/>
        <v>156745.06955154295</v>
      </c>
      <c r="K212" s="10">
        <f t="shared" si="20"/>
        <v>156908.33798154205</v>
      </c>
      <c r="L212" s="10">
        <f t="shared" si="20"/>
        <v>154580.01983304109</v>
      </c>
      <c r="M212" s="10">
        <f t="shared" si="20"/>
        <v>154760.02327711508</v>
      </c>
      <c r="N212" s="10">
        <f t="shared" si="20"/>
        <v>154949.02689339273</v>
      </c>
      <c r="O212" s="10">
        <f t="shared" si="20"/>
        <v>155147.48069048428</v>
      </c>
      <c r="P212" s="10">
        <f t="shared" si="20"/>
        <v>155355.85717743041</v>
      </c>
      <c r="Q212" s="10">
        <f t="shared" si="20"/>
        <v>153074.90248872389</v>
      </c>
      <c r="R212" s="10">
        <f t="shared" si="20"/>
        <v>153304.63756558203</v>
      </c>
      <c r="S212" s="10">
        <f t="shared" si="20"/>
        <v>153545.85939628305</v>
      </c>
      <c r="T212" s="10">
        <f t="shared" si="20"/>
        <v>153799.14231851912</v>
      </c>
      <c r="U212" s="10">
        <f t="shared" si="20"/>
        <v>154065.08938686701</v>
      </c>
      <c r="V212" s="10">
        <f t="shared" si="20"/>
        <v>154344.33380863228</v>
      </c>
      <c r="W212" s="10">
        <f t="shared" si="20"/>
        <v>154637.54045148584</v>
      </c>
      <c r="X212" s="10">
        <f t="shared" si="20"/>
        <v>126640.73651490825</v>
      </c>
      <c r="Y212" s="10">
        <f t="shared" si="20"/>
        <v>98603.024896634481</v>
      </c>
      <c r="Z212" s="10">
        <f t="shared" si="20"/>
        <v>70958.693198536057</v>
      </c>
      <c r="AA212" s="10">
        <f t="shared" si="20"/>
        <v>42635.874188850408</v>
      </c>
      <c r="AB212" s="18"/>
    </row>
    <row r="213" spans="1:28" x14ac:dyDescent="0.2">
      <c r="A213" s="29" t="s">
        <v>160</v>
      </c>
      <c r="C213" s="10">
        <f>C178</f>
        <v>15199.091032710281</v>
      </c>
      <c r="D213" s="10">
        <f>D178</f>
        <v>146924.54664953271</v>
      </c>
      <c r="E213" s="10">
        <f>E178</f>
        <v>253318.18387850467</v>
      </c>
      <c r="F213" s="10">
        <f>F178</f>
        <v>91194.546196261697</v>
      </c>
      <c r="AB213" s="18"/>
    </row>
    <row r="214" spans="1:28" s="60" customFormat="1" x14ac:dyDescent="0.2">
      <c r="A214" s="63" t="s">
        <v>158</v>
      </c>
      <c r="C214" s="61">
        <f t="shared" ref="C214:AA214" si="21">SUM(C212:C213)</f>
        <v>15199.091032710281</v>
      </c>
      <c r="D214" s="61">
        <f t="shared" si="21"/>
        <v>146924.54664953271</v>
      </c>
      <c r="E214" s="61">
        <f t="shared" si="21"/>
        <v>253318.18387850467</v>
      </c>
      <c r="F214" s="61">
        <f t="shared" si="21"/>
        <v>91194.546196261697</v>
      </c>
      <c r="G214" s="61">
        <f t="shared" si="21"/>
        <v>120601.57834181224</v>
      </c>
      <c r="H214" s="61">
        <f t="shared" si="21"/>
        <v>142352.21137844882</v>
      </c>
      <c r="I214" s="61">
        <f t="shared" si="21"/>
        <v>156589.57580868673</v>
      </c>
      <c r="J214" s="61">
        <f t="shared" si="21"/>
        <v>156745.06955154295</v>
      </c>
      <c r="K214" s="61">
        <f t="shared" si="21"/>
        <v>156908.33798154205</v>
      </c>
      <c r="L214" s="61">
        <f t="shared" si="21"/>
        <v>154580.01983304109</v>
      </c>
      <c r="M214" s="61">
        <f t="shared" si="21"/>
        <v>154760.02327711508</v>
      </c>
      <c r="N214" s="61">
        <f t="shared" si="21"/>
        <v>154949.02689339273</v>
      </c>
      <c r="O214" s="61">
        <f t="shared" si="21"/>
        <v>155147.48069048428</v>
      </c>
      <c r="P214" s="61">
        <f t="shared" si="21"/>
        <v>155355.85717743041</v>
      </c>
      <c r="Q214" s="61">
        <f t="shared" si="21"/>
        <v>153074.90248872389</v>
      </c>
      <c r="R214" s="61">
        <f t="shared" si="21"/>
        <v>153304.63756558203</v>
      </c>
      <c r="S214" s="61">
        <f t="shared" si="21"/>
        <v>153545.85939628305</v>
      </c>
      <c r="T214" s="61">
        <f t="shared" si="21"/>
        <v>153799.14231851912</v>
      </c>
      <c r="U214" s="61">
        <f t="shared" si="21"/>
        <v>154065.08938686701</v>
      </c>
      <c r="V214" s="61">
        <f t="shared" si="21"/>
        <v>154344.33380863228</v>
      </c>
      <c r="W214" s="61">
        <f t="shared" si="21"/>
        <v>154637.54045148584</v>
      </c>
      <c r="X214" s="61">
        <f t="shared" si="21"/>
        <v>126640.73651490825</v>
      </c>
      <c r="Y214" s="61">
        <f t="shared" si="21"/>
        <v>98603.024896634481</v>
      </c>
      <c r="Z214" s="61">
        <f t="shared" si="21"/>
        <v>70958.693198536057</v>
      </c>
      <c r="AA214" s="61">
        <f t="shared" si="21"/>
        <v>42635.874188850408</v>
      </c>
      <c r="AB214" s="62"/>
    </row>
    <row r="215" spans="1:28" ht="10.5" x14ac:dyDescent="0.25">
      <c r="A215" s="29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8"/>
    </row>
    <row r="216" spans="1:28" s="60" customFormat="1" x14ac:dyDescent="0.2">
      <c r="A216" s="50" t="s">
        <v>225</v>
      </c>
      <c r="C216" s="61">
        <f t="shared" ref="C216:AA216" si="22">C209-C214</f>
        <v>-15199.091032710281</v>
      </c>
      <c r="D216" s="61">
        <f t="shared" si="22"/>
        <v>-146924.54664953271</v>
      </c>
      <c r="E216" s="61">
        <f t="shared" si="22"/>
        <v>-253318.18387850467</v>
      </c>
      <c r="F216" s="61">
        <f t="shared" si="22"/>
        <v>-91194.546196261697</v>
      </c>
      <c r="G216" s="61">
        <f t="shared" si="22"/>
        <v>57940.652966599009</v>
      </c>
      <c r="H216" s="61">
        <f t="shared" si="22"/>
        <v>71898.466191644664</v>
      </c>
      <c r="I216" s="61">
        <f t="shared" si="22"/>
        <v>81466.732602528238</v>
      </c>
      <c r="J216" s="61">
        <f t="shared" si="22"/>
        <v>81311.238859672012</v>
      </c>
      <c r="K216" s="61">
        <f t="shared" si="22"/>
        <v>81147.970429672918</v>
      </c>
      <c r="L216" s="61">
        <f t="shared" si="22"/>
        <v>83476.288578173873</v>
      </c>
      <c r="M216" s="61">
        <f t="shared" si="22"/>
        <v>83296.28513409989</v>
      </c>
      <c r="N216" s="61">
        <f t="shared" si="22"/>
        <v>83107.281517822237</v>
      </c>
      <c r="O216" s="61">
        <f t="shared" si="22"/>
        <v>82908.827720730682</v>
      </c>
      <c r="P216" s="61">
        <f t="shared" si="22"/>
        <v>82700.451233784552</v>
      </c>
      <c r="Q216" s="61">
        <f t="shared" si="22"/>
        <v>84981.405922491074</v>
      </c>
      <c r="R216" s="61">
        <f t="shared" si="22"/>
        <v>84751.670845632936</v>
      </c>
      <c r="S216" s="61">
        <f t="shared" si="22"/>
        <v>84510.449014931917</v>
      </c>
      <c r="T216" s="61">
        <f t="shared" si="22"/>
        <v>84257.166092695843</v>
      </c>
      <c r="U216" s="61">
        <f t="shared" si="22"/>
        <v>83991.219024347956</v>
      </c>
      <c r="V216" s="61">
        <f t="shared" si="22"/>
        <v>83711.97460258269</v>
      </c>
      <c r="W216" s="61">
        <f t="shared" si="22"/>
        <v>83418.767959729128</v>
      </c>
      <c r="X216" s="61">
        <f t="shared" si="22"/>
        <v>63804.310214063749</v>
      </c>
      <c r="Y216" s="61">
        <f t="shared" si="22"/>
        <v>44230.760150094546</v>
      </c>
      <c r="Z216" s="61">
        <f t="shared" si="22"/>
        <v>24263.830165949956</v>
      </c>
      <c r="AA216" s="61">
        <f t="shared" si="22"/>
        <v>4975.3874933926054</v>
      </c>
      <c r="AB216" s="62"/>
    </row>
    <row r="217" spans="1:28" ht="10.5" x14ac:dyDescent="0.25"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8"/>
    </row>
    <row r="218" spans="1:28" ht="10.5" x14ac:dyDescent="0.25">
      <c r="B218" s="10"/>
      <c r="D218" s="20"/>
      <c r="E218" s="20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8"/>
    </row>
    <row r="219" spans="1:28" ht="15" customHeight="1" x14ac:dyDescent="0.2">
      <c r="A219" s="51" t="s">
        <v>227</v>
      </c>
      <c r="B219" s="52">
        <f>NPV(B136,C216:AA216)</f>
        <v>60326.586714240097</v>
      </c>
      <c r="D219" s="271"/>
      <c r="E219" s="272"/>
      <c r="F219" s="271"/>
      <c r="G219" s="271"/>
      <c r="H219" s="281"/>
      <c r="I219" s="281"/>
      <c r="J219" s="281"/>
      <c r="K219" s="281"/>
      <c r="L219" s="281"/>
      <c r="M219" s="281"/>
      <c r="N219" s="281"/>
      <c r="O219" s="20"/>
      <c r="AB219" s="18"/>
    </row>
    <row r="220" spans="1:28" ht="15.75" customHeight="1" x14ac:dyDescent="0.2">
      <c r="A220" s="51" t="s">
        <v>228</v>
      </c>
      <c r="B220" s="53">
        <f>IRR(C216:AA216)</f>
        <v>0.11874705119259277</v>
      </c>
      <c r="D220" s="271"/>
      <c r="E220" s="273"/>
      <c r="F220" s="271"/>
      <c r="G220" s="271"/>
      <c r="H220" s="281"/>
      <c r="I220" s="281"/>
      <c r="J220" s="281"/>
      <c r="K220" s="281"/>
      <c r="L220" s="281"/>
      <c r="M220" s="281"/>
      <c r="N220" s="281"/>
      <c r="O220" s="20"/>
      <c r="AB220" s="18"/>
    </row>
    <row r="221" spans="1:28" ht="10.5" x14ac:dyDescent="0.25">
      <c r="D221" s="274"/>
      <c r="E221" s="274"/>
      <c r="F221" s="274"/>
      <c r="G221" s="274"/>
      <c r="H221" s="274"/>
      <c r="I221" s="274"/>
      <c r="J221" s="274"/>
      <c r="K221" s="274"/>
      <c r="L221" s="274"/>
      <c r="M221" s="274"/>
      <c r="N221" s="20"/>
      <c r="O221" s="20"/>
      <c r="AB221" s="18"/>
    </row>
    <row r="222" spans="1:28" ht="10.5" x14ac:dyDescent="0.25"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</row>
    <row r="223" spans="1:28" ht="10.5" x14ac:dyDescent="0.25"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</row>
    <row r="224" spans="1:28" ht="10.5" x14ac:dyDescent="0.25"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</row>
  </sheetData>
  <mergeCells count="2">
    <mergeCell ref="A1:A2"/>
    <mergeCell ref="H219:N220"/>
  </mergeCells>
  <pageMargins left="0.7" right="0.7" top="0.75" bottom="0.75" header="0.3" footer="0.3"/>
  <pageSetup orientation="portrait" r:id="rId1"/>
  <ignoredErrors>
    <ignoredError sqref="G20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9"/>
  <sheetViews>
    <sheetView workbookViewId="0">
      <pane xSplit="2" ySplit="4" topLeftCell="C39" activePane="bottomRight" state="frozen"/>
      <selection pane="topRight" activeCell="C1" sqref="C1"/>
      <selection pane="bottomLeft" activeCell="A6" sqref="A6"/>
      <selection pane="bottomRight" activeCell="C48" sqref="C48"/>
    </sheetView>
  </sheetViews>
  <sheetFormatPr defaultColWidth="9" defaultRowHeight="10.199999999999999" x14ac:dyDescent="0.2"/>
  <cols>
    <col min="1" max="1" width="24.5546875" style="86" customWidth="1"/>
    <col min="2" max="2" width="10.44140625" style="86" bestFit="1" customWidth="1"/>
    <col min="3" max="16384" width="9" style="86"/>
  </cols>
  <sheetData>
    <row r="1" spans="1:27" x14ac:dyDescent="0.2">
      <c r="A1" s="85" t="s">
        <v>264</v>
      </c>
    </row>
    <row r="2" spans="1:27" ht="10.8" thickBot="1" x14ac:dyDescent="0.25">
      <c r="A2" s="99" t="s">
        <v>196</v>
      </c>
    </row>
    <row r="3" spans="1:27" ht="10.5" x14ac:dyDescent="0.25">
      <c r="A3" s="87"/>
      <c r="B3" s="88">
        <v>2014</v>
      </c>
      <c r="C3" s="88">
        <f>B3+1</f>
        <v>2015</v>
      </c>
      <c r="D3" s="88">
        <f>C3+1</f>
        <v>2016</v>
      </c>
      <c r="E3" s="88">
        <f t="shared" ref="E3:S3" si="0">D3+1</f>
        <v>2017</v>
      </c>
      <c r="F3" s="88">
        <f t="shared" si="0"/>
        <v>2018</v>
      </c>
      <c r="G3" s="88">
        <f t="shared" si="0"/>
        <v>2019</v>
      </c>
      <c r="H3" s="88">
        <f t="shared" si="0"/>
        <v>2020</v>
      </c>
      <c r="I3" s="88">
        <f t="shared" si="0"/>
        <v>2021</v>
      </c>
      <c r="J3" s="88">
        <f t="shared" si="0"/>
        <v>2022</v>
      </c>
      <c r="K3" s="88">
        <f t="shared" si="0"/>
        <v>2023</v>
      </c>
      <c r="L3" s="88">
        <f t="shared" si="0"/>
        <v>2024</v>
      </c>
      <c r="M3" s="88">
        <f t="shared" si="0"/>
        <v>2025</v>
      </c>
      <c r="N3" s="88">
        <f t="shared" si="0"/>
        <v>2026</v>
      </c>
      <c r="O3" s="88">
        <f t="shared" si="0"/>
        <v>2027</v>
      </c>
      <c r="P3" s="88">
        <f t="shared" si="0"/>
        <v>2028</v>
      </c>
      <c r="Q3" s="88">
        <f t="shared" si="0"/>
        <v>2029</v>
      </c>
      <c r="R3" s="88">
        <f t="shared" si="0"/>
        <v>2030</v>
      </c>
      <c r="S3" s="88">
        <f t="shared" si="0"/>
        <v>2031</v>
      </c>
      <c r="T3" s="88">
        <f>S3+1</f>
        <v>2032</v>
      </c>
      <c r="U3" s="88">
        <f t="shared" ref="U3:Z3" si="1">T3+1</f>
        <v>2033</v>
      </c>
      <c r="V3" s="88">
        <f t="shared" si="1"/>
        <v>2034</v>
      </c>
      <c r="W3" s="88">
        <f t="shared" si="1"/>
        <v>2035</v>
      </c>
      <c r="X3" s="88">
        <f t="shared" si="1"/>
        <v>2036</v>
      </c>
      <c r="Y3" s="88">
        <f t="shared" si="1"/>
        <v>2037</v>
      </c>
      <c r="Z3" s="88">
        <f t="shared" si="1"/>
        <v>2038</v>
      </c>
      <c r="AA3" s="88">
        <f t="shared" ref="AA3" si="2">Z3+1</f>
        <v>2039</v>
      </c>
    </row>
    <row r="4" spans="1:27" ht="10.5" x14ac:dyDescent="0.25">
      <c r="A4" s="89"/>
      <c r="B4" s="86">
        <v>0</v>
      </c>
      <c r="C4" s="91">
        <f>B4+1</f>
        <v>1</v>
      </c>
      <c r="D4" s="91">
        <f>C4+1</f>
        <v>2</v>
      </c>
      <c r="E4" s="91">
        <f t="shared" ref="E4:S4" si="3">D4+1</f>
        <v>3</v>
      </c>
      <c r="F4" s="91">
        <f t="shared" si="3"/>
        <v>4</v>
      </c>
      <c r="G4" s="91">
        <f t="shared" si="3"/>
        <v>5</v>
      </c>
      <c r="H4" s="91">
        <f t="shared" si="3"/>
        <v>6</v>
      </c>
      <c r="I4" s="91">
        <f t="shared" si="3"/>
        <v>7</v>
      </c>
      <c r="J4" s="91">
        <f t="shared" si="3"/>
        <v>8</v>
      </c>
      <c r="K4" s="91">
        <f t="shared" si="3"/>
        <v>9</v>
      </c>
      <c r="L4" s="91">
        <f t="shared" si="3"/>
        <v>10</v>
      </c>
      <c r="M4" s="91">
        <f t="shared" si="3"/>
        <v>11</v>
      </c>
      <c r="N4" s="91">
        <f t="shared" si="3"/>
        <v>12</v>
      </c>
      <c r="O4" s="91">
        <f t="shared" si="3"/>
        <v>13</v>
      </c>
      <c r="P4" s="91">
        <f t="shared" si="3"/>
        <v>14</v>
      </c>
      <c r="Q4" s="91">
        <f t="shared" si="3"/>
        <v>15</v>
      </c>
      <c r="R4" s="91">
        <f t="shared" si="3"/>
        <v>16</v>
      </c>
      <c r="S4" s="91">
        <f t="shared" si="3"/>
        <v>17</v>
      </c>
      <c r="T4" s="91">
        <f>S4+1</f>
        <v>18</v>
      </c>
      <c r="U4" s="91">
        <f t="shared" ref="U4:Z4" si="4">T4+1</f>
        <v>19</v>
      </c>
      <c r="V4" s="91">
        <f t="shared" si="4"/>
        <v>20</v>
      </c>
      <c r="W4" s="91">
        <f t="shared" si="4"/>
        <v>21</v>
      </c>
      <c r="X4" s="91">
        <f t="shared" si="4"/>
        <v>22</v>
      </c>
      <c r="Y4" s="91">
        <f t="shared" si="4"/>
        <v>23</v>
      </c>
      <c r="Z4" s="91">
        <f t="shared" si="4"/>
        <v>24</v>
      </c>
      <c r="AA4" s="91">
        <f t="shared" ref="AA4" si="5">Z4+1</f>
        <v>25</v>
      </c>
    </row>
    <row r="5" spans="1:27" x14ac:dyDescent="0.2">
      <c r="A5" s="92" t="s">
        <v>266</v>
      </c>
      <c r="B5" s="90" t="s">
        <v>265</v>
      </c>
      <c r="C5" s="93"/>
      <c r="D5" s="93"/>
      <c r="E5" s="93"/>
    </row>
    <row r="6" spans="1:27" x14ac:dyDescent="0.2">
      <c r="A6" s="94" t="s">
        <v>267</v>
      </c>
      <c r="B6" s="93"/>
      <c r="C6" s="93"/>
      <c r="D6" s="93"/>
      <c r="E6" s="93"/>
    </row>
    <row r="7" spans="1:27" ht="10.5" x14ac:dyDescent="0.25">
      <c r="A7" s="95" t="s">
        <v>84</v>
      </c>
      <c r="B7" s="96">
        <f>NPV('Financial Model'!$B$345,'Tong hop NL'!C7:AA7)</f>
        <v>1425606.0109011724</v>
      </c>
      <c r="C7" s="96">
        <f>'Financial Model'!C306/'Financial Model'!C$154</f>
        <v>0</v>
      </c>
      <c r="D7" s="96">
        <f>'Financial Model'!D306/'Financial Model'!D$154</f>
        <v>0</v>
      </c>
      <c r="E7" s="96">
        <f>'Financial Model'!E306/'Financial Model'!E$154</f>
        <v>0</v>
      </c>
      <c r="F7" s="96">
        <f>'Financial Model'!F306/'Financial Model'!F$154</f>
        <v>0</v>
      </c>
      <c r="G7" s="96">
        <f>'Financial Model'!G306/'Financial Model'!G$154</f>
        <v>170437.5</v>
      </c>
      <c r="H7" s="96">
        <f>'Financial Model'!H306/'Financial Model'!H$154</f>
        <v>204525</v>
      </c>
      <c r="I7" s="96">
        <f>'Financial Model'!I306/'Financial Model'!I$154</f>
        <v>227250.00000000003</v>
      </c>
      <c r="J7" s="96">
        <f>'Financial Model'!J306/'Financial Model'!J$154</f>
        <v>227250</v>
      </c>
      <c r="K7" s="96">
        <f>'Financial Model'!K306/'Financial Model'!K$154</f>
        <v>227249.99999999997</v>
      </c>
      <c r="L7" s="96">
        <f>'Financial Model'!L306/'Financial Model'!L$154</f>
        <v>227249.99999999997</v>
      </c>
      <c r="M7" s="96">
        <f>'Financial Model'!M306/'Financial Model'!M$154</f>
        <v>227250.00000000003</v>
      </c>
      <c r="N7" s="96">
        <f>'Financial Model'!N306/'Financial Model'!N$154</f>
        <v>227250.00000000003</v>
      </c>
      <c r="O7" s="96">
        <f>'Financial Model'!O306/'Financial Model'!O$154</f>
        <v>227250.00000000003</v>
      </c>
      <c r="P7" s="96">
        <f>'Financial Model'!P306/'Financial Model'!P$154</f>
        <v>227250.00000000003</v>
      </c>
      <c r="Q7" s="96">
        <f>'Financial Model'!Q306/'Financial Model'!Q$154</f>
        <v>227249.99999999997</v>
      </c>
      <c r="R7" s="96">
        <f>'Financial Model'!R306/'Financial Model'!R$154</f>
        <v>227250</v>
      </c>
      <c r="S7" s="96">
        <f>'Financial Model'!S306/'Financial Model'!S$154</f>
        <v>227250</v>
      </c>
      <c r="T7" s="96">
        <f>'Financial Model'!T306/'Financial Model'!T$154</f>
        <v>227250.00000000003</v>
      </c>
      <c r="U7" s="96">
        <f>'Financial Model'!U306/'Financial Model'!U$154</f>
        <v>227250</v>
      </c>
      <c r="V7" s="96">
        <f>'Financial Model'!V306/'Financial Model'!V$154</f>
        <v>227250</v>
      </c>
      <c r="W7" s="96">
        <f>'Financial Model'!W306/'Financial Model'!W$154</f>
        <v>227250</v>
      </c>
      <c r="X7" s="96">
        <f>'Financial Model'!X306/'Financial Model'!X$154</f>
        <v>181800</v>
      </c>
      <c r="Y7" s="96">
        <f>'Financial Model'!Y306/'Financial Model'!Y$154</f>
        <v>136350.00000000003</v>
      </c>
      <c r="Z7" s="96">
        <f>'Financial Model'!Z306/'Financial Model'!Z$154</f>
        <v>90900.000000000015</v>
      </c>
      <c r="AA7" s="96">
        <f>'Financial Model'!AA306/'Financial Model'!AA$154</f>
        <v>45450.000000000015</v>
      </c>
    </row>
    <row r="8" spans="1:27" x14ac:dyDescent="0.2">
      <c r="A8" s="89" t="s">
        <v>268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</row>
    <row r="9" spans="1:27" x14ac:dyDescent="0.2">
      <c r="A9" s="66" t="s">
        <v>78</v>
      </c>
      <c r="B9" s="96">
        <f>NPV('Financial Model'!$B$345,'Tong hop NL'!C9:AA9)</f>
        <v>595528.70701511577</v>
      </c>
      <c r="C9" s="96">
        <f>'Financial Model'!C274/'Financial Model'!C$154</f>
        <v>0</v>
      </c>
      <c r="D9" s="96">
        <f>'Financial Model'!D274/'Financial Model'!D$154</f>
        <v>0</v>
      </c>
      <c r="E9" s="96">
        <f>'Financial Model'!E271/'Financial Model'!E$154</f>
        <v>0</v>
      </c>
      <c r="F9" s="96">
        <f>'Financial Model'!F274/'Financial Model'!F$154</f>
        <v>0</v>
      </c>
      <c r="G9" s="96">
        <f>'Financial Model'!G274/'Financial Model'!G$154</f>
        <v>70249.180169902189</v>
      </c>
      <c r="H9" s="96">
        <f>'Financial Model'!H274/'Financial Model'!H$154</f>
        <v>84464.633131591647</v>
      </c>
      <c r="I9" s="96">
        <f>'Financial Model'!I274/'Financial Model'!I$154</f>
        <v>94033.972707076478</v>
      </c>
      <c r="J9" s="96">
        <f>'Financial Model'!J274/'Financial Model'!J$154</f>
        <v>94218.715286068749</v>
      </c>
      <c r="K9" s="96">
        <f>'Financial Model'!K274/'Financial Model'!K$154</f>
        <v>94403.820817082655</v>
      </c>
      <c r="L9" s="96">
        <f>'Financial Model'!L274/'Financial Model'!L$154</f>
        <v>94589.290013186925</v>
      </c>
      <c r="M9" s="96">
        <f>'Financial Model'!M274/'Financial Model'!M$154</f>
        <v>94775.123588851347</v>
      </c>
      <c r="N9" s="96">
        <f>'Financial Model'!N274/'Financial Model'!N$154</f>
        <v>94961.322259949273</v>
      </c>
      <c r="O9" s="96">
        <f>'Financial Model'!O274/'Financial Model'!O$154</f>
        <v>95147.886743760595</v>
      </c>
      <c r="P9" s="96">
        <f>'Financial Model'!P274/'Financial Model'!P$154</f>
        <v>95334.81775897427</v>
      </c>
      <c r="Q9" s="96">
        <f>'Financial Model'!Q274/'Financial Model'!Q$154</f>
        <v>95522.116025691328</v>
      </c>
      <c r="R9" s="96">
        <f>'Financial Model'!R274/'Financial Model'!R$154</f>
        <v>95709.782265427435</v>
      </c>
      <c r="S9" s="96">
        <f>'Financial Model'!S274/'Financial Model'!S$154</f>
        <v>95897.817201115919</v>
      </c>
      <c r="T9" s="96">
        <f>'Financial Model'!T274/'Financial Model'!T$154</f>
        <v>96086.221557110272</v>
      </c>
      <c r="U9" s="96">
        <f>'Financial Model'!U274/'Financial Model'!U$154</f>
        <v>96274.996059187091</v>
      </c>
      <c r="V9" s="96">
        <f>'Financial Model'!V274/'Financial Model'!V$154</f>
        <v>96464.141434548932</v>
      </c>
      <c r="W9" s="96">
        <f>'Financial Model'!W274/'Financial Model'!W$154</f>
        <v>96653.658411827069</v>
      </c>
      <c r="X9" s="96">
        <f>'Financial Model'!X274/'Financial Model'!X$154</f>
        <v>77474.83817686727</v>
      </c>
      <c r="Y9" s="96">
        <f>'Financial Model'!Y274/'Financial Model'!Y$154</f>
        <v>58220.286056290228</v>
      </c>
      <c r="Z9" s="96">
        <f>'Financial Model'!Z274/'Financial Model'!Z$154</f>
        <v>38889.778505184047</v>
      </c>
      <c r="AA9" s="96">
        <f>'Financial Model'!AA274/'Financial Model'!AA$154</f>
        <v>19483.091392577469</v>
      </c>
    </row>
    <row r="10" spans="1:27" x14ac:dyDescent="0.2">
      <c r="A10" s="66" t="s">
        <v>81</v>
      </c>
      <c r="B10" s="96">
        <f>NPV('Financial Model'!$B$345,'Tong hop NL'!C10:AA10)</f>
        <v>1204.6479582712132</v>
      </c>
      <c r="C10" s="96">
        <f>'Financial Model'!C275/'Financial Model'!C$154</f>
        <v>0</v>
      </c>
      <c r="D10" s="96">
        <f>'Financial Model'!D275/'Financial Model'!D$154</f>
        <v>0</v>
      </c>
      <c r="E10" s="96">
        <f>'Financial Model'!E272/'Financial Model'!E$154</f>
        <v>0</v>
      </c>
      <c r="F10" s="96">
        <f>'Financial Model'!F275/'Financial Model'!F$154</f>
        <v>0</v>
      </c>
      <c r="G10" s="96">
        <f>'Financial Model'!G275/'Financial Model'!G$154</f>
        <v>144.02098813967694</v>
      </c>
      <c r="H10" s="96">
        <f>'Financial Model'!H275/'Financial Model'!H$154</f>
        <v>172.82518576761234</v>
      </c>
      <c r="I10" s="96">
        <f>'Financial Model'!I275/'Financial Model'!I$154</f>
        <v>192.02798418623593</v>
      </c>
      <c r="J10" s="96">
        <f>'Financial Model'!J275/'Financial Model'!J$154</f>
        <v>192.02798418623593</v>
      </c>
      <c r="K10" s="96">
        <f>'Financial Model'!K275/'Financial Model'!K$154</f>
        <v>192.02798418623593</v>
      </c>
      <c r="L10" s="96">
        <f>'Financial Model'!L275/'Financial Model'!L$154</f>
        <v>192.02798418623593</v>
      </c>
      <c r="M10" s="96">
        <f>'Financial Model'!M275/'Financial Model'!M$154</f>
        <v>192.02798418623593</v>
      </c>
      <c r="N10" s="96">
        <f>'Financial Model'!N275/'Financial Model'!N$154</f>
        <v>192.02798418623593</v>
      </c>
      <c r="O10" s="96">
        <f>'Financial Model'!O275/'Financial Model'!O$154</f>
        <v>192.0279841862359</v>
      </c>
      <c r="P10" s="96">
        <f>'Financial Model'!P275/'Financial Model'!P$154</f>
        <v>192.02798418623587</v>
      </c>
      <c r="Q10" s="96">
        <f>'Financial Model'!Q275/'Financial Model'!Q$154</f>
        <v>192.0279841862359</v>
      </c>
      <c r="R10" s="96">
        <f>'Financial Model'!R275/'Financial Model'!R$154</f>
        <v>192.0279841862359</v>
      </c>
      <c r="S10" s="96">
        <f>'Financial Model'!S275/'Financial Model'!S$154</f>
        <v>192.02798418623584</v>
      </c>
      <c r="T10" s="96">
        <f>'Financial Model'!T275/'Financial Model'!T$154</f>
        <v>192.0279841862359</v>
      </c>
      <c r="U10" s="96">
        <f>'Financial Model'!U275/'Financial Model'!U$154</f>
        <v>192.02798418623587</v>
      </c>
      <c r="V10" s="96">
        <f>'Financial Model'!V275/'Financial Model'!V$154</f>
        <v>192.0279841862359</v>
      </c>
      <c r="W10" s="96">
        <f>'Financial Model'!W275/'Financial Model'!W$154</f>
        <v>192.0279841862359</v>
      </c>
      <c r="X10" s="96">
        <f>'Financial Model'!X275/'Financial Model'!X$154</f>
        <v>153.62238734898867</v>
      </c>
      <c r="Y10" s="96">
        <f>'Financial Model'!Y275/'Financial Model'!Y$154</f>
        <v>115.21679051174154</v>
      </c>
      <c r="Z10" s="96">
        <f>'Financial Model'!Z275/'Financial Model'!Z$154</f>
        <v>76.811193674494348</v>
      </c>
      <c r="AA10" s="96">
        <f>'Financial Model'!AA275/'Financial Model'!AA$154</f>
        <v>38.405596837247181</v>
      </c>
    </row>
    <row r="11" spans="1:27" x14ac:dyDescent="0.2">
      <c r="A11" s="66" t="s">
        <v>82</v>
      </c>
      <c r="B11" s="96">
        <f>NPV('Financial Model'!$B$345,'Tong hop NL'!C11:AA11)</f>
        <v>48.02763361237151</v>
      </c>
      <c r="C11" s="96">
        <f>'Financial Model'!C276/'Financial Model'!C$154</f>
        <v>0</v>
      </c>
      <c r="D11" s="96">
        <f>'Financial Model'!D276/'Financial Model'!D$154</f>
        <v>0</v>
      </c>
      <c r="E11" s="96">
        <f>'Financial Model'!E273/'Financial Model'!E$154</f>
        <v>0</v>
      </c>
      <c r="F11" s="96">
        <f>'Financial Model'!F276/'Financial Model'!F$154</f>
        <v>0</v>
      </c>
      <c r="G11" s="96">
        <f>'Financial Model'!G276/'Financial Model'!G$154</f>
        <v>5.7419158878504675</v>
      </c>
      <c r="H11" s="96">
        <f>'Financial Model'!H276/'Financial Model'!H$154</f>
        <v>6.8902990654205603</v>
      </c>
      <c r="I11" s="96">
        <f>'Financial Model'!I276/'Financial Model'!I$154</f>
        <v>7.6558878504672903</v>
      </c>
      <c r="J11" s="96">
        <f>'Financial Model'!J276/'Financial Model'!J$154</f>
        <v>7.6558878504672885</v>
      </c>
      <c r="K11" s="96">
        <f>'Financial Model'!K276/'Financial Model'!K$154</f>
        <v>7.6558878504672894</v>
      </c>
      <c r="L11" s="96">
        <f>'Financial Model'!L276/'Financial Model'!L$154</f>
        <v>7.6558878504672903</v>
      </c>
      <c r="M11" s="96">
        <f>'Financial Model'!M276/'Financial Model'!M$154</f>
        <v>7.6558878504672894</v>
      </c>
      <c r="N11" s="96">
        <f>'Financial Model'!N276/'Financial Model'!N$154</f>
        <v>7.6558878504672903</v>
      </c>
      <c r="O11" s="96">
        <f>'Financial Model'!O276/'Financial Model'!O$154</f>
        <v>7.6558878504672903</v>
      </c>
      <c r="P11" s="96">
        <f>'Financial Model'!P276/'Financial Model'!P$154</f>
        <v>7.6558878504672885</v>
      </c>
      <c r="Q11" s="96">
        <f>'Financial Model'!Q276/'Financial Model'!Q$154</f>
        <v>7.6558878504672903</v>
      </c>
      <c r="R11" s="96">
        <f>'Financial Model'!R276/'Financial Model'!R$154</f>
        <v>7.6558878504672885</v>
      </c>
      <c r="S11" s="96">
        <f>'Financial Model'!S276/'Financial Model'!S$154</f>
        <v>7.6558878504672885</v>
      </c>
      <c r="T11" s="96">
        <f>'Financial Model'!T276/'Financial Model'!T$154</f>
        <v>7.6558878504672894</v>
      </c>
      <c r="U11" s="96">
        <f>'Financial Model'!U276/'Financial Model'!U$154</f>
        <v>7.6558878504672903</v>
      </c>
      <c r="V11" s="96">
        <f>'Financial Model'!V276/'Financial Model'!V$154</f>
        <v>7.6558878504672911</v>
      </c>
      <c r="W11" s="96">
        <f>'Financial Model'!W276/'Financial Model'!W$154</f>
        <v>7.6558878504672903</v>
      </c>
      <c r="X11" s="96">
        <f>'Financial Model'!X276/'Financial Model'!X$154</f>
        <v>6.1247102803738311</v>
      </c>
      <c r="Y11" s="96">
        <f>'Financial Model'!Y276/'Financial Model'!Y$154</f>
        <v>4.5935327102803747</v>
      </c>
      <c r="Z11" s="96">
        <f>'Financial Model'!Z276/'Financial Model'!Z$154</f>
        <v>3.0623551401869169</v>
      </c>
      <c r="AA11" s="96">
        <f>'Financial Model'!AA276/'Financial Model'!AA$154</f>
        <v>1.5311775700934582</v>
      </c>
    </row>
    <row r="12" spans="1:27" x14ac:dyDescent="0.2">
      <c r="A12" s="66" t="s">
        <v>99</v>
      </c>
      <c r="B12" s="96">
        <f>NPV('Financial Model'!$B$345,'Tong hop NL'!C12:AA12)</f>
        <v>4247.8545816193437</v>
      </c>
      <c r="C12" s="96">
        <f>'Financial Model'!C277/'Financial Model'!C$154</f>
        <v>0</v>
      </c>
      <c r="D12" s="96">
        <f>'Financial Model'!D277/'Financial Model'!D$154</f>
        <v>0</v>
      </c>
      <c r="E12" s="96">
        <f>'Financial Model'!E274/'Financial Model'!E$154</f>
        <v>0</v>
      </c>
      <c r="F12" s="96">
        <f>'Financial Model'!F277/'Financial Model'!F$154</f>
        <v>0</v>
      </c>
      <c r="G12" s="96">
        <f>'Financial Model'!G277/'Financial Model'!G$154</f>
        <v>507.84979140000002</v>
      </c>
      <c r="H12" s="96">
        <f>'Financial Model'!H277/'Financial Model'!H$154</f>
        <v>609.41974968000011</v>
      </c>
      <c r="I12" s="96">
        <f>'Financial Model'!I277/'Financial Model'!I$154</f>
        <v>677.13305520000006</v>
      </c>
      <c r="J12" s="96">
        <f>'Financial Model'!J277/'Financial Model'!J$154</f>
        <v>677.13305520000006</v>
      </c>
      <c r="K12" s="96">
        <f>'Financial Model'!K277/'Financial Model'!K$154</f>
        <v>677.13305520000006</v>
      </c>
      <c r="L12" s="96">
        <f>'Financial Model'!L277/'Financial Model'!L$154</f>
        <v>677.13305520000006</v>
      </c>
      <c r="M12" s="96">
        <f>'Financial Model'!M277/'Financial Model'!M$154</f>
        <v>677.13305520000006</v>
      </c>
      <c r="N12" s="96">
        <f>'Financial Model'!N277/'Financial Model'!N$154</f>
        <v>677.13305520000006</v>
      </c>
      <c r="O12" s="96">
        <f>'Financial Model'!O277/'Financial Model'!O$154</f>
        <v>677.13305520000006</v>
      </c>
      <c r="P12" s="96">
        <f>'Financial Model'!P277/'Financial Model'!P$154</f>
        <v>677.13305520000006</v>
      </c>
      <c r="Q12" s="96">
        <f>'Financial Model'!Q277/'Financial Model'!Q$154</f>
        <v>677.13305520000006</v>
      </c>
      <c r="R12" s="96">
        <f>'Financial Model'!R277/'Financial Model'!R$154</f>
        <v>677.13305519999994</v>
      </c>
      <c r="S12" s="96">
        <f>'Financial Model'!S277/'Financial Model'!S$154</f>
        <v>677.13305520000006</v>
      </c>
      <c r="T12" s="96">
        <f>'Financial Model'!T277/'Financial Model'!T$154</f>
        <v>677.13305520000006</v>
      </c>
      <c r="U12" s="96">
        <f>'Financial Model'!U277/'Financial Model'!U$154</f>
        <v>677.13305520000006</v>
      </c>
      <c r="V12" s="96">
        <f>'Financial Model'!V277/'Financial Model'!V$154</f>
        <v>677.13305520000006</v>
      </c>
      <c r="W12" s="96">
        <f>'Financial Model'!W277/'Financial Model'!W$154</f>
        <v>677.13305520000017</v>
      </c>
      <c r="X12" s="96">
        <f>'Financial Model'!X277/'Financial Model'!X$154</f>
        <v>541.70644416000005</v>
      </c>
      <c r="Y12" s="96">
        <f>'Financial Model'!Y277/'Financial Model'!Y$154</f>
        <v>406.27983312000009</v>
      </c>
      <c r="Z12" s="96">
        <f>'Financial Model'!Z277/'Financial Model'!Z$154</f>
        <v>270.85322208000008</v>
      </c>
      <c r="AA12" s="96">
        <f>'Financial Model'!AA277/'Financial Model'!AA$154</f>
        <v>135.42661104000004</v>
      </c>
    </row>
    <row r="13" spans="1:27" x14ac:dyDescent="0.2">
      <c r="A13" s="66" t="s">
        <v>100</v>
      </c>
      <c r="B13" s="96">
        <f>NPV('Financial Model'!$B$345,'Tong hop NL'!C13:AA13)</f>
        <v>5337.4912095100144</v>
      </c>
      <c r="C13" s="96">
        <f>'Financial Model'!C278/'Financial Model'!C$154</f>
        <v>0</v>
      </c>
      <c r="D13" s="96">
        <f>'Financial Model'!D278/'Financial Model'!D$154</f>
        <v>0</v>
      </c>
      <c r="E13" s="96">
        <f>'Financial Model'!E275/'Financial Model'!E$154</f>
        <v>0</v>
      </c>
      <c r="F13" s="96">
        <f>'Financial Model'!F278/'Financial Model'!F$154</f>
        <v>0</v>
      </c>
      <c r="G13" s="96">
        <f>'Financial Model'!G278/'Financial Model'!G$154</f>
        <v>638.12066662500013</v>
      </c>
      <c r="H13" s="96">
        <f>'Financial Model'!H278/'Financial Model'!H$154</f>
        <v>765.74479995000002</v>
      </c>
      <c r="I13" s="96">
        <f>'Financial Model'!I278/'Financial Model'!I$154</f>
        <v>850.82755550000002</v>
      </c>
      <c r="J13" s="96">
        <f>'Financial Model'!J278/'Financial Model'!J$154</f>
        <v>850.82755550000002</v>
      </c>
      <c r="K13" s="96">
        <f>'Financial Model'!K278/'Financial Model'!K$154</f>
        <v>850.82755550000002</v>
      </c>
      <c r="L13" s="96">
        <f>'Financial Model'!L278/'Financial Model'!L$154</f>
        <v>850.82755550000002</v>
      </c>
      <c r="M13" s="96">
        <f>'Financial Model'!M278/'Financial Model'!M$154</f>
        <v>850.82755550000013</v>
      </c>
      <c r="N13" s="96">
        <f>'Financial Model'!N278/'Financial Model'!N$154</f>
        <v>850.82755550000013</v>
      </c>
      <c r="O13" s="96">
        <f>'Financial Model'!O278/'Financial Model'!O$154</f>
        <v>850.82755550000002</v>
      </c>
      <c r="P13" s="96">
        <f>'Financial Model'!P278/'Financial Model'!P$154</f>
        <v>850.82755550000002</v>
      </c>
      <c r="Q13" s="96">
        <f>'Financial Model'!Q278/'Financial Model'!Q$154</f>
        <v>850.82755550000002</v>
      </c>
      <c r="R13" s="96">
        <f>'Financial Model'!R278/'Financial Model'!R$154</f>
        <v>850.8275554999999</v>
      </c>
      <c r="S13" s="96">
        <f>'Financial Model'!S278/'Financial Model'!S$154</f>
        <v>850.82755550000002</v>
      </c>
      <c r="T13" s="96">
        <f>'Financial Model'!T278/'Financial Model'!T$154</f>
        <v>850.8275554999999</v>
      </c>
      <c r="U13" s="96">
        <f>'Financial Model'!U278/'Financial Model'!U$154</f>
        <v>850.82755550000002</v>
      </c>
      <c r="V13" s="96">
        <f>'Financial Model'!V278/'Financial Model'!V$154</f>
        <v>850.8275554999999</v>
      </c>
      <c r="W13" s="96">
        <f>'Financial Model'!W278/'Financial Model'!W$154</f>
        <v>850.82755550000002</v>
      </c>
      <c r="X13" s="96">
        <f>'Financial Model'!X278/'Financial Model'!X$154</f>
        <v>680.66204440000001</v>
      </c>
      <c r="Y13" s="96">
        <f>'Financial Model'!Y278/'Financial Model'!Y$154</f>
        <v>510.49653330000012</v>
      </c>
      <c r="Z13" s="96">
        <f>'Financial Model'!Z278/'Financial Model'!Z$154</f>
        <v>340.33102220000006</v>
      </c>
      <c r="AA13" s="96">
        <f>'Financial Model'!AA278/'Financial Model'!AA$154</f>
        <v>170.16551110000006</v>
      </c>
    </row>
    <row r="14" spans="1:27" x14ac:dyDescent="0.2">
      <c r="A14" s="66" t="s">
        <v>128</v>
      </c>
      <c r="B14" s="96">
        <f>NPV('Financial Model'!$B$345,'Tong hop NL'!C14:AA14)</f>
        <v>21676.138769620105</v>
      </c>
      <c r="C14" s="96">
        <f>'Financial Model'!C279/'Financial Model'!C$154</f>
        <v>0</v>
      </c>
      <c r="D14" s="96">
        <f>'Financial Model'!D279/'Financial Model'!D$154</f>
        <v>0</v>
      </c>
      <c r="E14" s="96">
        <f>'Financial Model'!E276/'Financial Model'!E$154</f>
        <v>0</v>
      </c>
      <c r="F14" s="96">
        <f>'Financial Model'!F279/'Financial Model'!F$154</f>
        <v>0</v>
      </c>
      <c r="G14" s="96">
        <f>'Financial Model'!G279/'Financial Model'!G$154</f>
        <v>1887.13544394375</v>
      </c>
      <c r="H14" s="96">
        <f>'Financial Model'!H279/'Financial Model'!H$154</f>
        <v>2480.9592623582807</v>
      </c>
      <c r="I14" s="96">
        <f>'Financial Model'!I279/'Financial Model'!I$154</f>
        <v>2605.0072254761958</v>
      </c>
      <c r="J14" s="96">
        <f>'Financial Model'!J279/'Financial Model'!J$154</f>
        <v>2735.257586750005</v>
      </c>
      <c r="K14" s="96">
        <f>'Financial Model'!K279/'Financial Model'!K$154</f>
        <v>2872.0204660875056</v>
      </c>
      <c r="L14" s="96">
        <f>'Financial Model'!L279/'Financial Model'!L$154</f>
        <v>3015.6214893918814</v>
      </c>
      <c r="M14" s="96">
        <f>'Financial Model'!M279/'Financial Model'!M$154</f>
        <v>3166.4025638614753</v>
      </c>
      <c r="N14" s="96">
        <f>'Financial Model'!N279/'Financial Model'!N$154</f>
        <v>3324.7226920545486</v>
      </c>
      <c r="O14" s="96">
        <f>'Financial Model'!O279/'Financial Model'!O$154</f>
        <v>3490.9588266572764</v>
      </c>
      <c r="P14" s="96">
        <f>'Financial Model'!P279/'Financial Model'!P$154</f>
        <v>3665.506767990139</v>
      </c>
      <c r="Q14" s="96">
        <f>'Financial Model'!Q279/'Financial Model'!Q$154</f>
        <v>3848.7821063896472</v>
      </c>
      <c r="R14" s="96">
        <f>'Financial Model'!R279/'Financial Model'!R$154</f>
        <v>4041.2212117091299</v>
      </c>
      <c r="S14" s="96">
        <f>'Financial Model'!S279/'Financial Model'!S$154</f>
        <v>4243.2822722945866</v>
      </c>
      <c r="T14" s="96">
        <f>'Financial Model'!T279/'Financial Model'!T$154</f>
        <v>4455.4463859093166</v>
      </c>
      <c r="U14" s="96">
        <f>'Financial Model'!U279/'Financial Model'!U$154</f>
        <v>4678.2187052047821</v>
      </c>
      <c r="V14" s="96">
        <f>'Financial Model'!V279/'Financial Model'!V$154</f>
        <v>4912.1296404650211</v>
      </c>
      <c r="W14" s="96">
        <f>'Financial Model'!W279/'Financial Model'!W$154</f>
        <v>5157.7361224882716</v>
      </c>
      <c r="X14" s="96">
        <f>'Financial Model'!X279/'Financial Model'!X$154</f>
        <v>4289.6023196932165</v>
      </c>
      <c r="Y14" s="96">
        <f>'Financial Model'!Y279/'Financial Model'!Y$154</f>
        <v>3378.0618267584073</v>
      </c>
      <c r="Z14" s="96">
        <f>'Financial Model'!Z279/'Financial Model'!Z$154</f>
        <v>2857.2772951331531</v>
      </c>
      <c r="AA14" s="96">
        <f>'Financial Model'!AA279/'Financial Model'!AA$154</f>
        <v>1655.2502951116198</v>
      </c>
    </row>
    <row r="15" spans="1:27" x14ac:dyDescent="0.2">
      <c r="A15" s="66" t="s">
        <v>118</v>
      </c>
      <c r="B15" s="96">
        <f>NPV('Financial Model'!$B$345,'Tong hop NL'!C15:AA15)</f>
        <v>33149.613597879623</v>
      </c>
      <c r="C15" s="96">
        <f>'Financial Model'!C281/'Financial Model'!C$154</f>
        <v>0</v>
      </c>
      <c r="D15" s="96">
        <f>'Financial Model'!D281/'Financial Model'!D$154</f>
        <v>0</v>
      </c>
      <c r="E15" s="96">
        <f>'Financial Model'!E278/'Financial Model'!E$154</f>
        <v>0</v>
      </c>
      <c r="F15" s="96">
        <f>'Financial Model'!F281/'Financial Model'!F$154</f>
        <v>0</v>
      </c>
      <c r="G15" s="96">
        <f>'Financial Model'!G281/'Financial Model'!G$154</f>
        <v>5624.4375</v>
      </c>
      <c r="H15" s="96">
        <f>'Financial Model'!H281/'Financial Model'!H$154</f>
        <v>6749.3250000000007</v>
      </c>
      <c r="I15" s="96">
        <f>'Financial Model'!I281/'Financial Model'!I$154</f>
        <v>7499.2499999999991</v>
      </c>
      <c r="J15" s="96">
        <f>'Financial Model'!J281/'Financial Model'!J$154</f>
        <v>7499.25</v>
      </c>
      <c r="K15" s="96">
        <f>'Financial Model'!K281/'Financial Model'!K$154</f>
        <v>7499.2499999999991</v>
      </c>
      <c r="L15" s="96">
        <f>'Financial Model'!L281/'Financial Model'!L$154</f>
        <v>4999.5</v>
      </c>
      <c r="M15" s="96">
        <f>'Financial Model'!M281/'Financial Model'!M$154</f>
        <v>4999.5000000000018</v>
      </c>
      <c r="N15" s="96">
        <f>'Financial Model'!N281/'Financial Model'!N$154</f>
        <v>4999.5000000000009</v>
      </c>
      <c r="O15" s="96">
        <f>'Financial Model'!O281/'Financial Model'!O$154</f>
        <v>4999.5000000000009</v>
      </c>
      <c r="P15" s="96">
        <f>'Financial Model'!P281/'Financial Model'!P$154</f>
        <v>4999.5</v>
      </c>
      <c r="Q15" s="96">
        <f>'Financial Model'!Q281/'Financial Model'!Q$154</f>
        <v>2499.75</v>
      </c>
      <c r="R15" s="96">
        <f>'Financial Model'!R281/'Financial Model'!R$154</f>
        <v>2499.7500000000005</v>
      </c>
      <c r="S15" s="96">
        <f>'Financial Model'!S281/'Financial Model'!S$154</f>
        <v>2499.75</v>
      </c>
      <c r="T15" s="96">
        <f>'Financial Model'!T281/'Financial Model'!T$154</f>
        <v>2499.7500000000005</v>
      </c>
      <c r="U15" s="96">
        <f>'Financial Model'!U281/'Financial Model'!U$154</f>
        <v>2499.7500000000005</v>
      </c>
      <c r="V15" s="96">
        <f>'Financial Model'!V281/'Financial Model'!V$154</f>
        <v>2499.75</v>
      </c>
      <c r="W15" s="96">
        <f>'Financial Model'!W281/'Financial Model'!W$154</f>
        <v>2499.75</v>
      </c>
      <c r="X15" s="96">
        <f>'Financial Model'!X281/'Financial Model'!X$154</f>
        <v>1999.8000000000002</v>
      </c>
      <c r="Y15" s="96">
        <f>'Financial Model'!Y281/'Financial Model'!Y$154</f>
        <v>1499.8500000000004</v>
      </c>
      <c r="Z15" s="96">
        <f>'Financial Model'!Z281/'Financial Model'!Z$154</f>
        <v>999.90000000000009</v>
      </c>
      <c r="AA15" s="96">
        <f>'Financial Model'!AA281/'Financial Model'!AA$154</f>
        <v>499.95000000000027</v>
      </c>
    </row>
    <row r="16" spans="1:27" x14ac:dyDescent="0.2">
      <c r="A16" s="66" t="s">
        <v>143</v>
      </c>
      <c r="B16" s="96">
        <f>NPV('Financial Model'!$B$345,'Tong hop NL'!C16:AA16)</f>
        <v>4551.3551957055006</v>
      </c>
      <c r="C16" s="96">
        <f>'Financial Model'!C282/'Financial Model'!C$154</f>
        <v>0</v>
      </c>
      <c r="D16" s="96">
        <f>'Financial Model'!D282/'Financial Model'!D$154</f>
        <v>0</v>
      </c>
      <c r="E16" s="96">
        <f>'Financial Model'!E279/'Financial Model'!E$154</f>
        <v>0</v>
      </c>
      <c r="F16" s="96">
        <f>'Financial Model'!F282/'Financial Model'!F$154</f>
        <v>0</v>
      </c>
      <c r="G16" s="96">
        <f>'Financial Model'!G282/'Financial Model'!G$154</f>
        <v>457.92982462500004</v>
      </c>
      <c r="H16" s="96">
        <f>'Financial Model'!H282/'Financial Model'!H$154</f>
        <v>480.82631585625001</v>
      </c>
      <c r="I16" s="96">
        <f>'Financial Model'!I282/'Financial Model'!I$154</f>
        <v>504.86763164906262</v>
      </c>
      <c r="J16" s="96">
        <f>'Financial Model'!J282/'Financial Model'!J$154</f>
        <v>530.11101323151559</v>
      </c>
      <c r="K16" s="96">
        <f>'Financial Model'!K282/'Financial Model'!K$154</f>
        <v>556.61656389309144</v>
      </c>
      <c r="L16" s="96">
        <f>'Financial Model'!L282/'Financial Model'!L$154</f>
        <v>584.44739208774604</v>
      </c>
      <c r="M16" s="96">
        <f>'Financial Model'!M282/'Financial Model'!M$154</f>
        <v>613.66976169213342</v>
      </c>
      <c r="N16" s="96">
        <f>'Financial Model'!N282/'Financial Model'!N$154</f>
        <v>644.35324977673997</v>
      </c>
      <c r="O16" s="96">
        <f>'Financial Model'!O282/'Financial Model'!O$154</f>
        <v>676.57091226557702</v>
      </c>
      <c r="P16" s="96">
        <f>'Financial Model'!P282/'Financial Model'!P$154</f>
        <v>710.39945787885574</v>
      </c>
      <c r="Q16" s="96">
        <f>'Financial Model'!Q282/'Financial Model'!Q$154</f>
        <v>745.91943077279871</v>
      </c>
      <c r="R16" s="96">
        <f>'Financial Model'!R282/'Financial Model'!R$154</f>
        <v>783.21540231143854</v>
      </c>
      <c r="S16" s="96">
        <f>'Financial Model'!S282/'Financial Model'!S$154</f>
        <v>822.37617242701083</v>
      </c>
      <c r="T16" s="96">
        <f>'Financial Model'!T282/'Financial Model'!T$154</f>
        <v>863.4949810483613</v>
      </c>
      <c r="U16" s="96">
        <f>'Financial Model'!U282/'Financial Model'!U$154</f>
        <v>906.66973010077925</v>
      </c>
      <c r="V16" s="96">
        <f>'Financial Model'!V282/'Financial Model'!V$154</f>
        <v>952.00321660581824</v>
      </c>
      <c r="W16" s="96">
        <f>'Financial Model'!W282/'Financial Model'!W$154</f>
        <v>999.6033774361091</v>
      </c>
      <c r="X16" s="96">
        <f>'Financial Model'!X282/'Financial Model'!X$154</f>
        <v>1049.5835463079145</v>
      </c>
      <c r="Y16" s="96">
        <f>'Financial Model'!Y282/'Financial Model'!Y$154</f>
        <v>1102.0627236233104</v>
      </c>
      <c r="Z16" s="96">
        <f>'Financial Model'!Z282/'Financial Model'!Z$154</f>
        <v>1157.1658598044758</v>
      </c>
      <c r="AA16" s="96">
        <f>'Financial Model'!AA282/'Financial Model'!AA$154</f>
        <v>1215.0241527946996</v>
      </c>
    </row>
    <row r="17" spans="1:27" x14ac:dyDescent="0.2">
      <c r="A17" s="66" t="s">
        <v>119</v>
      </c>
      <c r="B17" s="96">
        <f>NPV('Financial Model'!$B$345,'Tong hop NL'!C17:AA17)</f>
        <v>447.3338350112756</v>
      </c>
      <c r="C17" s="96">
        <f>'Financial Model'!C283/'Financial Model'!C$154</f>
        <v>0</v>
      </c>
      <c r="D17" s="96">
        <f>'Financial Model'!D283/'Financial Model'!D$154</f>
        <v>0</v>
      </c>
      <c r="E17" s="96">
        <f>'Financial Model'!E280/'Financial Model'!E$154</f>
        <v>0</v>
      </c>
      <c r="F17" s="96">
        <f>'Financial Model'!F283/'Financial Model'!F$154</f>
        <v>0</v>
      </c>
      <c r="G17" s="96">
        <f>'Financial Model'!G283/'Financial Model'!G$154</f>
        <v>74.636500569911078</v>
      </c>
      <c r="H17" s="96">
        <f>'Financial Model'!H283/'Financial Model'!H$154</f>
        <v>73.31679820227022</v>
      </c>
      <c r="I17" s="96">
        <f>'Financial Model'!I283/'Financial Model'!I$154</f>
        <v>72.020430454096484</v>
      </c>
      <c r="J17" s="96">
        <f>'Financial Model'!J283/'Financial Model'!J$154</f>
        <v>70.746984728974923</v>
      </c>
      <c r="K17" s="96">
        <f>'Financial Model'!K283/'Financial Model'!K$154</f>
        <v>69.496055725908576</v>
      </c>
      <c r="L17" s="96">
        <f>'Financial Model'!L283/'Financial Model'!L$154</f>
        <v>68.267245310322764</v>
      </c>
      <c r="M17" s="96">
        <f>'Financial Model'!M283/'Financial Model'!M$154</f>
        <v>67.060162387350459</v>
      </c>
      <c r="N17" s="96">
        <f>'Financial Model'!N283/'Financial Model'!N$154</f>
        <v>65.874422777358021</v>
      </c>
      <c r="O17" s="96">
        <f>'Financial Model'!O283/'Financial Model'!O$154</f>
        <v>64.709649093671928</v>
      </c>
      <c r="P17" s="96">
        <f>'Financial Model'!P283/'Financial Model'!P$154</f>
        <v>63.565470622467522</v>
      </c>
      <c r="Q17" s="96">
        <f>'Financial Model'!Q283/'Financial Model'!Q$154</f>
        <v>62.441523204781454</v>
      </c>
      <c r="R17" s="96">
        <f>'Financial Model'!R283/'Financial Model'!R$154</f>
        <v>61.337449120610472</v>
      </c>
      <c r="S17" s="96">
        <f>'Financial Model'!S283/'Financial Model'!S$154</f>
        <v>60.2528969750594</v>
      </c>
      <c r="T17" s="96">
        <f>'Financial Model'!T283/'Financial Model'!T$154</f>
        <v>59.187521586502356</v>
      </c>
      <c r="U17" s="96">
        <f>'Financial Model'!U283/'Financial Model'!U$154</f>
        <v>58.140983876721371</v>
      </c>
      <c r="V17" s="96">
        <f>'Financial Model'!V283/'Financial Model'!V$154</f>
        <v>57.112950762987595</v>
      </c>
      <c r="W17" s="96">
        <f>'Financial Model'!W283/'Financial Model'!W$154</f>
        <v>56.103095052050683</v>
      </c>
      <c r="X17" s="96">
        <f>'Financial Model'!X283/'Financial Model'!X$154</f>
        <v>55.111095336002634</v>
      </c>
      <c r="Y17" s="96">
        <f>'Financial Model'!Y283/'Financial Model'!Y$154</f>
        <v>54.136635889982941</v>
      </c>
      <c r="Z17" s="96">
        <f>'Financial Model'!Z283/'Financial Model'!Z$154</f>
        <v>53.179406571692482</v>
      </c>
      <c r="AA17" s="96">
        <f>'Financial Model'!AA283/'Financial Model'!AA$154</f>
        <v>52.239102722684159</v>
      </c>
    </row>
    <row r="18" spans="1:27" x14ac:dyDescent="0.2">
      <c r="A18" s="66" t="s">
        <v>121</v>
      </c>
      <c r="B18" s="96">
        <f>NPV('Financial Model'!$B$345,'Tong hop NL'!C18:AA18)</f>
        <v>17398.176545669947</v>
      </c>
      <c r="C18" s="96">
        <f>'Financial Model'!C284/'Financial Model'!C$154</f>
        <v>0</v>
      </c>
      <c r="D18" s="96">
        <f>'Financial Model'!D284/'Financial Model'!D$154</f>
        <v>0</v>
      </c>
      <c r="E18" s="96">
        <f>'Financial Model'!E281/'Financial Model'!E$154</f>
        <v>0</v>
      </c>
      <c r="F18" s="96">
        <f>'Financial Model'!F284/'Financial Model'!F$154</f>
        <v>0</v>
      </c>
      <c r="G18" s="96">
        <f>'Financial Model'!G284/'Financial Model'!G$154</f>
        <v>2571.3822199506508</v>
      </c>
      <c r="H18" s="96">
        <f>'Financial Model'!H284/'Financial Model'!H$154</f>
        <v>2571.3822199506508</v>
      </c>
      <c r="I18" s="96">
        <f>'Financial Model'!I284/'Financial Model'!I$154</f>
        <v>2571.3822199506512</v>
      </c>
      <c r="J18" s="96">
        <f>'Financial Model'!J284/'Financial Model'!J$154</f>
        <v>2571.3822199506508</v>
      </c>
      <c r="K18" s="96">
        <f>'Financial Model'!K284/'Financial Model'!K$154</f>
        <v>2571.3822199506508</v>
      </c>
      <c r="L18" s="96">
        <f>'Financial Model'!L284/'Financial Model'!L$154</f>
        <v>2571.3822199506508</v>
      </c>
      <c r="M18" s="96">
        <f>'Financial Model'!M284/'Financial Model'!M$154</f>
        <v>2571.3822199506508</v>
      </c>
      <c r="N18" s="96">
        <f>'Financial Model'!N284/'Financial Model'!N$154</f>
        <v>2571.3822199506508</v>
      </c>
      <c r="O18" s="96">
        <f>'Financial Model'!O284/'Financial Model'!O$154</f>
        <v>2571.3822199506508</v>
      </c>
      <c r="P18" s="96">
        <f>'Financial Model'!P284/'Financial Model'!P$154</f>
        <v>2571.3822199506508</v>
      </c>
      <c r="Q18" s="96">
        <f>'Financial Model'!Q284/'Financial Model'!Q$154</f>
        <v>2571.3822199506508</v>
      </c>
      <c r="R18" s="96">
        <f>'Financial Model'!R284/'Financial Model'!R$154</f>
        <v>2571.3822199506508</v>
      </c>
      <c r="S18" s="96">
        <f>'Financial Model'!S284/'Financial Model'!S$154</f>
        <v>2571.3822199506512</v>
      </c>
      <c r="T18" s="96">
        <f>'Financial Model'!T284/'Financial Model'!T$154</f>
        <v>2571.3822199506508</v>
      </c>
      <c r="U18" s="96">
        <f>'Financial Model'!U284/'Financial Model'!U$154</f>
        <v>2571.3822199506508</v>
      </c>
      <c r="V18" s="96">
        <f>'Financial Model'!V284/'Financial Model'!V$154</f>
        <v>2571.3822199506508</v>
      </c>
      <c r="W18" s="96">
        <f>'Financial Model'!W284/'Financial Model'!W$154</f>
        <v>2571.3822199506508</v>
      </c>
      <c r="X18" s="96">
        <f>'Financial Model'!X284/'Financial Model'!X$154</f>
        <v>2571.3822199506508</v>
      </c>
      <c r="Y18" s="96">
        <f>'Financial Model'!Y284/'Financial Model'!Y$154</f>
        <v>2571.3822199506512</v>
      </c>
      <c r="Z18" s="96">
        <f>'Financial Model'!Z284/'Financial Model'!Z$154</f>
        <v>2571.3822199506512</v>
      </c>
      <c r="AA18" s="96">
        <f>'Financial Model'!AA284/'Financial Model'!AA$154</f>
        <v>2571.3822199506508</v>
      </c>
    </row>
    <row r="19" spans="1:27" x14ac:dyDescent="0.2">
      <c r="A19" s="66" t="s">
        <v>122</v>
      </c>
      <c r="B19" s="96">
        <f>NPV('Financial Model'!$B$345,'Tong hop NL'!C19:AA19)</f>
        <v>1739.8176545669955</v>
      </c>
      <c r="C19" s="96">
        <f>'Financial Model'!C285/'Financial Model'!C$154</f>
        <v>0</v>
      </c>
      <c r="D19" s="96">
        <f>'Financial Model'!D285/'Financial Model'!D$154</f>
        <v>0</v>
      </c>
      <c r="E19" s="96">
        <f>'Financial Model'!E282/'Financial Model'!E$154</f>
        <v>0</v>
      </c>
      <c r="F19" s="96">
        <f>'Financial Model'!F285/'Financial Model'!F$154</f>
        <v>0</v>
      </c>
      <c r="G19" s="96">
        <f>'Financial Model'!G285/'Financial Model'!G$154</f>
        <v>257.13822199506507</v>
      </c>
      <c r="H19" s="96">
        <f>'Financial Model'!H285/'Financial Model'!H$154</f>
        <v>257.13822199506507</v>
      </c>
      <c r="I19" s="96">
        <f>'Financial Model'!I285/'Financial Model'!I$154</f>
        <v>257.13822199506507</v>
      </c>
      <c r="J19" s="96">
        <f>'Financial Model'!J285/'Financial Model'!J$154</f>
        <v>257.13822199506507</v>
      </c>
      <c r="K19" s="96">
        <f>'Financial Model'!K285/'Financial Model'!K$154</f>
        <v>257.13822199506512</v>
      </c>
      <c r="L19" s="96">
        <f>'Financial Model'!L285/'Financial Model'!L$154</f>
        <v>257.13822199506512</v>
      </c>
      <c r="M19" s="96">
        <f>'Financial Model'!M285/'Financial Model'!M$154</f>
        <v>257.13822199506512</v>
      </c>
      <c r="N19" s="96">
        <f>'Financial Model'!N285/'Financial Model'!N$154</f>
        <v>257.13822199506512</v>
      </c>
      <c r="O19" s="96">
        <f>'Financial Model'!O285/'Financial Model'!O$154</f>
        <v>257.13822199506512</v>
      </c>
      <c r="P19" s="96">
        <f>'Financial Model'!P285/'Financial Model'!P$154</f>
        <v>257.13822199506512</v>
      </c>
      <c r="Q19" s="96">
        <f>'Financial Model'!Q285/'Financial Model'!Q$154</f>
        <v>257.13822199506507</v>
      </c>
      <c r="R19" s="96">
        <f>'Financial Model'!R285/'Financial Model'!R$154</f>
        <v>257.13822199506507</v>
      </c>
      <c r="S19" s="96">
        <f>'Financial Model'!S285/'Financial Model'!S$154</f>
        <v>257.13822199506507</v>
      </c>
      <c r="T19" s="96">
        <f>'Financial Model'!T285/'Financial Model'!T$154</f>
        <v>257.13822199506507</v>
      </c>
      <c r="U19" s="96">
        <f>'Financial Model'!U285/'Financial Model'!U$154</f>
        <v>257.13822199506507</v>
      </c>
      <c r="V19" s="96">
        <f>'Financial Model'!V285/'Financial Model'!V$154</f>
        <v>257.13822199506512</v>
      </c>
      <c r="W19" s="96">
        <f>'Financial Model'!W285/'Financial Model'!W$154</f>
        <v>257.13822199506512</v>
      </c>
      <c r="X19" s="96">
        <f>'Financial Model'!X285/'Financial Model'!X$154</f>
        <v>257.13822199506512</v>
      </c>
      <c r="Y19" s="96">
        <f>'Financial Model'!Y285/'Financial Model'!Y$154</f>
        <v>257.13822199506507</v>
      </c>
      <c r="Z19" s="96">
        <f>'Financial Model'!Z285/'Financial Model'!Z$154</f>
        <v>257.13822199506507</v>
      </c>
      <c r="AA19" s="96">
        <f>'Financial Model'!AA285/'Financial Model'!AA$154</f>
        <v>257.13822199506512</v>
      </c>
    </row>
    <row r="20" spans="1:27" x14ac:dyDescent="0.2">
      <c r="A20" s="66" t="s">
        <v>123</v>
      </c>
      <c r="B20" s="96">
        <f>NPV('Financial Model'!$B$345,'Tong hop NL'!C20:AA20)</f>
        <v>1739.8176545669955</v>
      </c>
      <c r="C20" s="96">
        <f>'Financial Model'!C286/'Financial Model'!C$154</f>
        <v>0</v>
      </c>
      <c r="D20" s="96">
        <f>'Financial Model'!D286/'Financial Model'!D$154</f>
        <v>0</v>
      </c>
      <c r="E20" s="96">
        <f>'Financial Model'!E283/'Financial Model'!E$154</f>
        <v>0</v>
      </c>
      <c r="F20" s="96">
        <f>'Financial Model'!F286/'Financial Model'!F$154</f>
        <v>0</v>
      </c>
      <c r="G20" s="96">
        <f>'Financial Model'!G286/'Financial Model'!G$154</f>
        <v>257.13822199506507</v>
      </c>
      <c r="H20" s="96">
        <f>'Financial Model'!H286/'Financial Model'!H$154</f>
        <v>257.13822199506507</v>
      </c>
      <c r="I20" s="96">
        <f>'Financial Model'!I286/'Financial Model'!I$154</f>
        <v>257.13822199506507</v>
      </c>
      <c r="J20" s="96">
        <f>'Financial Model'!J286/'Financial Model'!J$154</f>
        <v>257.13822199506507</v>
      </c>
      <c r="K20" s="96">
        <f>'Financial Model'!K286/'Financial Model'!K$154</f>
        <v>257.13822199506512</v>
      </c>
      <c r="L20" s="96">
        <f>'Financial Model'!L286/'Financial Model'!L$154</f>
        <v>257.13822199506512</v>
      </c>
      <c r="M20" s="96">
        <f>'Financial Model'!M286/'Financial Model'!M$154</f>
        <v>257.13822199506512</v>
      </c>
      <c r="N20" s="96">
        <f>'Financial Model'!N286/'Financial Model'!N$154</f>
        <v>257.13822199506512</v>
      </c>
      <c r="O20" s="96">
        <f>'Financial Model'!O286/'Financial Model'!O$154</f>
        <v>257.13822199506512</v>
      </c>
      <c r="P20" s="96">
        <f>'Financial Model'!P286/'Financial Model'!P$154</f>
        <v>257.13822199506512</v>
      </c>
      <c r="Q20" s="96">
        <f>'Financial Model'!Q286/'Financial Model'!Q$154</f>
        <v>257.13822199506507</v>
      </c>
      <c r="R20" s="96">
        <f>'Financial Model'!R286/'Financial Model'!R$154</f>
        <v>257.13822199506507</v>
      </c>
      <c r="S20" s="96">
        <f>'Financial Model'!S286/'Financial Model'!S$154</f>
        <v>257.13822199506507</v>
      </c>
      <c r="T20" s="96">
        <f>'Financial Model'!T286/'Financial Model'!T$154</f>
        <v>257.13822199506507</v>
      </c>
      <c r="U20" s="96">
        <f>'Financial Model'!U286/'Financial Model'!U$154</f>
        <v>257.13822199506507</v>
      </c>
      <c r="V20" s="96">
        <f>'Financial Model'!V286/'Financial Model'!V$154</f>
        <v>257.13822199506512</v>
      </c>
      <c r="W20" s="96">
        <f>'Financial Model'!W286/'Financial Model'!W$154</f>
        <v>257.13822199506512</v>
      </c>
      <c r="X20" s="96">
        <f>'Financial Model'!X286/'Financial Model'!X$154</f>
        <v>257.13822199506512</v>
      </c>
      <c r="Y20" s="96">
        <f>'Financial Model'!Y286/'Financial Model'!Y$154</f>
        <v>257.13822199506507</v>
      </c>
      <c r="Z20" s="96">
        <f>'Financial Model'!Z286/'Financial Model'!Z$154</f>
        <v>257.13822199506507</v>
      </c>
      <c r="AA20" s="96">
        <f>'Financial Model'!AA286/'Financial Model'!AA$154</f>
        <v>257.13822199506512</v>
      </c>
    </row>
    <row r="21" spans="1:27" x14ac:dyDescent="0.2">
      <c r="A21" s="66" t="s">
        <v>272</v>
      </c>
      <c r="B21" s="96">
        <f>NPV('Financial Model'!$B$345,'Tong hop NL'!C21:AA21)</f>
        <v>5915.3800255277847</v>
      </c>
      <c r="C21" s="96">
        <f>'Financial Model'!C287/'Financial Model'!C$154</f>
        <v>0</v>
      </c>
      <c r="D21" s="96">
        <f>'Financial Model'!D287/'Financial Model'!D$154</f>
        <v>0</v>
      </c>
      <c r="E21" s="96">
        <f>'Financial Model'!E284/'Financial Model'!E$154</f>
        <v>0</v>
      </c>
      <c r="F21" s="96">
        <f>'Financial Model'!F287/'Financial Model'!F$154</f>
        <v>0</v>
      </c>
      <c r="G21" s="96">
        <f>'Financial Model'!G287/'Financial Model'!G$154</f>
        <v>874.26995478322112</v>
      </c>
      <c r="H21" s="96">
        <f>'Financial Model'!H287/'Financial Model'!H$154</f>
        <v>874.26995478322124</v>
      </c>
      <c r="I21" s="96">
        <f>'Financial Model'!I287/'Financial Model'!I$154</f>
        <v>874.26995478322124</v>
      </c>
      <c r="J21" s="96">
        <f>'Financial Model'!J287/'Financial Model'!J$154</f>
        <v>874.26995478322135</v>
      </c>
      <c r="K21" s="96">
        <f>'Financial Model'!K287/'Financial Model'!K$154</f>
        <v>874.26995478322124</v>
      </c>
      <c r="L21" s="96">
        <f>'Financial Model'!L287/'Financial Model'!L$154</f>
        <v>874.26995478322135</v>
      </c>
      <c r="M21" s="96">
        <f>'Financial Model'!M287/'Financial Model'!M$154</f>
        <v>874.26995478322112</v>
      </c>
      <c r="N21" s="96">
        <f>'Financial Model'!N287/'Financial Model'!N$154</f>
        <v>874.26995478322135</v>
      </c>
      <c r="O21" s="96">
        <f>'Financial Model'!O287/'Financial Model'!O$154</f>
        <v>874.26995478322124</v>
      </c>
      <c r="P21" s="96">
        <f>'Financial Model'!P287/'Financial Model'!P$154</f>
        <v>874.26995478322135</v>
      </c>
      <c r="Q21" s="96">
        <f>'Financial Model'!Q287/'Financial Model'!Q$154</f>
        <v>874.26995478322112</v>
      </c>
      <c r="R21" s="96">
        <f>'Financial Model'!R287/'Financial Model'!R$154</f>
        <v>874.26995478322135</v>
      </c>
      <c r="S21" s="96">
        <f>'Financial Model'!S287/'Financial Model'!S$154</f>
        <v>874.26995478322135</v>
      </c>
      <c r="T21" s="96">
        <f>'Financial Model'!T287/'Financial Model'!T$154</f>
        <v>874.26995478322135</v>
      </c>
      <c r="U21" s="96">
        <f>'Financial Model'!U287/'Financial Model'!U$154</f>
        <v>874.26995478322112</v>
      </c>
      <c r="V21" s="96">
        <f>'Financial Model'!V287/'Financial Model'!V$154</f>
        <v>874.26995478322124</v>
      </c>
      <c r="W21" s="96">
        <f>'Financial Model'!W287/'Financial Model'!W$154</f>
        <v>874.26995478322124</v>
      </c>
      <c r="X21" s="96">
        <f>'Financial Model'!X287/'Financial Model'!X$154</f>
        <v>874.26995478322135</v>
      </c>
      <c r="Y21" s="96">
        <f>'Financial Model'!Y287/'Financial Model'!Y$154</f>
        <v>874.26995478322135</v>
      </c>
      <c r="Z21" s="96">
        <f>'Financial Model'!Z287/'Financial Model'!Z$154</f>
        <v>874.26995478322124</v>
      </c>
      <c r="AA21" s="96">
        <f>'Financial Model'!AA287/'Financial Model'!AA$154</f>
        <v>874.26995478322124</v>
      </c>
    </row>
    <row r="22" spans="1:27" x14ac:dyDescent="0.2">
      <c r="A22" s="66" t="s">
        <v>271</v>
      </c>
      <c r="B22" s="96">
        <f>NPV('Financial Model'!$B$345,'Tong hop NL'!C22:AA22)</f>
        <v>27141.155411245127</v>
      </c>
      <c r="C22" s="96">
        <f>'Financial Model'!C288/'Financial Model'!C$154</f>
        <v>0</v>
      </c>
      <c r="D22" s="96">
        <f>'Financial Model'!D288/'Financial Model'!D$154</f>
        <v>0</v>
      </c>
      <c r="E22" s="96">
        <f>'Financial Model'!E285/'Financial Model'!E$154</f>
        <v>0</v>
      </c>
      <c r="F22" s="96">
        <f>'Financial Model'!F288/'Financial Model'!F$154</f>
        <v>0</v>
      </c>
      <c r="G22" s="96">
        <f>'Financial Model'!G288/'Financial Model'!G$154</f>
        <v>4011.3562631230157</v>
      </c>
      <c r="H22" s="96">
        <f>'Financial Model'!H288/'Financial Model'!H$154</f>
        <v>4011.3562631230157</v>
      </c>
      <c r="I22" s="96">
        <f>'Financial Model'!I288/'Financial Model'!I$154</f>
        <v>4011.3562631230157</v>
      </c>
      <c r="J22" s="96">
        <f>'Financial Model'!J288/'Financial Model'!J$154</f>
        <v>4011.3562631230152</v>
      </c>
      <c r="K22" s="96">
        <f>'Financial Model'!K288/'Financial Model'!K$154</f>
        <v>4011.3562631230157</v>
      </c>
      <c r="L22" s="96">
        <f>'Financial Model'!L288/'Financial Model'!L$154</f>
        <v>4011.3562631230161</v>
      </c>
      <c r="M22" s="96">
        <f>'Financial Model'!M288/'Financial Model'!M$154</f>
        <v>4011.3562631230157</v>
      </c>
      <c r="N22" s="96">
        <f>'Financial Model'!N288/'Financial Model'!N$154</f>
        <v>4011.3562631230157</v>
      </c>
      <c r="O22" s="96">
        <f>'Financial Model'!O288/'Financial Model'!O$154</f>
        <v>4011.3562631230157</v>
      </c>
      <c r="P22" s="96">
        <f>'Financial Model'!P288/'Financial Model'!P$154</f>
        <v>4011.3562631230152</v>
      </c>
      <c r="Q22" s="96">
        <f>'Financial Model'!Q288/'Financial Model'!Q$154</f>
        <v>4011.3562631230157</v>
      </c>
      <c r="R22" s="96">
        <f>'Financial Model'!R288/'Financial Model'!R$154</f>
        <v>4011.3562631230157</v>
      </c>
      <c r="S22" s="96">
        <f>'Financial Model'!S288/'Financial Model'!S$154</f>
        <v>4011.3562631230152</v>
      </c>
      <c r="T22" s="96">
        <f>'Financial Model'!T288/'Financial Model'!T$154</f>
        <v>4011.3562631230157</v>
      </c>
      <c r="U22" s="96">
        <f>'Financial Model'!U288/'Financial Model'!U$154</f>
        <v>4011.3562631230152</v>
      </c>
      <c r="V22" s="96">
        <f>'Financial Model'!V288/'Financial Model'!V$154</f>
        <v>4011.3562631230152</v>
      </c>
      <c r="W22" s="96">
        <f>'Financial Model'!W288/'Financial Model'!W$154</f>
        <v>4011.3562631230161</v>
      </c>
      <c r="X22" s="96">
        <f>'Financial Model'!X288/'Financial Model'!X$154</f>
        <v>4011.3562631230152</v>
      </c>
      <c r="Y22" s="96">
        <f>'Financial Model'!Y288/'Financial Model'!Y$154</f>
        <v>4011.3562631230157</v>
      </c>
      <c r="Z22" s="96">
        <f>'Financial Model'!Z288/'Financial Model'!Z$154</f>
        <v>4011.3562631230157</v>
      </c>
      <c r="AA22" s="96">
        <f>'Financial Model'!AA288/'Financial Model'!AA$154</f>
        <v>4011.3562631230157</v>
      </c>
    </row>
    <row r="23" spans="1:27" x14ac:dyDescent="0.2">
      <c r="A23" s="66" t="s">
        <v>270</v>
      </c>
      <c r="B23" s="96">
        <f>NPV('Financial Model'!$B$345,'Tong hop NL'!C23:AA23)</f>
        <v>25401.337756678135</v>
      </c>
      <c r="C23" s="96">
        <f>'Financial Model'!C289/'Financial Model'!C$154</f>
        <v>0</v>
      </c>
      <c r="D23" s="96">
        <f>'Financial Model'!D289/'Financial Model'!D$154</f>
        <v>0</v>
      </c>
      <c r="E23" s="96">
        <f>'Financial Model'!E286/'Financial Model'!E$154</f>
        <v>0</v>
      </c>
      <c r="F23" s="96">
        <f>'Financial Model'!F289/'Financial Model'!F$154</f>
        <v>0</v>
      </c>
      <c r="G23" s="96">
        <f>'Financial Model'!G289/'Financial Model'!G$154</f>
        <v>3754.2180411279501</v>
      </c>
      <c r="H23" s="96">
        <f>'Financial Model'!H289/'Financial Model'!H$154</f>
        <v>3754.2180411279505</v>
      </c>
      <c r="I23" s="96">
        <f>'Financial Model'!I289/'Financial Model'!I$154</f>
        <v>3754.2180411279501</v>
      </c>
      <c r="J23" s="96">
        <f>'Financial Model'!J289/'Financial Model'!J$154</f>
        <v>3754.2180411279501</v>
      </c>
      <c r="K23" s="96">
        <f>'Financial Model'!K289/'Financial Model'!K$154</f>
        <v>3754.2180411279505</v>
      </c>
      <c r="L23" s="96">
        <f>'Financial Model'!L289/'Financial Model'!L$154</f>
        <v>3754.2180411279501</v>
      </c>
      <c r="M23" s="96">
        <f>'Financial Model'!M289/'Financial Model'!M$154</f>
        <v>3754.2180411279496</v>
      </c>
      <c r="N23" s="96">
        <f>'Financial Model'!N289/'Financial Model'!N$154</f>
        <v>3754.2180411279505</v>
      </c>
      <c r="O23" s="96">
        <f>'Financial Model'!O289/'Financial Model'!O$154</f>
        <v>3754.2180411279505</v>
      </c>
      <c r="P23" s="96">
        <f>'Financial Model'!P289/'Financial Model'!P$154</f>
        <v>3754.2180411279501</v>
      </c>
      <c r="Q23" s="96">
        <f>'Financial Model'!Q289/'Financial Model'!Q$154</f>
        <v>3754.218041127951</v>
      </c>
      <c r="R23" s="96">
        <f>'Financial Model'!R289/'Financial Model'!R$154</f>
        <v>3754.2180411279505</v>
      </c>
      <c r="S23" s="96">
        <f>'Financial Model'!S289/'Financial Model'!S$154</f>
        <v>3754.2180411279501</v>
      </c>
      <c r="T23" s="96">
        <f>'Financial Model'!T289/'Financial Model'!T$154</f>
        <v>3754.2180411279505</v>
      </c>
      <c r="U23" s="96">
        <f>'Financial Model'!U289/'Financial Model'!U$154</f>
        <v>3754.2180411279505</v>
      </c>
      <c r="V23" s="96">
        <f>'Financial Model'!V289/'Financial Model'!V$154</f>
        <v>3754.2180411279501</v>
      </c>
      <c r="W23" s="96">
        <f>'Financial Model'!W289/'Financial Model'!W$154</f>
        <v>3754.2180411279501</v>
      </c>
      <c r="X23" s="96">
        <f>'Financial Model'!X289/'Financial Model'!X$154</f>
        <v>3754.2180411279505</v>
      </c>
      <c r="Y23" s="96">
        <f>'Financial Model'!Y289/'Financial Model'!Y$154</f>
        <v>3754.2180411279501</v>
      </c>
      <c r="Z23" s="96">
        <f>'Financial Model'!Z289/'Financial Model'!Z$154</f>
        <v>3754.2180411279505</v>
      </c>
      <c r="AA23" s="96">
        <f>'Financial Model'!AA289/'Financial Model'!AA$154</f>
        <v>3754.2180411279501</v>
      </c>
    </row>
    <row r="24" spans="1:27" x14ac:dyDescent="0.2">
      <c r="A24" s="66" t="s">
        <v>277</v>
      </c>
      <c r="B24" s="96">
        <f ca="1">NPV('Financial Model'!$B$345,'Tong hop NL'!C24:AA24)</f>
        <v>57785.460267621747</v>
      </c>
      <c r="C24" s="96">
        <f>'Financial Model'!C300/'Financial Model'!C$154</f>
        <v>0</v>
      </c>
      <c r="D24" s="96">
        <f>'Financial Model'!D300/'Financial Model'!D$154</f>
        <v>0</v>
      </c>
      <c r="E24" s="96">
        <f>'Financial Model'!E300/'Financial Model'!E$154</f>
        <v>0</v>
      </c>
      <c r="F24" s="96">
        <f>'Financial Model'!F300/'Financial Model'!F$154</f>
        <v>0</v>
      </c>
      <c r="G24" s="96">
        <f ca="1">'Financial Model'!G300/'Financial Model'!G$154</f>
        <v>0</v>
      </c>
      <c r="H24" s="96">
        <f ca="1">'Financial Model'!H300/'Financial Model'!H$154</f>
        <v>0</v>
      </c>
      <c r="I24" s="96">
        <f ca="1">'Financial Model'!I300/'Financial Model'!I$154</f>
        <v>0</v>
      </c>
      <c r="J24" s="96">
        <f ca="1">'Financial Model'!J300/'Financial Model'!J$154</f>
        <v>0</v>
      </c>
      <c r="K24" s="96">
        <f ca="1">'Financial Model'!K300/'Financial Model'!K$154</f>
        <v>2715.8617497839577</v>
      </c>
      <c r="L24" s="96">
        <f ca="1">'Financial Model'!L300/'Financial Model'!L$154</f>
        <v>6024.0360958836036</v>
      </c>
      <c r="M24" s="96">
        <f ca="1">'Financial Model'!M300/'Financial Model'!M$154</f>
        <v>6280.7764016472356</v>
      </c>
      <c r="N24" s="96">
        <f ca="1">'Financial Model'!N300/'Financial Model'!N$154</f>
        <v>6527.5977658006595</v>
      </c>
      <c r="O24" s="96">
        <f ca="1">'Financial Model'!O300/'Financial Model'!O$154</f>
        <v>17594.81177930269</v>
      </c>
      <c r="P24" s="96">
        <f ca="1">'Financial Model'!P300/'Financial Model'!P$154</f>
        <v>17545.593897328508</v>
      </c>
      <c r="Q24" s="96">
        <f ca="1">'Financial Model'!Q300/'Financial Model'!Q$154</f>
        <v>17919.181887291648</v>
      </c>
      <c r="R24" s="96">
        <f ca="1">'Financial Model'!R300/'Financial Model'!R$154</f>
        <v>17865.577689231875</v>
      </c>
      <c r="S24" s="96">
        <f ca="1">'Financial Model'!S300/'Financial Model'!S$154</f>
        <v>22054.674810295146</v>
      </c>
      <c r="T24" s="96">
        <f ca="1">'Financial Model'!T300/'Financial Model'!T$154</f>
        <v>21966.55042972678</v>
      </c>
      <c r="U24" s="96">
        <f ca="1">'Financial Model'!U300/'Financial Model'!U$154</f>
        <v>21875.815423183794</v>
      </c>
      <c r="V24" s="96">
        <f ca="1">'Financial Model'!V300/'Financial Model'!V$154</f>
        <v>21782.343070381117</v>
      </c>
      <c r="W24" s="96">
        <f ca="1">'Financial Model'!W300/'Financial Model'!W$154</f>
        <v>21686.000317496964</v>
      </c>
      <c r="X24" s="96">
        <f ca="1">'Financial Model'!X300/'Financial Model'!X$154</f>
        <v>16764.689270526254</v>
      </c>
      <c r="Y24" s="96">
        <f ca="1">'Financial Model'!Y300/'Financial Model'!Y$154</f>
        <v>11866.702628964222</v>
      </c>
      <c r="Z24" s="96">
        <f ca="1">'Financial Model'!Z300/'Financial Model'!Z$154</f>
        <v>6905.2276434473997</v>
      </c>
      <c r="AA24" s="96">
        <f ca="1">'Financial Model'!AA300/'Financial Model'!AA$154</f>
        <v>2094.6826474542468</v>
      </c>
    </row>
    <row r="25" spans="1:27" x14ac:dyDescent="0.2">
      <c r="A25" s="98" t="s">
        <v>160</v>
      </c>
      <c r="B25" s="96">
        <f>NPV('Financial Model'!$B$345,'Tong hop NL'!C25:AA25)</f>
        <v>400783.29059645755</v>
      </c>
      <c r="C25" s="97">
        <f>'Financial Model'!C239/'Financial Model'!C$154</f>
        <v>15215.444018691589</v>
      </c>
      <c r="D25" s="97">
        <f>'Financial Model'!D239/'Financial Model'!D$154</f>
        <v>147082.62551401873</v>
      </c>
      <c r="E25" s="97">
        <f>'Financial Model'!E239/'Financial Model'!E$154</f>
        <v>253590.73364485978</v>
      </c>
      <c r="F25" s="97">
        <f>'Financial Model'!F239/'Financial Model'!F$154</f>
        <v>91292.664112149549</v>
      </c>
      <c r="G25" s="97">
        <f>'Financial Model'!G239/'Financial Model'!G$154</f>
        <v>0</v>
      </c>
      <c r="H25" s="97">
        <f>'Financial Model'!H239/'Financial Model'!H$154</f>
        <v>0</v>
      </c>
      <c r="I25" s="97">
        <f>'Financial Model'!I239/'Financial Model'!I$154</f>
        <v>0</v>
      </c>
      <c r="J25" s="97">
        <f>'Financial Model'!J239/'Financial Model'!J$154</f>
        <v>0</v>
      </c>
      <c r="K25" s="97">
        <f>'Financial Model'!K239/'Financial Model'!K$154</f>
        <v>0</v>
      </c>
      <c r="L25" s="97">
        <f>'Financial Model'!L239/'Financial Model'!L$154</f>
        <v>0</v>
      </c>
      <c r="M25" s="97">
        <f>'Financial Model'!M239/'Financial Model'!M$154</f>
        <v>0</v>
      </c>
      <c r="N25" s="97">
        <f>'Financial Model'!N239/'Financial Model'!N$154</f>
        <v>0</v>
      </c>
      <c r="O25" s="97">
        <f>'Financial Model'!O239/'Financial Model'!O$154</f>
        <v>0</v>
      </c>
      <c r="P25" s="97">
        <f>'Financial Model'!P239/'Financial Model'!P$154</f>
        <v>0</v>
      </c>
      <c r="Q25" s="97">
        <f>'Financial Model'!Q239/'Financial Model'!Q$154</f>
        <v>0</v>
      </c>
      <c r="R25" s="97">
        <f>'Financial Model'!R239/'Financial Model'!R$154</f>
        <v>0</v>
      </c>
      <c r="S25" s="97">
        <f>'Financial Model'!S239/'Financial Model'!S$154</f>
        <v>0</v>
      </c>
      <c r="T25" s="97">
        <f>'Financial Model'!T239/'Financial Model'!T$154</f>
        <v>0</v>
      </c>
      <c r="U25" s="97">
        <f>'Financial Model'!U239/'Financial Model'!U$154</f>
        <v>0</v>
      </c>
      <c r="V25" s="97">
        <f>'Financial Model'!V239/'Financial Model'!V$154</f>
        <v>0</v>
      </c>
      <c r="W25" s="97">
        <f>'Financial Model'!W239/'Financial Model'!W$154</f>
        <v>0</v>
      </c>
      <c r="X25" s="97">
        <f>'Financial Model'!X239/'Financial Model'!X$154</f>
        <v>0</v>
      </c>
      <c r="Y25" s="97">
        <f>'Financial Model'!Y239/'Financial Model'!Y$154</f>
        <v>0</v>
      </c>
      <c r="Z25" s="97">
        <f>'Financial Model'!Z239/'Financial Model'!Z$154</f>
        <v>0</v>
      </c>
      <c r="AA25" s="97">
        <f>'Financial Model'!AA239/'Financial Model'!AA$154</f>
        <v>0</v>
      </c>
    </row>
    <row r="26" spans="1:27" x14ac:dyDescent="0.2">
      <c r="A26" s="99" t="s">
        <v>275</v>
      </c>
      <c r="B26" s="244">
        <f ca="1">NPV('Financial Model'!$B$345,'Tong hop NL'!C26:AA26)</f>
        <v>221510.40519249334</v>
      </c>
      <c r="C26" s="243">
        <f>C7-SUM(C9:C25)</f>
        <v>-15215.444018691589</v>
      </c>
      <c r="D26" s="243">
        <f t="shared" ref="D26:AA26" si="6">D7-SUM(D9:D25)</f>
        <v>-147082.62551401873</v>
      </c>
      <c r="E26" s="243">
        <f t="shared" si="6"/>
        <v>-253590.73364485978</v>
      </c>
      <c r="F26" s="243">
        <f t="shared" si="6"/>
        <v>-91292.664112149549</v>
      </c>
      <c r="G26" s="243">
        <f t="shared" ca="1" si="6"/>
        <v>79122.944275931659</v>
      </c>
      <c r="H26" s="243">
        <f t="shared" ca="1" si="6"/>
        <v>96995.556534553558</v>
      </c>
      <c r="I26" s="243">
        <f t="shared" ca="1" si="6"/>
        <v>109081.73459963253</v>
      </c>
      <c r="J26" s="243">
        <f t="shared" ca="1" si="6"/>
        <v>108742.77172350908</v>
      </c>
      <c r="K26" s="243">
        <f t="shared" ca="1" si="6"/>
        <v>105679.78694171518</v>
      </c>
      <c r="L26" s="243">
        <f t="shared" ca="1" si="6"/>
        <v>104515.6903584278</v>
      </c>
      <c r="M26" s="243">
        <f t="shared" ca="1" si="6"/>
        <v>103894.32011584882</v>
      </c>
      <c r="N26" s="243">
        <f t="shared" ca="1" si="6"/>
        <v>103273.48220392977</v>
      </c>
      <c r="O26" s="243">
        <f t="shared" ca="1" si="6"/>
        <v>91822.414683208539</v>
      </c>
      <c r="P26" s="243">
        <f t="shared" ca="1" si="6"/>
        <v>91477.469241494109</v>
      </c>
      <c r="Q26" s="243">
        <f t="shared" ca="1" si="6"/>
        <v>93198.661620938103</v>
      </c>
      <c r="R26" s="243">
        <f t="shared" ca="1" si="6"/>
        <v>92835.968576487852</v>
      </c>
      <c r="S26" s="243">
        <f t="shared" ca="1" si="6"/>
        <v>88218.699241180613</v>
      </c>
      <c r="T26" s="243">
        <f t="shared" ca="1" si="6"/>
        <v>87866.201718907105</v>
      </c>
      <c r="U26" s="243">
        <f t="shared" ca="1" si="6"/>
        <v>87503.261692735163</v>
      </c>
      <c r="V26" s="243">
        <f t="shared" ca="1" si="6"/>
        <v>87129.372281524469</v>
      </c>
      <c r="W26" s="243">
        <f t="shared" ca="1" si="6"/>
        <v>86744.001269987843</v>
      </c>
      <c r="X26" s="243">
        <f t="shared" ca="1" si="6"/>
        <v>67058.757082105003</v>
      </c>
      <c r="Y26" s="243">
        <f t="shared" ca="1" si="6"/>
        <v>47466.810515856894</v>
      </c>
      <c r="Z26" s="243">
        <f t="shared" ca="1" si="6"/>
        <v>27620.910573789595</v>
      </c>
      <c r="AA26" s="243">
        <f t="shared" ca="1" si="6"/>
        <v>8378.730589816987</v>
      </c>
    </row>
    <row r="27" spans="1:27" ht="10.5" x14ac:dyDescent="0.25">
      <c r="B27" s="96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</row>
    <row r="28" spans="1:27" x14ac:dyDescent="0.2">
      <c r="A28" s="92" t="s">
        <v>273</v>
      </c>
    </row>
    <row r="29" spans="1:27" x14ac:dyDescent="0.2">
      <c r="A29" s="94" t="s">
        <v>267</v>
      </c>
    </row>
    <row r="30" spans="1:27" x14ac:dyDescent="0.2">
      <c r="A30" s="95" t="s">
        <v>276</v>
      </c>
      <c r="B30" s="96">
        <f>NPV('Economic Model'!$B$136,'Tong hop NL'!C30:AA30)</f>
        <v>1307287.2253180062</v>
      </c>
      <c r="C30" s="96">
        <f>'Economic Model'!C183</f>
        <v>0</v>
      </c>
      <c r="D30" s="96">
        <f>'Economic Model'!D183</f>
        <v>0</v>
      </c>
      <c r="E30" s="96">
        <f>'Economic Model'!E183</f>
        <v>0</v>
      </c>
      <c r="F30" s="96">
        <f>'Economic Model'!F183</f>
        <v>0</v>
      </c>
      <c r="G30" s="96">
        <f>'Economic Model'!G183</f>
        <v>178542.23130841125</v>
      </c>
      <c r="H30" s="96">
        <f>'Economic Model'!H183</f>
        <v>214250.67757009348</v>
      </c>
      <c r="I30" s="96">
        <f>'Economic Model'!I183</f>
        <v>238056.30841121497</v>
      </c>
      <c r="J30" s="96">
        <f>'Economic Model'!J183</f>
        <v>238056.30841121497</v>
      </c>
      <c r="K30" s="96">
        <f>'Economic Model'!K183</f>
        <v>238056.30841121497</v>
      </c>
      <c r="L30" s="96">
        <f>'Economic Model'!L183</f>
        <v>238056.30841121497</v>
      </c>
      <c r="M30" s="96">
        <f>'Economic Model'!M183</f>
        <v>238056.30841121497</v>
      </c>
      <c r="N30" s="96">
        <f>'Economic Model'!N183</f>
        <v>238056.30841121497</v>
      </c>
      <c r="O30" s="96">
        <f>'Economic Model'!O183</f>
        <v>238056.30841121497</v>
      </c>
      <c r="P30" s="96">
        <f>'Economic Model'!P183</f>
        <v>238056.30841121497</v>
      </c>
      <c r="Q30" s="96">
        <f>'Economic Model'!Q183</f>
        <v>238056.30841121497</v>
      </c>
      <c r="R30" s="96">
        <f>'Economic Model'!R183</f>
        <v>238056.30841121497</v>
      </c>
      <c r="S30" s="96">
        <f>'Economic Model'!S183</f>
        <v>238056.30841121497</v>
      </c>
      <c r="T30" s="96">
        <f>'Economic Model'!T183</f>
        <v>238056.30841121497</v>
      </c>
      <c r="U30" s="96">
        <f>'Economic Model'!U183</f>
        <v>238056.30841121497</v>
      </c>
      <c r="V30" s="96">
        <f>'Economic Model'!V183</f>
        <v>238056.30841121497</v>
      </c>
      <c r="W30" s="96">
        <f>'Economic Model'!W183</f>
        <v>238056.30841121497</v>
      </c>
      <c r="X30" s="96">
        <f>'Economic Model'!X183</f>
        <v>190445.046728972</v>
      </c>
      <c r="Y30" s="96">
        <f>'Economic Model'!Y183</f>
        <v>142833.78504672903</v>
      </c>
      <c r="Z30" s="96">
        <f>'Economic Model'!Z183</f>
        <v>95222.523364486013</v>
      </c>
      <c r="AA30" s="96">
        <f>'Economic Model'!AA183</f>
        <v>47611.261682243014</v>
      </c>
    </row>
    <row r="31" spans="1:27" x14ac:dyDescent="0.2">
      <c r="A31" s="89" t="s">
        <v>268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</row>
    <row r="32" spans="1:27" x14ac:dyDescent="0.2">
      <c r="A32" s="66" t="s">
        <v>78</v>
      </c>
      <c r="B32" s="96">
        <f>NPV('Economic Model'!$B$136,'Tong hop NL'!C32:AA32)</f>
        <v>722624.07110864588</v>
      </c>
      <c r="C32" s="96">
        <f>'Economic Model'!C189</f>
        <v>0</v>
      </c>
      <c r="D32" s="96">
        <f>'Economic Model'!D189</f>
        <v>0</v>
      </c>
      <c r="E32" s="96">
        <f>'Economic Model'!E189</f>
        <v>0</v>
      </c>
      <c r="F32" s="96">
        <f>'Economic Model'!F189</f>
        <v>0</v>
      </c>
      <c r="G32" s="96">
        <f>'Economic Model'!G189</f>
        <v>98692.094249999995</v>
      </c>
      <c r="H32" s="96">
        <f>'Economic Model'!H189</f>
        <v>118430.51310000001</v>
      </c>
      <c r="I32" s="96">
        <f>'Economic Model'!I189</f>
        <v>131589.459</v>
      </c>
      <c r="J32" s="96">
        <f>'Economic Model'!J189</f>
        <v>131589.459</v>
      </c>
      <c r="K32" s="96">
        <f>'Economic Model'!K189</f>
        <v>131589.459</v>
      </c>
      <c r="L32" s="96">
        <f>'Economic Model'!L189</f>
        <v>131589.459</v>
      </c>
      <c r="M32" s="96">
        <f>'Economic Model'!M189</f>
        <v>131589.459</v>
      </c>
      <c r="N32" s="96">
        <f>'Economic Model'!N189</f>
        <v>131589.459</v>
      </c>
      <c r="O32" s="96">
        <f>'Economic Model'!O189</f>
        <v>131589.459</v>
      </c>
      <c r="P32" s="96">
        <f>'Economic Model'!P189</f>
        <v>131589.459</v>
      </c>
      <c r="Q32" s="96">
        <f>'Economic Model'!Q189</f>
        <v>131589.459</v>
      </c>
      <c r="R32" s="96">
        <f>'Economic Model'!R189</f>
        <v>131589.459</v>
      </c>
      <c r="S32" s="96">
        <f>'Economic Model'!S189</f>
        <v>131589.459</v>
      </c>
      <c r="T32" s="96">
        <f>'Economic Model'!T189</f>
        <v>131589.459</v>
      </c>
      <c r="U32" s="96">
        <f>'Economic Model'!U189</f>
        <v>131589.459</v>
      </c>
      <c r="V32" s="96">
        <f>'Economic Model'!V189</f>
        <v>131589.459</v>
      </c>
      <c r="W32" s="96">
        <f>'Economic Model'!W189</f>
        <v>131589.459</v>
      </c>
      <c r="X32" s="96">
        <f>'Economic Model'!X189</f>
        <v>105271.5672</v>
      </c>
      <c r="Y32" s="96">
        <f>'Economic Model'!Y189</f>
        <v>78953.675400000007</v>
      </c>
      <c r="Z32" s="96">
        <f>'Economic Model'!Z189</f>
        <v>52635.78360000001</v>
      </c>
      <c r="AA32" s="96">
        <f>'Economic Model'!AA189</f>
        <v>26317.891800000009</v>
      </c>
    </row>
    <row r="33" spans="1:27" x14ac:dyDescent="0.2">
      <c r="A33" s="66" t="s">
        <v>81</v>
      </c>
      <c r="B33" s="96">
        <f>NPV('Economic Model'!$B$136,'Tong hop NL'!C33:AA33)</f>
        <v>1054.5224880014473</v>
      </c>
      <c r="C33" s="96">
        <f>'Economic Model'!C190</f>
        <v>0</v>
      </c>
      <c r="D33" s="96">
        <f>'Economic Model'!D190</f>
        <v>0</v>
      </c>
      <c r="E33" s="96">
        <f>'Economic Model'!E190</f>
        <v>0</v>
      </c>
      <c r="F33" s="96">
        <f>'Economic Model'!F190</f>
        <v>0</v>
      </c>
      <c r="G33" s="96">
        <f>'Economic Model'!G190</f>
        <v>144.02098813967697</v>
      </c>
      <c r="H33" s="96">
        <f>'Economic Model'!H190</f>
        <v>172.82518576761237</v>
      </c>
      <c r="I33" s="96">
        <f>'Economic Model'!I190</f>
        <v>192.02798418623595</v>
      </c>
      <c r="J33" s="96">
        <f>'Economic Model'!J190</f>
        <v>192.02798418623595</v>
      </c>
      <c r="K33" s="96">
        <f>'Economic Model'!K190</f>
        <v>192.02798418623595</v>
      </c>
      <c r="L33" s="96">
        <f>'Economic Model'!L190</f>
        <v>192.02798418623595</v>
      </c>
      <c r="M33" s="96">
        <f>'Economic Model'!M190</f>
        <v>192.02798418623595</v>
      </c>
      <c r="N33" s="96">
        <f>'Economic Model'!N190</f>
        <v>192.02798418623595</v>
      </c>
      <c r="O33" s="96">
        <f>'Economic Model'!O190</f>
        <v>192.02798418623595</v>
      </c>
      <c r="P33" s="96">
        <f>'Economic Model'!P190</f>
        <v>192.02798418623595</v>
      </c>
      <c r="Q33" s="96">
        <f>'Economic Model'!Q190</f>
        <v>192.02798418623595</v>
      </c>
      <c r="R33" s="96">
        <f>'Economic Model'!R190</f>
        <v>192.02798418623595</v>
      </c>
      <c r="S33" s="96">
        <f>'Economic Model'!S190</f>
        <v>192.02798418623595</v>
      </c>
      <c r="T33" s="96">
        <f>'Economic Model'!T190</f>
        <v>192.02798418623595</v>
      </c>
      <c r="U33" s="96">
        <f>'Economic Model'!U190</f>
        <v>192.02798418623595</v>
      </c>
      <c r="V33" s="96">
        <f>'Economic Model'!V190</f>
        <v>192.02798418623595</v>
      </c>
      <c r="W33" s="96">
        <f>'Economic Model'!W190</f>
        <v>192.02798418623595</v>
      </c>
      <c r="X33" s="96">
        <f>'Economic Model'!X190</f>
        <v>153.62238734898875</v>
      </c>
      <c r="Y33" s="96">
        <f>'Economic Model'!Y190</f>
        <v>115.21679051174159</v>
      </c>
      <c r="Z33" s="96">
        <f>'Economic Model'!Z190</f>
        <v>76.811193674494405</v>
      </c>
      <c r="AA33" s="96">
        <f>'Economic Model'!AA190</f>
        <v>38.405596837247209</v>
      </c>
    </row>
    <row r="34" spans="1:27" x14ac:dyDescent="0.2">
      <c r="A34" s="66" t="s">
        <v>82</v>
      </c>
      <c r="B34" s="96">
        <f>NPV('Economic Model'!$B$136,'Tong hop NL'!C34:AA34)</f>
        <v>42.042340537746966</v>
      </c>
      <c r="C34" s="96">
        <f>'Economic Model'!C191</f>
        <v>0</v>
      </c>
      <c r="D34" s="96">
        <f>'Economic Model'!D191</f>
        <v>0</v>
      </c>
      <c r="E34" s="96">
        <f>'Economic Model'!E191</f>
        <v>0</v>
      </c>
      <c r="F34" s="96">
        <f>'Economic Model'!F191</f>
        <v>0</v>
      </c>
      <c r="G34" s="96">
        <f>'Economic Model'!G191</f>
        <v>5.7419158878504675</v>
      </c>
      <c r="H34" s="96">
        <f>'Economic Model'!H191</f>
        <v>6.8902990654205603</v>
      </c>
      <c r="I34" s="96">
        <f>'Economic Model'!I191</f>
        <v>7.6558878504672894</v>
      </c>
      <c r="J34" s="96">
        <f>'Economic Model'!J191</f>
        <v>7.6558878504672894</v>
      </c>
      <c r="K34" s="96">
        <f>'Economic Model'!K191</f>
        <v>7.6558878504672894</v>
      </c>
      <c r="L34" s="96">
        <f>'Economic Model'!L191</f>
        <v>7.6558878504672894</v>
      </c>
      <c r="M34" s="96">
        <f>'Economic Model'!M191</f>
        <v>7.6558878504672894</v>
      </c>
      <c r="N34" s="96">
        <f>'Economic Model'!N191</f>
        <v>7.6558878504672894</v>
      </c>
      <c r="O34" s="96">
        <f>'Economic Model'!O191</f>
        <v>7.6558878504672894</v>
      </c>
      <c r="P34" s="96">
        <f>'Economic Model'!P191</f>
        <v>7.6558878504672894</v>
      </c>
      <c r="Q34" s="96">
        <f>'Economic Model'!Q191</f>
        <v>7.6558878504672894</v>
      </c>
      <c r="R34" s="96">
        <f>'Economic Model'!R191</f>
        <v>7.6558878504672894</v>
      </c>
      <c r="S34" s="96">
        <f>'Economic Model'!S191</f>
        <v>7.6558878504672894</v>
      </c>
      <c r="T34" s="96">
        <f>'Economic Model'!T191</f>
        <v>7.6558878504672894</v>
      </c>
      <c r="U34" s="96">
        <f>'Economic Model'!U191</f>
        <v>7.6558878504672894</v>
      </c>
      <c r="V34" s="96">
        <f>'Economic Model'!V191</f>
        <v>7.6558878504672894</v>
      </c>
      <c r="W34" s="96">
        <f>'Economic Model'!W191</f>
        <v>7.6558878504672894</v>
      </c>
      <c r="X34" s="96">
        <f>'Economic Model'!X191</f>
        <v>6.124710280373832</v>
      </c>
      <c r="Y34" s="96">
        <f>'Economic Model'!Y191</f>
        <v>4.5935327102803747</v>
      </c>
      <c r="Z34" s="96">
        <f>'Economic Model'!Z191</f>
        <v>3.0623551401869169</v>
      </c>
      <c r="AA34" s="96">
        <f>'Economic Model'!AA191</f>
        <v>1.5311775700934585</v>
      </c>
    </row>
    <row r="35" spans="1:27" x14ac:dyDescent="0.2">
      <c r="A35" s="66" t="s">
        <v>99</v>
      </c>
      <c r="B35" s="96">
        <f>NPV('Economic Model'!$B$136,'Tong hop NL'!C35:AA35)</f>
        <v>3904.4029908383654</v>
      </c>
      <c r="C35" s="96">
        <f>'Economic Model'!C192</f>
        <v>0</v>
      </c>
      <c r="D35" s="96">
        <f>'Economic Model'!D192</f>
        <v>0</v>
      </c>
      <c r="E35" s="96">
        <f>'Economic Model'!E192</f>
        <v>0</v>
      </c>
      <c r="F35" s="96">
        <f>'Economic Model'!F192</f>
        <v>0</v>
      </c>
      <c r="G35" s="96">
        <f>'Economic Model'!G192</f>
        <v>533.24228097000002</v>
      </c>
      <c r="H35" s="96">
        <f>'Economic Model'!H192</f>
        <v>639.89073716400014</v>
      </c>
      <c r="I35" s="96">
        <f>'Economic Model'!I192</f>
        <v>710.98970796000015</v>
      </c>
      <c r="J35" s="96">
        <f>'Economic Model'!J192</f>
        <v>710.98970796000015</v>
      </c>
      <c r="K35" s="96">
        <f>'Economic Model'!K192</f>
        <v>710.98970796000015</v>
      </c>
      <c r="L35" s="96">
        <f>'Economic Model'!L192</f>
        <v>710.98970796000015</v>
      </c>
      <c r="M35" s="96">
        <f>'Economic Model'!M192</f>
        <v>710.98970796000015</v>
      </c>
      <c r="N35" s="96">
        <f>'Economic Model'!N192</f>
        <v>710.98970796000015</v>
      </c>
      <c r="O35" s="96">
        <f>'Economic Model'!O192</f>
        <v>710.98970796000015</v>
      </c>
      <c r="P35" s="96">
        <f>'Economic Model'!P192</f>
        <v>710.98970796000015</v>
      </c>
      <c r="Q35" s="96">
        <f>'Economic Model'!Q192</f>
        <v>710.98970796000015</v>
      </c>
      <c r="R35" s="96">
        <f>'Economic Model'!R192</f>
        <v>710.98970796000015</v>
      </c>
      <c r="S35" s="96">
        <f>'Economic Model'!S192</f>
        <v>710.98970796000015</v>
      </c>
      <c r="T35" s="96">
        <f>'Economic Model'!T192</f>
        <v>710.98970796000015</v>
      </c>
      <c r="U35" s="96">
        <f>'Economic Model'!U192</f>
        <v>710.98970796000015</v>
      </c>
      <c r="V35" s="96">
        <f>'Economic Model'!V192</f>
        <v>710.98970796000015</v>
      </c>
      <c r="W35" s="96">
        <f>'Economic Model'!W192</f>
        <v>710.98970796000015</v>
      </c>
      <c r="X35" s="96">
        <f>'Economic Model'!X192</f>
        <v>568.79176636800003</v>
      </c>
      <c r="Y35" s="96">
        <f>'Economic Model'!Y192</f>
        <v>426.59382477600013</v>
      </c>
      <c r="Z35" s="96">
        <f>'Economic Model'!Z192</f>
        <v>284.39588318400007</v>
      </c>
      <c r="AA35" s="96">
        <f>'Economic Model'!AA192</f>
        <v>142.19794159200003</v>
      </c>
    </row>
    <row r="36" spans="1:27" x14ac:dyDescent="0.2">
      <c r="A36" s="66" t="s">
        <v>100</v>
      </c>
      <c r="B36" s="96">
        <f>NPV('Economic Model'!$B$136,'Tong hop NL'!C36:AA36)</f>
        <v>4905.9392786558146</v>
      </c>
      <c r="C36" s="96">
        <f>'Economic Model'!C193</f>
        <v>0</v>
      </c>
      <c r="D36" s="96">
        <f>'Economic Model'!D193</f>
        <v>0</v>
      </c>
      <c r="E36" s="96">
        <f>'Economic Model'!E193</f>
        <v>0</v>
      </c>
      <c r="F36" s="96">
        <f>'Economic Model'!F193</f>
        <v>0</v>
      </c>
      <c r="G36" s="96">
        <f>'Economic Model'!G193</f>
        <v>670.02669995625013</v>
      </c>
      <c r="H36" s="96">
        <f>'Economic Model'!H193</f>
        <v>804.03203994750015</v>
      </c>
      <c r="I36" s="96">
        <f>'Economic Model'!I193</f>
        <v>893.36893327500013</v>
      </c>
      <c r="J36" s="96">
        <f>'Economic Model'!J193</f>
        <v>893.36893327500013</v>
      </c>
      <c r="K36" s="96">
        <f>'Economic Model'!K193</f>
        <v>893.36893327500013</v>
      </c>
      <c r="L36" s="96">
        <f>'Economic Model'!L193</f>
        <v>893.36893327500013</v>
      </c>
      <c r="M36" s="96">
        <f>'Economic Model'!M193</f>
        <v>893.36893327500013</v>
      </c>
      <c r="N36" s="96">
        <f>'Economic Model'!N193</f>
        <v>893.36893327500013</v>
      </c>
      <c r="O36" s="96">
        <f>'Economic Model'!O193</f>
        <v>893.36893327500013</v>
      </c>
      <c r="P36" s="96">
        <f>'Economic Model'!P193</f>
        <v>893.36893327500013</v>
      </c>
      <c r="Q36" s="96">
        <f>'Economic Model'!Q193</f>
        <v>893.36893327500013</v>
      </c>
      <c r="R36" s="96">
        <f>'Economic Model'!R193</f>
        <v>893.36893327500013</v>
      </c>
      <c r="S36" s="96">
        <f>'Economic Model'!S193</f>
        <v>893.36893327500013</v>
      </c>
      <c r="T36" s="96">
        <f>'Economic Model'!T193</f>
        <v>893.36893327500013</v>
      </c>
      <c r="U36" s="96">
        <f>'Economic Model'!U193</f>
        <v>893.36893327500013</v>
      </c>
      <c r="V36" s="96">
        <f>'Economic Model'!V193</f>
        <v>893.36893327500013</v>
      </c>
      <c r="W36" s="96">
        <f>'Economic Model'!W193</f>
        <v>893.36893327500013</v>
      </c>
      <c r="X36" s="96">
        <f>'Economic Model'!X193</f>
        <v>714.69514662000006</v>
      </c>
      <c r="Y36" s="96">
        <f>'Economic Model'!Y193</f>
        <v>536.0213599650001</v>
      </c>
      <c r="Z36" s="96">
        <f>'Economic Model'!Z193</f>
        <v>357.34757331000009</v>
      </c>
      <c r="AA36" s="96">
        <f>'Economic Model'!AA193</f>
        <v>178.67378665500007</v>
      </c>
    </row>
    <row r="37" spans="1:27" x14ac:dyDescent="0.2">
      <c r="A37" s="66" t="s">
        <v>128</v>
      </c>
      <c r="B37" s="96">
        <f>NPV('Economic Model'!$B$136,'Tong hop NL'!C37:AA37)</f>
        <v>18692.124282799057</v>
      </c>
      <c r="C37" s="96">
        <f>'Economic Model'!C194</f>
        <v>0</v>
      </c>
      <c r="D37" s="96">
        <f>'Economic Model'!D194</f>
        <v>0</v>
      </c>
      <c r="E37" s="96">
        <f>'Economic Model'!E194</f>
        <v>0</v>
      </c>
      <c r="F37" s="96">
        <f>'Economic Model'!F194</f>
        <v>0</v>
      </c>
      <c r="G37" s="96">
        <f>'Economic Model'!G194</f>
        <v>1887.13544394375</v>
      </c>
      <c r="H37" s="96">
        <f>'Economic Model'!H194</f>
        <v>2480.9592623582812</v>
      </c>
      <c r="I37" s="96">
        <f>'Economic Model'!I194</f>
        <v>2605.0072254761953</v>
      </c>
      <c r="J37" s="96">
        <f>'Economic Model'!J194</f>
        <v>2735.2575867500054</v>
      </c>
      <c r="K37" s="96">
        <f>'Economic Model'!K194</f>
        <v>2872.0204660875056</v>
      </c>
      <c r="L37" s="96">
        <f>'Economic Model'!L194</f>
        <v>3015.6214893918809</v>
      </c>
      <c r="M37" s="96">
        <f>'Economic Model'!M194</f>
        <v>3166.4025638614753</v>
      </c>
      <c r="N37" s="96">
        <f>'Economic Model'!N194</f>
        <v>3324.7226920545481</v>
      </c>
      <c r="O37" s="96">
        <f>'Economic Model'!O194</f>
        <v>3490.9588266572764</v>
      </c>
      <c r="P37" s="96">
        <f>'Economic Model'!P194</f>
        <v>3665.5067679901395</v>
      </c>
      <c r="Q37" s="96">
        <f>'Economic Model'!Q194</f>
        <v>3848.7821063896477</v>
      </c>
      <c r="R37" s="96">
        <f>'Economic Model'!R194</f>
        <v>4041.2212117091294</v>
      </c>
      <c r="S37" s="96">
        <f>'Economic Model'!S194</f>
        <v>4243.2822722945866</v>
      </c>
      <c r="T37" s="96">
        <f>'Economic Model'!T194</f>
        <v>4455.4463859093157</v>
      </c>
      <c r="U37" s="96">
        <f>'Economic Model'!U194</f>
        <v>4678.2187052047821</v>
      </c>
      <c r="V37" s="96">
        <f>'Economic Model'!V194</f>
        <v>4912.1296404650211</v>
      </c>
      <c r="W37" s="96">
        <f>'Economic Model'!W194</f>
        <v>5157.7361224882716</v>
      </c>
      <c r="X37" s="96">
        <f>'Economic Model'!X194</f>
        <v>4289.6023196932165</v>
      </c>
      <c r="Y37" s="96">
        <f>'Economic Model'!Y194</f>
        <v>3378.0618267584082</v>
      </c>
      <c r="Z37" s="96">
        <f>'Economic Model'!Z194</f>
        <v>2857.2772951331531</v>
      </c>
      <c r="AA37" s="96">
        <f>'Economic Model'!AA194</f>
        <v>1655.2502951116198</v>
      </c>
    </row>
    <row r="38" spans="1:27" x14ac:dyDescent="0.2">
      <c r="A38" s="66" t="s">
        <v>118</v>
      </c>
      <c r="B38" s="96">
        <f>NPV('Economic Model'!$B$136,'Tong hop NL'!C38:AA38)</f>
        <v>29632.359382494451</v>
      </c>
      <c r="C38" s="96">
        <f>'Economic Model'!C196</f>
        <v>0</v>
      </c>
      <c r="D38" s="96">
        <f>'Economic Model'!D196</f>
        <v>0</v>
      </c>
      <c r="E38" s="96">
        <f>'Economic Model'!E196</f>
        <v>0</v>
      </c>
      <c r="F38" s="96">
        <f>'Economic Model'!F196</f>
        <v>0</v>
      </c>
      <c r="G38" s="96">
        <f>'Economic Model'!G196</f>
        <v>5624.4375</v>
      </c>
      <c r="H38" s="96">
        <f>'Economic Model'!H196</f>
        <v>6749.3250000000007</v>
      </c>
      <c r="I38" s="96">
        <f>'Economic Model'!I196</f>
        <v>7499.2499999999991</v>
      </c>
      <c r="J38" s="96">
        <f>'Economic Model'!J196</f>
        <v>7499.25</v>
      </c>
      <c r="K38" s="96">
        <f>'Economic Model'!K196</f>
        <v>7499.2499999999991</v>
      </c>
      <c r="L38" s="96">
        <f>'Economic Model'!L196</f>
        <v>4999.5</v>
      </c>
      <c r="M38" s="96">
        <f>'Economic Model'!M196</f>
        <v>4999.5000000000018</v>
      </c>
      <c r="N38" s="96">
        <f>'Economic Model'!N196</f>
        <v>4999.5000000000009</v>
      </c>
      <c r="O38" s="96">
        <f>'Economic Model'!O196</f>
        <v>4999.5000000000009</v>
      </c>
      <c r="P38" s="96">
        <f>'Economic Model'!P196</f>
        <v>4999.5</v>
      </c>
      <c r="Q38" s="96">
        <f>'Economic Model'!Q196</f>
        <v>2499.75</v>
      </c>
      <c r="R38" s="96">
        <f>'Economic Model'!R196</f>
        <v>2499.7500000000005</v>
      </c>
      <c r="S38" s="96">
        <f>'Economic Model'!S196</f>
        <v>2499.75</v>
      </c>
      <c r="T38" s="96">
        <f>'Economic Model'!T196</f>
        <v>2499.7500000000005</v>
      </c>
      <c r="U38" s="96">
        <f>'Economic Model'!U196</f>
        <v>2499.7500000000005</v>
      </c>
      <c r="V38" s="96">
        <f>'Economic Model'!V196</f>
        <v>2499.75</v>
      </c>
      <c r="W38" s="96">
        <f>'Economic Model'!W196</f>
        <v>2499.75</v>
      </c>
      <c r="X38" s="96">
        <f>'Economic Model'!X196</f>
        <v>1999.8000000000002</v>
      </c>
      <c r="Y38" s="96">
        <f>'Economic Model'!Y196</f>
        <v>1499.8500000000004</v>
      </c>
      <c r="Z38" s="96">
        <f>'Economic Model'!Z196</f>
        <v>999.90000000000009</v>
      </c>
      <c r="AA38" s="96">
        <f>'Economic Model'!AA196</f>
        <v>499.95000000000027</v>
      </c>
    </row>
    <row r="39" spans="1:27" x14ac:dyDescent="0.2">
      <c r="A39" s="66" t="s">
        <v>143</v>
      </c>
      <c r="B39" s="96">
        <f>NPV('Economic Model'!$B$136,'Tong hop NL'!C39:AA39)</f>
        <v>3900.4654298168389</v>
      </c>
      <c r="C39" s="96">
        <f>'Economic Model'!C197</f>
        <v>0</v>
      </c>
      <c r="D39" s="96">
        <f>'Economic Model'!D197</f>
        <v>0</v>
      </c>
      <c r="E39" s="96">
        <f>'Economic Model'!E197</f>
        <v>0</v>
      </c>
      <c r="F39" s="96">
        <f>'Economic Model'!F197</f>
        <v>0</v>
      </c>
      <c r="G39" s="96">
        <f>'Economic Model'!G197</f>
        <v>457.92982462500009</v>
      </c>
      <c r="H39" s="96">
        <f>'Economic Model'!H197</f>
        <v>480.82631585625001</v>
      </c>
      <c r="I39" s="96">
        <f>'Economic Model'!I197</f>
        <v>504.86763164906256</v>
      </c>
      <c r="J39" s="96">
        <f>'Economic Model'!J197</f>
        <v>530.1110132315157</v>
      </c>
      <c r="K39" s="96">
        <f>'Economic Model'!K197</f>
        <v>556.61656389309155</v>
      </c>
      <c r="L39" s="96">
        <f>'Economic Model'!L197</f>
        <v>584.44739208774604</v>
      </c>
      <c r="M39" s="96">
        <f>'Economic Model'!M197</f>
        <v>613.66976169213342</v>
      </c>
      <c r="N39" s="96">
        <f>'Economic Model'!N197</f>
        <v>644.35324977673997</v>
      </c>
      <c r="O39" s="96">
        <f>'Economic Model'!O197</f>
        <v>676.57091226557714</v>
      </c>
      <c r="P39" s="96">
        <f>'Economic Model'!P197</f>
        <v>710.39945787885574</v>
      </c>
      <c r="Q39" s="96">
        <f>'Economic Model'!Q197</f>
        <v>745.91943077279882</v>
      </c>
      <c r="R39" s="96">
        <f>'Economic Model'!R197</f>
        <v>783.21540231143865</v>
      </c>
      <c r="S39" s="96">
        <f>'Economic Model'!S197</f>
        <v>822.37617242701072</v>
      </c>
      <c r="T39" s="96">
        <f>'Economic Model'!T197</f>
        <v>863.49498104836118</v>
      </c>
      <c r="U39" s="96">
        <f>'Economic Model'!U197</f>
        <v>906.66973010077936</v>
      </c>
      <c r="V39" s="96">
        <f>'Economic Model'!V197</f>
        <v>952.00321660581824</v>
      </c>
      <c r="W39" s="96">
        <f>'Economic Model'!W197</f>
        <v>999.6033774361091</v>
      </c>
      <c r="X39" s="96">
        <f>'Economic Model'!X197</f>
        <v>1049.5835463079145</v>
      </c>
      <c r="Y39" s="96">
        <f>'Economic Model'!Y197</f>
        <v>1102.0627236233104</v>
      </c>
      <c r="Z39" s="96">
        <f>'Economic Model'!Z197</f>
        <v>1157.165859804476</v>
      </c>
      <c r="AA39" s="96">
        <f>'Economic Model'!AA197</f>
        <v>1215.0241527946996</v>
      </c>
    </row>
    <row r="40" spans="1:27" x14ac:dyDescent="0.2">
      <c r="A40" s="66" t="s">
        <v>119</v>
      </c>
      <c r="B40" s="96">
        <f>NPV('Economic Model'!$B$136,'Tong hop NL'!C40:AA40)</f>
        <v>3478.6169618887288</v>
      </c>
      <c r="C40" s="96">
        <f>'Economic Model'!C198</f>
        <v>0</v>
      </c>
      <c r="D40" s="96">
        <f>'Economic Model'!D198</f>
        <v>0</v>
      </c>
      <c r="E40" s="96">
        <f>'Economic Model'!E198</f>
        <v>0</v>
      </c>
      <c r="F40" s="96">
        <f>'Economic Model'!F198</f>
        <v>0</v>
      </c>
      <c r="G40" s="96">
        <f>'Economic Model'!G198</f>
        <v>588.88</v>
      </c>
      <c r="H40" s="96">
        <f>'Economic Model'!H198</f>
        <v>588.88</v>
      </c>
      <c r="I40" s="96">
        <f>'Economic Model'!I198</f>
        <v>588.88</v>
      </c>
      <c r="J40" s="96">
        <f>'Economic Model'!J198</f>
        <v>588.88</v>
      </c>
      <c r="K40" s="96">
        <f>'Economic Model'!K198</f>
        <v>588.88</v>
      </c>
      <c r="L40" s="96">
        <f>'Economic Model'!L198</f>
        <v>588.88</v>
      </c>
      <c r="M40" s="96">
        <f>'Economic Model'!M198</f>
        <v>588.88</v>
      </c>
      <c r="N40" s="96">
        <f>'Economic Model'!N198</f>
        <v>588.88</v>
      </c>
      <c r="O40" s="96">
        <f>'Economic Model'!O198</f>
        <v>588.88</v>
      </c>
      <c r="P40" s="96">
        <f>'Economic Model'!P198</f>
        <v>588.88</v>
      </c>
      <c r="Q40" s="96">
        <f>'Economic Model'!Q198</f>
        <v>588.88</v>
      </c>
      <c r="R40" s="96">
        <f>'Economic Model'!R198</f>
        <v>588.88</v>
      </c>
      <c r="S40" s="96">
        <f>'Economic Model'!S198</f>
        <v>588.88</v>
      </c>
      <c r="T40" s="96">
        <f>'Economic Model'!T198</f>
        <v>588.88</v>
      </c>
      <c r="U40" s="96">
        <f>'Economic Model'!U198</f>
        <v>588.88</v>
      </c>
      <c r="V40" s="96">
        <f>'Economic Model'!V198</f>
        <v>588.88</v>
      </c>
      <c r="W40" s="96">
        <f>'Economic Model'!W198</f>
        <v>588.88</v>
      </c>
      <c r="X40" s="96">
        <f>'Economic Model'!X198</f>
        <v>588.88</v>
      </c>
      <c r="Y40" s="96">
        <f>'Economic Model'!Y198</f>
        <v>588.88</v>
      </c>
      <c r="Z40" s="96">
        <f>'Economic Model'!Z198</f>
        <v>588.88</v>
      </c>
      <c r="AA40" s="96">
        <f>'Economic Model'!AA198</f>
        <v>588.88</v>
      </c>
    </row>
    <row r="41" spans="1:27" x14ac:dyDescent="0.2">
      <c r="A41" s="66" t="s">
        <v>121</v>
      </c>
      <c r="B41" s="96">
        <f>NPV('Economic Model'!$B$136,'Tong hop NL'!C41:AA41)</f>
        <v>14430.123481063132</v>
      </c>
      <c r="C41" s="96">
        <f>'Economic Model'!C199</f>
        <v>0</v>
      </c>
      <c r="D41" s="96">
        <f>'Economic Model'!D199</f>
        <v>0</v>
      </c>
      <c r="E41" s="96">
        <f>'Economic Model'!E199</f>
        <v>0</v>
      </c>
      <c r="F41" s="96">
        <f>'Economic Model'!F199</f>
        <v>0</v>
      </c>
      <c r="G41" s="96">
        <f>'Economic Model'!G199</f>
        <v>2442.8131089531184</v>
      </c>
      <c r="H41" s="96">
        <f>'Economic Model'!H199</f>
        <v>2442.8131089531184</v>
      </c>
      <c r="I41" s="96">
        <f>'Economic Model'!I199</f>
        <v>2442.8131089531184</v>
      </c>
      <c r="J41" s="96">
        <f>'Economic Model'!J199</f>
        <v>2442.8131089531184</v>
      </c>
      <c r="K41" s="96">
        <f>'Economic Model'!K199</f>
        <v>2442.8131089531184</v>
      </c>
      <c r="L41" s="96">
        <f>'Economic Model'!L199</f>
        <v>2442.8131089531184</v>
      </c>
      <c r="M41" s="96">
        <f>'Economic Model'!M199</f>
        <v>2442.8131089531184</v>
      </c>
      <c r="N41" s="96">
        <f>'Economic Model'!N199</f>
        <v>2442.8131089531184</v>
      </c>
      <c r="O41" s="96">
        <f>'Economic Model'!O199</f>
        <v>2442.8131089531184</v>
      </c>
      <c r="P41" s="96">
        <f>'Economic Model'!P199</f>
        <v>2442.8131089531184</v>
      </c>
      <c r="Q41" s="96">
        <f>'Economic Model'!Q199</f>
        <v>2442.8131089531184</v>
      </c>
      <c r="R41" s="96">
        <f>'Economic Model'!R199</f>
        <v>2442.8131089531184</v>
      </c>
      <c r="S41" s="96">
        <f>'Economic Model'!S199</f>
        <v>2442.8131089531184</v>
      </c>
      <c r="T41" s="96">
        <f>'Economic Model'!T199</f>
        <v>2442.8131089531184</v>
      </c>
      <c r="U41" s="96">
        <f>'Economic Model'!U199</f>
        <v>2442.8131089531184</v>
      </c>
      <c r="V41" s="96">
        <f>'Economic Model'!V199</f>
        <v>2442.8131089531184</v>
      </c>
      <c r="W41" s="96">
        <f>'Economic Model'!W199</f>
        <v>2442.8131089531184</v>
      </c>
      <c r="X41" s="96">
        <f>'Economic Model'!X199</f>
        <v>2442.8131089531184</v>
      </c>
      <c r="Y41" s="96">
        <f>'Economic Model'!Y199</f>
        <v>2442.8131089531184</v>
      </c>
      <c r="Z41" s="96">
        <f>'Economic Model'!Z199</f>
        <v>2442.8131089531184</v>
      </c>
      <c r="AA41" s="96">
        <f>'Economic Model'!AA199</f>
        <v>2442.8131089531184</v>
      </c>
    </row>
    <row r="42" spans="1:27" x14ac:dyDescent="0.2">
      <c r="A42" s="66" t="s">
        <v>122</v>
      </c>
      <c r="B42" s="96">
        <f>NPV('Economic Model'!$B$136,'Tong hop NL'!C42:AA42)</f>
        <v>1518.9603664276985</v>
      </c>
      <c r="C42" s="96">
        <f>'Economic Model'!C200</f>
        <v>0</v>
      </c>
      <c r="D42" s="96">
        <f>'Economic Model'!D200</f>
        <v>0</v>
      </c>
      <c r="E42" s="96">
        <f>'Economic Model'!E200</f>
        <v>0</v>
      </c>
      <c r="F42" s="96">
        <f>'Economic Model'!F200</f>
        <v>0</v>
      </c>
      <c r="G42" s="96">
        <f>'Economic Model'!G200</f>
        <v>257.13822199506507</v>
      </c>
      <c r="H42" s="96">
        <f>'Economic Model'!H200</f>
        <v>257.13822199506507</v>
      </c>
      <c r="I42" s="96">
        <f>'Economic Model'!I200</f>
        <v>257.13822199506507</v>
      </c>
      <c r="J42" s="96">
        <f>'Economic Model'!J200</f>
        <v>257.13822199506507</v>
      </c>
      <c r="K42" s="96">
        <f>'Economic Model'!K200</f>
        <v>257.13822199506507</v>
      </c>
      <c r="L42" s="96">
        <f>'Economic Model'!L200</f>
        <v>257.13822199506507</v>
      </c>
      <c r="M42" s="96">
        <f>'Economic Model'!M200</f>
        <v>257.13822199506507</v>
      </c>
      <c r="N42" s="96">
        <f>'Economic Model'!N200</f>
        <v>257.13822199506507</v>
      </c>
      <c r="O42" s="96">
        <f>'Economic Model'!O200</f>
        <v>257.13822199506507</v>
      </c>
      <c r="P42" s="96">
        <f>'Economic Model'!P200</f>
        <v>257.13822199506507</v>
      </c>
      <c r="Q42" s="96">
        <f>'Economic Model'!Q200</f>
        <v>257.13822199506507</v>
      </c>
      <c r="R42" s="96">
        <f>'Economic Model'!R200</f>
        <v>257.13822199506507</v>
      </c>
      <c r="S42" s="96">
        <f>'Economic Model'!S200</f>
        <v>257.13822199506507</v>
      </c>
      <c r="T42" s="96">
        <f>'Economic Model'!T200</f>
        <v>257.13822199506507</v>
      </c>
      <c r="U42" s="96">
        <f>'Economic Model'!U200</f>
        <v>257.13822199506507</v>
      </c>
      <c r="V42" s="96">
        <f>'Economic Model'!V200</f>
        <v>257.13822199506507</v>
      </c>
      <c r="W42" s="96">
        <f>'Economic Model'!W200</f>
        <v>257.13822199506507</v>
      </c>
      <c r="X42" s="96">
        <f>'Economic Model'!X200</f>
        <v>257.13822199506507</v>
      </c>
      <c r="Y42" s="96">
        <f>'Economic Model'!Y200</f>
        <v>257.13822199506507</v>
      </c>
      <c r="Z42" s="96">
        <f>'Economic Model'!Z200</f>
        <v>257.13822199506507</v>
      </c>
      <c r="AA42" s="96">
        <f>'Economic Model'!AA200</f>
        <v>257.13822199506507</v>
      </c>
    </row>
    <row r="43" spans="1:27" x14ac:dyDescent="0.2">
      <c r="A43" s="66" t="s">
        <v>123</v>
      </c>
      <c r="B43" s="96">
        <f>NPV('Economic Model'!$B$136,'Tong hop NL'!C43:AA43)</f>
        <v>1594.9083847490831</v>
      </c>
      <c r="C43" s="96">
        <f>'Economic Model'!C201</f>
        <v>0</v>
      </c>
      <c r="D43" s="96">
        <f>'Economic Model'!D201</f>
        <v>0</v>
      </c>
      <c r="E43" s="96">
        <f>'Economic Model'!E201</f>
        <v>0</v>
      </c>
      <c r="F43" s="96">
        <f>'Economic Model'!F201</f>
        <v>0</v>
      </c>
      <c r="G43" s="96">
        <f>'Economic Model'!G201</f>
        <v>269.99513309481836</v>
      </c>
      <c r="H43" s="96">
        <f>'Economic Model'!H201</f>
        <v>269.99513309481836</v>
      </c>
      <c r="I43" s="96">
        <f>'Economic Model'!I201</f>
        <v>269.99513309481836</v>
      </c>
      <c r="J43" s="96">
        <f>'Economic Model'!J201</f>
        <v>269.99513309481836</v>
      </c>
      <c r="K43" s="96">
        <f>'Economic Model'!K201</f>
        <v>269.99513309481836</v>
      </c>
      <c r="L43" s="96">
        <f>'Economic Model'!L201</f>
        <v>269.99513309481836</v>
      </c>
      <c r="M43" s="96">
        <f>'Economic Model'!M201</f>
        <v>269.99513309481836</v>
      </c>
      <c r="N43" s="96">
        <f>'Economic Model'!N201</f>
        <v>269.99513309481836</v>
      </c>
      <c r="O43" s="96">
        <f>'Economic Model'!O201</f>
        <v>269.99513309481836</v>
      </c>
      <c r="P43" s="96">
        <f>'Economic Model'!P201</f>
        <v>269.99513309481836</v>
      </c>
      <c r="Q43" s="96">
        <f>'Economic Model'!Q201</f>
        <v>269.99513309481836</v>
      </c>
      <c r="R43" s="96">
        <f>'Economic Model'!R201</f>
        <v>269.99513309481836</v>
      </c>
      <c r="S43" s="96">
        <f>'Economic Model'!S201</f>
        <v>269.99513309481836</v>
      </c>
      <c r="T43" s="96">
        <f>'Economic Model'!T201</f>
        <v>269.99513309481836</v>
      </c>
      <c r="U43" s="96">
        <f>'Economic Model'!U201</f>
        <v>269.99513309481836</v>
      </c>
      <c r="V43" s="96">
        <f>'Economic Model'!V201</f>
        <v>269.99513309481836</v>
      </c>
      <c r="W43" s="96">
        <f>'Economic Model'!W201</f>
        <v>269.99513309481836</v>
      </c>
      <c r="X43" s="96">
        <f>'Economic Model'!X201</f>
        <v>269.99513309481836</v>
      </c>
      <c r="Y43" s="96">
        <f>'Economic Model'!Y201</f>
        <v>269.99513309481836</v>
      </c>
      <c r="Z43" s="96">
        <f>'Economic Model'!Z201</f>
        <v>269.99513309481836</v>
      </c>
      <c r="AA43" s="96">
        <f>'Economic Model'!AA201</f>
        <v>269.99513309481836</v>
      </c>
    </row>
    <row r="44" spans="1:27" x14ac:dyDescent="0.2">
      <c r="A44" s="66" t="s">
        <v>272</v>
      </c>
      <c r="B44" s="96">
        <f>NPV('Economic Model'!$B$136,'Tong hop NL'!C44:AA44)</f>
        <v>5164.4652458541723</v>
      </c>
      <c r="C44" s="96">
        <f>'Economic Model'!C202</f>
        <v>0</v>
      </c>
      <c r="D44" s="96">
        <f>'Economic Model'!D202</f>
        <v>0</v>
      </c>
      <c r="E44" s="96">
        <f>'Economic Model'!E202</f>
        <v>0</v>
      </c>
      <c r="F44" s="96">
        <f>'Economic Model'!F202</f>
        <v>0</v>
      </c>
      <c r="G44" s="96">
        <f>'Economic Model'!G202</f>
        <v>874.26995478322124</v>
      </c>
      <c r="H44" s="96">
        <f>'Economic Model'!H202</f>
        <v>874.26995478322124</v>
      </c>
      <c r="I44" s="96">
        <f>'Economic Model'!I202</f>
        <v>874.26995478322124</v>
      </c>
      <c r="J44" s="96">
        <f>'Economic Model'!J202</f>
        <v>874.26995478322124</v>
      </c>
      <c r="K44" s="96">
        <f>'Economic Model'!K202</f>
        <v>874.26995478322124</v>
      </c>
      <c r="L44" s="96">
        <f>'Economic Model'!L202</f>
        <v>874.26995478322124</v>
      </c>
      <c r="M44" s="96">
        <f>'Economic Model'!M202</f>
        <v>874.26995478322124</v>
      </c>
      <c r="N44" s="96">
        <f>'Economic Model'!N202</f>
        <v>874.26995478322124</v>
      </c>
      <c r="O44" s="96">
        <f>'Economic Model'!O202</f>
        <v>874.26995478322124</v>
      </c>
      <c r="P44" s="96">
        <f>'Economic Model'!P202</f>
        <v>874.26995478322124</v>
      </c>
      <c r="Q44" s="96">
        <f>'Economic Model'!Q202</f>
        <v>874.26995478322124</v>
      </c>
      <c r="R44" s="96">
        <f>'Economic Model'!R202</f>
        <v>874.26995478322124</v>
      </c>
      <c r="S44" s="96">
        <f>'Economic Model'!S202</f>
        <v>874.26995478322124</v>
      </c>
      <c r="T44" s="96">
        <f>'Economic Model'!T202</f>
        <v>874.26995478322124</v>
      </c>
      <c r="U44" s="96">
        <f>'Economic Model'!U202</f>
        <v>874.26995478322124</v>
      </c>
      <c r="V44" s="96">
        <f>'Economic Model'!V202</f>
        <v>874.26995478322124</v>
      </c>
      <c r="W44" s="96">
        <f>'Economic Model'!W202</f>
        <v>874.26995478322124</v>
      </c>
      <c r="X44" s="96">
        <f>'Economic Model'!X202</f>
        <v>874.26995478322124</v>
      </c>
      <c r="Y44" s="96">
        <f>'Economic Model'!Y202</f>
        <v>874.26995478322124</v>
      </c>
      <c r="Z44" s="96">
        <f>'Economic Model'!Z202</f>
        <v>874.26995478322124</v>
      </c>
      <c r="AA44" s="96">
        <f>'Economic Model'!AA202</f>
        <v>874.26995478322124</v>
      </c>
    </row>
    <row r="45" spans="1:27" x14ac:dyDescent="0.2">
      <c r="A45" s="66" t="s">
        <v>271</v>
      </c>
      <c r="B45" s="96">
        <f>NPV('Economic Model'!$B$136,'Tong hop NL'!C45:AA45)</f>
        <v>24880.570802085698</v>
      </c>
      <c r="C45" s="96">
        <f>'Economic Model'!C203</f>
        <v>0</v>
      </c>
      <c r="D45" s="96">
        <f>'Economic Model'!D203</f>
        <v>0</v>
      </c>
      <c r="E45" s="96">
        <f>'Economic Model'!E203</f>
        <v>0</v>
      </c>
      <c r="F45" s="96">
        <f>'Economic Model'!F203</f>
        <v>0</v>
      </c>
      <c r="G45" s="96">
        <f>'Economic Model'!G203</f>
        <v>4211.9240762791669</v>
      </c>
      <c r="H45" s="96">
        <f>'Economic Model'!H203</f>
        <v>4211.9240762791669</v>
      </c>
      <c r="I45" s="96">
        <f>'Economic Model'!I203</f>
        <v>4211.9240762791669</v>
      </c>
      <c r="J45" s="96">
        <f>'Economic Model'!J203</f>
        <v>4211.9240762791669</v>
      </c>
      <c r="K45" s="96">
        <f>'Economic Model'!K203</f>
        <v>4211.9240762791669</v>
      </c>
      <c r="L45" s="96">
        <f>'Economic Model'!L203</f>
        <v>4211.9240762791669</v>
      </c>
      <c r="M45" s="96">
        <f>'Economic Model'!M203</f>
        <v>4211.9240762791669</v>
      </c>
      <c r="N45" s="96">
        <f>'Economic Model'!N203</f>
        <v>4211.9240762791669</v>
      </c>
      <c r="O45" s="96">
        <f>'Economic Model'!O203</f>
        <v>4211.9240762791669</v>
      </c>
      <c r="P45" s="96">
        <f>'Economic Model'!P203</f>
        <v>4211.9240762791669</v>
      </c>
      <c r="Q45" s="96">
        <f>'Economic Model'!Q203</f>
        <v>4211.9240762791669</v>
      </c>
      <c r="R45" s="96">
        <f>'Economic Model'!R203</f>
        <v>4211.9240762791669</v>
      </c>
      <c r="S45" s="96">
        <f>'Economic Model'!S203</f>
        <v>4211.9240762791669</v>
      </c>
      <c r="T45" s="96">
        <f>'Economic Model'!T203</f>
        <v>4211.9240762791669</v>
      </c>
      <c r="U45" s="96">
        <f>'Economic Model'!U203</f>
        <v>4211.9240762791669</v>
      </c>
      <c r="V45" s="96">
        <f>'Economic Model'!V203</f>
        <v>4211.9240762791669</v>
      </c>
      <c r="W45" s="96">
        <f>'Economic Model'!W203</f>
        <v>4211.9240762791669</v>
      </c>
      <c r="X45" s="96">
        <f>'Economic Model'!X203</f>
        <v>4211.9240762791669</v>
      </c>
      <c r="Y45" s="96">
        <f>'Economic Model'!Y203</f>
        <v>4211.9240762791669</v>
      </c>
      <c r="Z45" s="96">
        <f>'Economic Model'!Z203</f>
        <v>4211.9240762791669</v>
      </c>
      <c r="AA45" s="96">
        <f>'Economic Model'!AA203</f>
        <v>4211.9240762791669</v>
      </c>
    </row>
    <row r="46" spans="1:27" x14ac:dyDescent="0.2">
      <c r="A46" s="66" t="s">
        <v>270</v>
      </c>
      <c r="B46" s="96">
        <f>NPV('Economic Model'!$B$136,'Tong hop NL'!C46:AA46)</f>
        <v>23285.662417336611</v>
      </c>
      <c r="C46" s="96">
        <f>'Economic Model'!C204</f>
        <v>0</v>
      </c>
      <c r="D46" s="96">
        <f>'Economic Model'!D204</f>
        <v>0</v>
      </c>
      <c r="E46" s="96">
        <f>'Economic Model'!E204</f>
        <v>0</v>
      </c>
      <c r="F46" s="96">
        <f>'Economic Model'!F204</f>
        <v>0</v>
      </c>
      <c r="G46" s="96">
        <f>'Economic Model'!G204</f>
        <v>3941.9289431843481</v>
      </c>
      <c r="H46" s="96">
        <f>'Economic Model'!H204</f>
        <v>3941.9289431843481</v>
      </c>
      <c r="I46" s="96">
        <f>'Economic Model'!I204</f>
        <v>3941.9289431843481</v>
      </c>
      <c r="J46" s="96">
        <f>'Economic Model'!J204</f>
        <v>3941.9289431843481</v>
      </c>
      <c r="K46" s="96">
        <f>'Economic Model'!K204</f>
        <v>3941.9289431843481</v>
      </c>
      <c r="L46" s="96">
        <f>'Economic Model'!L204</f>
        <v>3941.9289431843481</v>
      </c>
      <c r="M46" s="96">
        <f>'Economic Model'!M204</f>
        <v>3941.9289431843481</v>
      </c>
      <c r="N46" s="96">
        <f>'Economic Model'!N204</f>
        <v>3941.9289431843481</v>
      </c>
      <c r="O46" s="96">
        <f>'Economic Model'!O204</f>
        <v>3941.9289431843481</v>
      </c>
      <c r="P46" s="96">
        <f>'Economic Model'!P204</f>
        <v>3941.9289431843481</v>
      </c>
      <c r="Q46" s="96">
        <f>'Economic Model'!Q204</f>
        <v>3941.9289431843481</v>
      </c>
      <c r="R46" s="96">
        <f>'Economic Model'!R204</f>
        <v>3941.9289431843481</v>
      </c>
      <c r="S46" s="96">
        <f>'Economic Model'!S204</f>
        <v>3941.9289431843481</v>
      </c>
      <c r="T46" s="96">
        <f>'Economic Model'!T204</f>
        <v>3941.9289431843481</v>
      </c>
      <c r="U46" s="96">
        <f>'Economic Model'!U204</f>
        <v>3941.9289431843481</v>
      </c>
      <c r="V46" s="96">
        <f>'Economic Model'!V204</f>
        <v>3941.9289431843481</v>
      </c>
      <c r="W46" s="96">
        <f>'Economic Model'!W204</f>
        <v>3941.9289431843481</v>
      </c>
      <c r="X46" s="96">
        <f>'Economic Model'!X204</f>
        <v>3941.9289431843481</v>
      </c>
      <c r="Y46" s="96">
        <f>'Economic Model'!Y204</f>
        <v>3941.9289431843481</v>
      </c>
      <c r="Z46" s="96">
        <f>'Economic Model'!Z204</f>
        <v>3941.9289431843481</v>
      </c>
      <c r="AA46" s="96">
        <f>'Economic Model'!AA204</f>
        <v>3941.9289431843481</v>
      </c>
    </row>
    <row r="47" spans="1:27" x14ac:dyDescent="0.2">
      <c r="A47" s="66" t="s">
        <v>277</v>
      </c>
      <c r="B47" s="96">
        <f>NPV('Economic Model'!$B$136,'Tong hop NL'!C47:AA47)</f>
        <v>0</v>
      </c>
      <c r="C47" s="96">
        <v>0</v>
      </c>
      <c r="D47" s="96">
        <v>0</v>
      </c>
      <c r="E47" s="96">
        <v>0</v>
      </c>
      <c r="F47" s="96">
        <v>0</v>
      </c>
      <c r="G47" s="96">
        <v>0</v>
      </c>
      <c r="H47" s="96">
        <v>0</v>
      </c>
      <c r="I47" s="96">
        <v>0</v>
      </c>
      <c r="J47" s="96">
        <v>0</v>
      </c>
      <c r="K47" s="96">
        <v>0</v>
      </c>
      <c r="L47" s="96">
        <v>0</v>
      </c>
      <c r="M47" s="96">
        <v>0</v>
      </c>
      <c r="N47" s="96">
        <v>0</v>
      </c>
      <c r="O47" s="96">
        <v>0</v>
      </c>
      <c r="P47" s="96">
        <v>0</v>
      </c>
      <c r="Q47" s="96">
        <v>0</v>
      </c>
      <c r="R47" s="96">
        <v>0</v>
      </c>
      <c r="S47" s="96">
        <v>0</v>
      </c>
      <c r="T47" s="96">
        <v>0</v>
      </c>
      <c r="U47" s="96">
        <v>0</v>
      </c>
      <c r="V47" s="96">
        <v>0</v>
      </c>
      <c r="W47" s="96">
        <v>0</v>
      </c>
      <c r="X47" s="96">
        <v>0</v>
      </c>
      <c r="Y47" s="96">
        <v>0</v>
      </c>
      <c r="Z47" s="96">
        <v>0</v>
      </c>
      <c r="AA47" s="96">
        <v>0</v>
      </c>
    </row>
    <row r="48" spans="1:27" x14ac:dyDescent="0.2">
      <c r="A48" s="98" t="s">
        <v>160</v>
      </c>
      <c r="B48" s="96">
        <f>NPV('Economic Model'!$B$136,'Tong hop NL'!C48:AA48)</f>
        <v>387851.40364257136</v>
      </c>
      <c r="C48" s="96">
        <f>'Economic Model'!C213</f>
        <v>15199.091032710281</v>
      </c>
      <c r="D48" s="96">
        <f>'Economic Model'!D213</f>
        <v>146924.54664953271</v>
      </c>
      <c r="E48" s="96">
        <f>'Economic Model'!E213</f>
        <v>253318.18387850467</v>
      </c>
      <c r="F48" s="96">
        <f>'Economic Model'!F213</f>
        <v>91194.546196261697</v>
      </c>
      <c r="G48" s="96">
        <f>'Economic Model'!G213</f>
        <v>0</v>
      </c>
      <c r="H48" s="96">
        <f>'Economic Model'!H213</f>
        <v>0</v>
      </c>
      <c r="I48" s="96">
        <f>'Economic Model'!I213</f>
        <v>0</v>
      </c>
      <c r="J48" s="96">
        <f>'Economic Model'!J213</f>
        <v>0</v>
      </c>
      <c r="K48" s="96">
        <f>'Economic Model'!K213</f>
        <v>0</v>
      </c>
      <c r="L48" s="96">
        <f>'Economic Model'!L213</f>
        <v>0</v>
      </c>
      <c r="M48" s="96">
        <f>'Economic Model'!M213</f>
        <v>0</v>
      </c>
      <c r="N48" s="96">
        <f>'Economic Model'!N213</f>
        <v>0</v>
      </c>
      <c r="O48" s="96">
        <f>'Economic Model'!O213</f>
        <v>0</v>
      </c>
      <c r="P48" s="96">
        <f>'Economic Model'!P213</f>
        <v>0</v>
      </c>
      <c r="Q48" s="96">
        <f>'Economic Model'!Q213</f>
        <v>0</v>
      </c>
      <c r="R48" s="96">
        <f>'Economic Model'!R213</f>
        <v>0</v>
      </c>
      <c r="S48" s="96">
        <f>'Economic Model'!S213</f>
        <v>0</v>
      </c>
      <c r="T48" s="96">
        <f>'Economic Model'!T213</f>
        <v>0</v>
      </c>
      <c r="U48" s="96">
        <f>'Economic Model'!U213</f>
        <v>0</v>
      </c>
      <c r="V48" s="96">
        <f>'Economic Model'!V213</f>
        <v>0</v>
      </c>
      <c r="W48" s="96">
        <f>'Economic Model'!W213</f>
        <v>0</v>
      </c>
      <c r="X48" s="96">
        <f>'Economic Model'!X213</f>
        <v>0</v>
      </c>
      <c r="Y48" s="96">
        <f>'Economic Model'!Y213</f>
        <v>0</v>
      </c>
      <c r="Z48" s="96">
        <f>'Economic Model'!Z213</f>
        <v>0</v>
      </c>
      <c r="AA48" s="96">
        <f>'Economic Model'!AA213</f>
        <v>0</v>
      </c>
    </row>
    <row r="49" spans="1:27" x14ac:dyDescent="0.2">
      <c r="A49" s="99" t="s">
        <v>274</v>
      </c>
      <c r="B49" s="244">
        <f>NPV('Economic Model'!$B$136,'Tong hop NL'!C49:AA49)</f>
        <v>60326.586714240082</v>
      </c>
      <c r="C49" s="243">
        <f>C30-SUM(C32:C48)</f>
        <v>-15199.091032710281</v>
      </c>
      <c r="D49" s="243">
        <f t="shared" ref="D49:AA49" si="7">D30-SUM(D32:D48)</f>
        <v>-146924.54664953271</v>
      </c>
      <c r="E49" s="243">
        <f t="shared" si="7"/>
        <v>-253318.18387850467</v>
      </c>
      <c r="F49" s="243">
        <f t="shared" si="7"/>
        <v>-91194.546196261697</v>
      </c>
      <c r="G49" s="243">
        <f t="shared" si="7"/>
        <v>57940.652966599009</v>
      </c>
      <c r="H49" s="243">
        <f t="shared" si="7"/>
        <v>71898.466191644693</v>
      </c>
      <c r="I49" s="243">
        <f t="shared" si="7"/>
        <v>81466.732602528238</v>
      </c>
      <c r="J49" s="243">
        <f t="shared" si="7"/>
        <v>81311.238859672012</v>
      </c>
      <c r="K49" s="243">
        <f t="shared" si="7"/>
        <v>81147.970429672918</v>
      </c>
      <c r="L49" s="243">
        <f t="shared" si="7"/>
        <v>83476.288578173873</v>
      </c>
      <c r="M49" s="243">
        <f t="shared" si="7"/>
        <v>83296.28513409989</v>
      </c>
      <c r="N49" s="243">
        <f t="shared" si="7"/>
        <v>83107.281517822237</v>
      </c>
      <c r="O49" s="243">
        <f t="shared" si="7"/>
        <v>82908.827720730682</v>
      </c>
      <c r="P49" s="243">
        <f t="shared" si="7"/>
        <v>82700.451233784523</v>
      </c>
      <c r="Q49" s="243">
        <f t="shared" si="7"/>
        <v>84981.405922491074</v>
      </c>
      <c r="R49" s="243">
        <f t="shared" si="7"/>
        <v>84751.670845632936</v>
      </c>
      <c r="S49" s="243">
        <f t="shared" si="7"/>
        <v>84510.449014931917</v>
      </c>
      <c r="T49" s="243">
        <f t="shared" si="7"/>
        <v>84257.166092695843</v>
      </c>
      <c r="U49" s="243">
        <f t="shared" si="7"/>
        <v>83991.219024347956</v>
      </c>
      <c r="V49" s="243">
        <f t="shared" si="7"/>
        <v>83711.97460258269</v>
      </c>
      <c r="W49" s="243">
        <f t="shared" si="7"/>
        <v>83418.767959729128</v>
      </c>
      <c r="X49" s="243">
        <f t="shared" si="7"/>
        <v>63804.310214063735</v>
      </c>
      <c r="Y49" s="243">
        <f t="shared" si="7"/>
        <v>44230.760150094517</v>
      </c>
      <c r="Z49" s="243">
        <f t="shared" si="7"/>
        <v>24263.830165949956</v>
      </c>
      <c r="AA49" s="243">
        <f t="shared" si="7"/>
        <v>4975.3874933925981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opLeftCell="A4" workbookViewId="0">
      <selection activeCell="A28" sqref="A28:P33"/>
    </sheetView>
  </sheetViews>
  <sheetFormatPr defaultColWidth="9" defaultRowHeight="10.199999999999999" x14ac:dyDescent="0.2"/>
  <cols>
    <col min="1" max="1" width="22.21875" style="86" bestFit="1" customWidth="1"/>
    <col min="2" max="4" width="9" style="86"/>
    <col min="5" max="5" width="2.5546875" style="86" customWidth="1"/>
    <col min="6" max="6" width="9" style="86"/>
    <col min="7" max="7" width="2.44140625" style="86" customWidth="1"/>
    <col min="8" max="8" width="9" style="86"/>
    <col min="9" max="9" width="9.5546875" style="86" customWidth="1"/>
    <col min="10" max="15" width="9" style="86"/>
    <col min="16" max="16" width="14.5546875" style="86" bestFit="1" customWidth="1"/>
    <col min="17" max="16384" width="9" style="86"/>
  </cols>
  <sheetData>
    <row r="1" spans="1:17" x14ac:dyDescent="0.2">
      <c r="A1" s="100" t="s">
        <v>278</v>
      </c>
    </row>
    <row r="2" spans="1:17" ht="10.8" thickBot="1" x14ac:dyDescent="0.25">
      <c r="A2" s="101" t="s">
        <v>196</v>
      </c>
    </row>
    <row r="3" spans="1:17" x14ac:dyDescent="0.2">
      <c r="A3" s="102"/>
      <c r="B3" s="103" t="s">
        <v>320</v>
      </c>
      <c r="C3" s="104" t="s">
        <v>320</v>
      </c>
      <c r="D3" s="105" t="s">
        <v>321</v>
      </c>
      <c r="E3" s="93"/>
      <c r="F3" s="131" t="s">
        <v>279</v>
      </c>
      <c r="G3" s="106"/>
      <c r="H3" s="132" t="s">
        <v>280</v>
      </c>
      <c r="I3" s="133" t="s">
        <v>269</v>
      </c>
      <c r="J3" s="133" t="s">
        <v>298</v>
      </c>
      <c r="K3" s="134" t="s">
        <v>296</v>
      </c>
      <c r="L3" s="133" t="s">
        <v>312</v>
      </c>
      <c r="M3" s="134" t="s">
        <v>302</v>
      </c>
      <c r="N3" s="133" t="s">
        <v>281</v>
      </c>
      <c r="O3" s="134" t="s">
        <v>288</v>
      </c>
      <c r="P3" s="147" t="s">
        <v>288</v>
      </c>
    </row>
    <row r="4" spans="1:17" x14ac:dyDescent="0.2">
      <c r="A4" s="155"/>
      <c r="B4" s="108" t="s">
        <v>282</v>
      </c>
      <c r="C4" s="109" t="s">
        <v>283</v>
      </c>
      <c r="D4" s="110" t="s">
        <v>283</v>
      </c>
      <c r="E4" s="111"/>
      <c r="F4" s="112" t="s">
        <v>283</v>
      </c>
      <c r="G4" s="106"/>
      <c r="H4" s="135" t="s">
        <v>284</v>
      </c>
      <c r="I4" s="136" t="s">
        <v>309</v>
      </c>
      <c r="J4" s="136" t="s">
        <v>299</v>
      </c>
      <c r="K4" s="137" t="s">
        <v>297</v>
      </c>
      <c r="L4" s="136" t="s">
        <v>301</v>
      </c>
      <c r="M4" s="137" t="s">
        <v>303</v>
      </c>
      <c r="N4" s="136" t="s">
        <v>285</v>
      </c>
      <c r="O4" s="137" t="s">
        <v>295</v>
      </c>
      <c r="P4" s="148" t="s">
        <v>289</v>
      </c>
    </row>
    <row r="5" spans="1:17" x14ac:dyDescent="0.2">
      <c r="A5" s="107" t="s">
        <v>267</v>
      </c>
      <c r="B5" s="113"/>
      <c r="C5" s="114"/>
      <c r="D5" s="115"/>
      <c r="E5" s="93"/>
      <c r="F5" s="116"/>
      <c r="G5" s="106"/>
      <c r="H5" s="138"/>
      <c r="I5" s="139"/>
      <c r="J5" s="139"/>
      <c r="K5" s="140"/>
      <c r="L5" s="139"/>
      <c r="M5" s="140"/>
      <c r="N5" s="139"/>
      <c r="O5" s="140"/>
      <c r="P5" s="149"/>
    </row>
    <row r="6" spans="1:17" x14ac:dyDescent="0.2">
      <c r="A6" s="118" t="s">
        <v>287</v>
      </c>
      <c r="B6" s="89">
        <f>'Tong hop NL'!B7</f>
        <v>1425606.0109011724</v>
      </c>
      <c r="C6" s="119">
        <f>NPV('Economic Model'!$B$136,'Tong hop NL'!C7:AA7)</f>
        <v>1247944.3369353754</v>
      </c>
      <c r="D6" s="121">
        <f>'Tong hop NL'!B30</f>
        <v>1307287.2253180062</v>
      </c>
      <c r="E6" s="93"/>
      <c r="F6" s="120">
        <f>D6-C6</f>
        <v>59342.888382630888</v>
      </c>
      <c r="G6" s="106"/>
      <c r="H6" s="138">
        <f>B6</f>
        <v>1425606.0109011724</v>
      </c>
      <c r="I6" s="139"/>
      <c r="J6" s="139"/>
      <c r="K6" s="140">
        <f>F6*'Gia NH3'!C29</f>
        <v>-2655.9377949027203</v>
      </c>
      <c r="L6" s="139"/>
      <c r="M6" s="140"/>
      <c r="N6" s="139"/>
      <c r="O6" s="140">
        <f>F6*'Gia NH3'!C28</f>
        <v>61998.826177533549</v>
      </c>
      <c r="P6" s="149">
        <f>C6-B6</f>
        <v>-177661.67396579706</v>
      </c>
      <c r="Q6" s="97"/>
    </row>
    <row r="7" spans="1:17" x14ac:dyDescent="0.2">
      <c r="A7" s="116" t="s">
        <v>268</v>
      </c>
      <c r="B7" s="89"/>
      <c r="C7" s="119"/>
      <c r="D7" s="117"/>
      <c r="E7" s="93"/>
      <c r="F7" s="116"/>
      <c r="G7" s="106"/>
      <c r="H7" s="138"/>
      <c r="I7" s="139"/>
      <c r="J7" s="139"/>
      <c r="K7" s="140"/>
      <c r="L7" s="139"/>
      <c r="M7" s="140"/>
      <c r="N7" s="139"/>
      <c r="O7" s="140"/>
      <c r="P7" s="149"/>
      <c r="Q7" s="97"/>
    </row>
    <row r="8" spans="1:17" x14ac:dyDescent="0.2">
      <c r="A8" s="66" t="s">
        <v>78</v>
      </c>
      <c r="B8" s="89">
        <f>'Tong hop NL'!B9</f>
        <v>595528.70701511577</v>
      </c>
      <c r="C8" s="119">
        <f>NPV('Economic Model'!$B$136,'Tong hop NL'!C9:AA9)</f>
        <v>521009.91507898259</v>
      </c>
      <c r="D8" s="121">
        <f>'Tong hop NL'!B32</f>
        <v>722624.07110864588</v>
      </c>
      <c r="E8" s="93"/>
      <c r="F8" s="120">
        <f t="shared" ref="F8:F16" si="0">D8-C8</f>
        <v>201614.15602966328</v>
      </c>
      <c r="G8" s="106"/>
      <c r="H8" s="138">
        <f t="shared" ref="H8:H24" si="1">B8</f>
        <v>595528.70701511577</v>
      </c>
      <c r="I8" s="139"/>
      <c r="J8" s="139">
        <f>F8</f>
        <v>201614.15602966328</v>
      </c>
      <c r="K8" s="140"/>
      <c r="L8" s="139"/>
      <c r="M8" s="140"/>
      <c r="N8" s="139"/>
      <c r="O8" s="140"/>
      <c r="P8" s="149">
        <f t="shared" ref="P8:P24" si="2">C8-B8</f>
        <v>-74518.791936133173</v>
      </c>
      <c r="Q8" s="97"/>
    </row>
    <row r="9" spans="1:17" x14ac:dyDescent="0.2">
      <c r="A9" s="66" t="s">
        <v>81</v>
      </c>
      <c r="B9" s="89">
        <f>'Tong hop NL'!B10</f>
        <v>1204.6479582712132</v>
      </c>
      <c r="C9" s="119">
        <f>NPV('Economic Model'!$B$136,'Tong hop NL'!C10:AA10)</f>
        <v>1054.5224880014471</v>
      </c>
      <c r="D9" s="121">
        <f>'Tong hop NL'!B33</f>
        <v>1054.5224880014473</v>
      </c>
      <c r="E9" s="93"/>
      <c r="F9" s="120">
        <f t="shared" si="0"/>
        <v>0</v>
      </c>
      <c r="G9" s="106"/>
      <c r="H9" s="138">
        <f t="shared" si="1"/>
        <v>1204.6479582712132</v>
      </c>
      <c r="I9" s="139"/>
      <c r="J9" s="139"/>
      <c r="K9" s="140"/>
      <c r="L9" s="139"/>
      <c r="M9" s="140"/>
      <c r="N9" s="139"/>
      <c r="O9" s="140"/>
      <c r="P9" s="149">
        <f t="shared" si="2"/>
        <v>-150.12547026976608</v>
      </c>
      <c r="Q9" s="97"/>
    </row>
    <row r="10" spans="1:17" x14ac:dyDescent="0.2">
      <c r="A10" s="66" t="s">
        <v>82</v>
      </c>
      <c r="B10" s="89">
        <f>'Tong hop NL'!B11</f>
        <v>48.02763361237151</v>
      </c>
      <c r="C10" s="119">
        <f>NPV('Economic Model'!$B$136,'Tong hop NL'!C11:AA11)</f>
        <v>42.042340537746966</v>
      </c>
      <c r="D10" s="121">
        <f>'Tong hop NL'!B34</f>
        <v>42.042340537746966</v>
      </c>
      <c r="E10" s="93"/>
      <c r="F10" s="120">
        <f t="shared" si="0"/>
        <v>0</v>
      </c>
      <c r="G10" s="106"/>
      <c r="H10" s="138">
        <f t="shared" si="1"/>
        <v>48.02763361237151</v>
      </c>
      <c r="I10" s="139"/>
      <c r="J10" s="139"/>
      <c r="K10" s="140"/>
      <c r="L10" s="139"/>
      <c r="M10" s="140"/>
      <c r="N10" s="139"/>
      <c r="O10" s="140"/>
      <c r="P10" s="149">
        <f t="shared" si="2"/>
        <v>-5.9852930746245434</v>
      </c>
      <c r="Q10" s="97"/>
    </row>
    <row r="11" spans="1:17" x14ac:dyDescent="0.2">
      <c r="A11" s="66" t="s">
        <v>99</v>
      </c>
      <c r="B11" s="89">
        <f>'Tong hop NL'!B12</f>
        <v>4247.8545816193437</v>
      </c>
      <c r="C11" s="119">
        <f>NPV('Economic Model'!$B$136,'Tong hop NL'!C12:AA12)</f>
        <v>3718.4790388936804</v>
      </c>
      <c r="D11" s="121">
        <f>'Tong hop NL'!B35</f>
        <v>3904.4029908383654</v>
      </c>
      <c r="E11" s="93"/>
      <c r="F11" s="120">
        <f t="shared" si="0"/>
        <v>185.92395194468509</v>
      </c>
      <c r="G11" s="106"/>
      <c r="H11" s="138">
        <f t="shared" si="1"/>
        <v>4247.8545816193437</v>
      </c>
      <c r="I11" s="139"/>
      <c r="J11" s="139"/>
      <c r="K11" s="140"/>
      <c r="L11" s="139"/>
      <c r="M11" s="140"/>
      <c r="N11" s="139"/>
      <c r="O11" s="140">
        <f>F11</f>
        <v>185.92395194468509</v>
      </c>
      <c r="P11" s="149">
        <f t="shared" si="2"/>
        <v>-529.37554272566331</v>
      </c>
      <c r="Q11" s="97"/>
    </row>
    <row r="12" spans="1:17" x14ac:dyDescent="0.2">
      <c r="A12" s="66" t="s">
        <v>100</v>
      </c>
      <c r="B12" s="89">
        <f>'Tong hop NL'!B13</f>
        <v>5337.4912095100144</v>
      </c>
      <c r="C12" s="119">
        <f>NPV('Economic Model'!$B$136,'Tong hop NL'!C13:AA13)</f>
        <v>4672.3231225293457</v>
      </c>
      <c r="D12" s="121">
        <f>'Tong hop NL'!B36</f>
        <v>4905.9392786558146</v>
      </c>
      <c r="E12" s="93"/>
      <c r="F12" s="120">
        <f t="shared" si="0"/>
        <v>233.61615612646892</v>
      </c>
      <c r="G12" s="106"/>
      <c r="H12" s="138">
        <f t="shared" si="1"/>
        <v>5337.4912095100144</v>
      </c>
      <c r="I12" s="139"/>
      <c r="J12" s="139"/>
      <c r="K12" s="140"/>
      <c r="L12" s="139"/>
      <c r="M12" s="140"/>
      <c r="N12" s="139"/>
      <c r="O12" s="140">
        <f>F12</f>
        <v>233.61615612646892</v>
      </c>
      <c r="P12" s="149">
        <f t="shared" si="2"/>
        <v>-665.1680869806687</v>
      </c>
      <c r="Q12" s="97"/>
    </row>
    <row r="13" spans="1:17" x14ac:dyDescent="0.2">
      <c r="A13" s="66" t="s">
        <v>128</v>
      </c>
      <c r="B13" s="89">
        <f>'Tong hop NL'!B14</f>
        <v>21676.138769620105</v>
      </c>
      <c r="C13" s="119">
        <f>NPV('Economic Model'!$B$136,'Tong hop NL'!C14:AA14)</f>
        <v>18692.124282799057</v>
      </c>
      <c r="D13" s="121">
        <f>'Tong hop NL'!B37</f>
        <v>18692.124282799057</v>
      </c>
      <c r="E13" s="93"/>
      <c r="F13" s="120">
        <f t="shared" si="0"/>
        <v>0</v>
      </c>
      <c r="G13" s="106"/>
      <c r="H13" s="138">
        <f t="shared" si="1"/>
        <v>21676.138769620105</v>
      </c>
      <c r="I13" s="139"/>
      <c r="J13" s="139"/>
      <c r="K13" s="140"/>
      <c r="L13" s="139"/>
      <c r="M13" s="140"/>
      <c r="N13" s="139"/>
      <c r="O13" s="140"/>
      <c r="P13" s="149">
        <f t="shared" si="2"/>
        <v>-2984.0144868210482</v>
      </c>
      <c r="Q13" s="97"/>
    </row>
    <row r="14" spans="1:17" x14ac:dyDescent="0.2">
      <c r="A14" s="66" t="s">
        <v>118</v>
      </c>
      <c r="B14" s="89">
        <f>'Tong hop NL'!B15</f>
        <v>33149.613597879623</v>
      </c>
      <c r="C14" s="119">
        <f>NPV('Economic Model'!$B$136,'Tong hop NL'!C15:AA15)</f>
        <v>29632.359382494451</v>
      </c>
      <c r="D14" s="121">
        <f>'Tong hop NL'!B38</f>
        <v>29632.359382494451</v>
      </c>
      <c r="E14" s="93"/>
      <c r="F14" s="120">
        <f t="shared" si="0"/>
        <v>0</v>
      </c>
      <c r="G14" s="106"/>
      <c r="H14" s="138">
        <f t="shared" si="1"/>
        <v>33149.613597879623</v>
      </c>
      <c r="I14" s="139"/>
      <c r="J14" s="139"/>
      <c r="K14" s="140"/>
      <c r="L14" s="139"/>
      <c r="M14" s="140"/>
      <c r="N14" s="139"/>
      <c r="O14" s="140"/>
      <c r="P14" s="149">
        <f t="shared" si="2"/>
        <v>-3517.2542153851718</v>
      </c>
      <c r="Q14" s="97"/>
    </row>
    <row r="15" spans="1:17" x14ac:dyDescent="0.2">
      <c r="A15" s="66" t="s">
        <v>143</v>
      </c>
      <c r="B15" s="89">
        <f>'Tong hop NL'!B16</f>
        <v>4551.3551957055006</v>
      </c>
      <c r="C15" s="119">
        <f>NPV('Economic Model'!$B$136,'Tong hop NL'!C16:AA16)</f>
        <v>3900.4654298168389</v>
      </c>
      <c r="D15" s="121">
        <f>'Tong hop NL'!B39</f>
        <v>3900.4654298168389</v>
      </c>
      <c r="E15" s="93"/>
      <c r="F15" s="120">
        <f t="shared" si="0"/>
        <v>0</v>
      </c>
      <c r="G15" s="106"/>
      <c r="H15" s="138">
        <f t="shared" si="1"/>
        <v>4551.3551957055006</v>
      </c>
      <c r="I15" s="139"/>
      <c r="J15" s="139"/>
      <c r="K15" s="140"/>
      <c r="L15" s="139"/>
      <c r="M15" s="140"/>
      <c r="N15" s="139"/>
      <c r="O15" s="140"/>
      <c r="P15" s="149">
        <f t="shared" si="2"/>
        <v>-650.88976588866171</v>
      </c>
      <c r="Q15" s="97"/>
    </row>
    <row r="16" spans="1:17" x14ac:dyDescent="0.2">
      <c r="A16" s="66" t="s">
        <v>119</v>
      </c>
      <c r="B16" s="89">
        <f>'Tong hop NL'!B17</f>
        <v>447.3338350112756</v>
      </c>
      <c r="C16" s="119">
        <f>NPV('Economic Model'!$B$136,'Tong hop NL'!C17:AA17)</f>
        <v>392.93717225090717</v>
      </c>
      <c r="D16" s="121">
        <f>'Tong hop NL'!B40</f>
        <v>3478.6169618887288</v>
      </c>
      <c r="E16" s="93"/>
      <c r="F16" s="120">
        <f t="shared" si="0"/>
        <v>3085.6797896378216</v>
      </c>
      <c r="G16" s="106"/>
      <c r="H16" s="138">
        <f t="shared" si="1"/>
        <v>447.3338350112756</v>
      </c>
      <c r="I16" s="139"/>
      <c r="J16" s="139"/>
      <c r="K16" s="140"/>
      <c r="L16" s="139"/>
      <c r="M16" s="140"/>
      <c r="N16" s="139">
        <f>F16</f>
        <v>3085.6797896378216</v>
      </c>
      <c r="O16" s="140"/>
      <c r="P16" s="149">
        <f t="shared" si="2"/>
        <v>-54.396662760368429</v>
      </c>
      <c r="Q16" s="97"/>
    </row>
    <row r="17" spans="1:17" x14ac:dyDescent="0.2">
      <c r="A17" s="66" t="s">
        <v>121</v>
      </c>
      <c r="B17" s="89">
        <f>'Tong hop NL'!B18</f>
        <v>17398.176545669947</v>
      </c>
      <c r="C17" s="119">
        <f>NPV('Economic Model'!$B$136,'Tong hop NL'!C18:AA18)</f>
        <v>15189.603664276981</v>
      </c>
      <c r="D17" s="121">
        <f>'Tong hop NL'!B41</f>
        <v>14430.123481063132</v>
      </c>
      <c r="E17" s="93"/>
      <c r="F17" s="120">
        <f t="shared" ref="F17:F24" si="3">D17-C17</f>
        <v>-759.48018321384916</v>
      </c>
      <c r="G17" s="106"/>
      <c r="H17" s="138">
        <f t="shared" si="1"/>
        <v>17398.176545669947</v>
      </c>
      <c r="I17" s="139"/>
      <c r="J17" s="139"/>
      <c r="K17" s="140"/>
      <c r="L17" s="139">
        <f>$F$17*'Phi bao hiem'!M34</f>
        <v>-3377.2022090872929</v>
      </c>
      <c r="M17" s="140">
        <f>$F$17*'Phi bao hiem'!M36</f>
        <v>2617.7220258734433</v>
      </c>
      <c r="N17" s="139"/>
      <c r="O17" s="140"/>
      <c r="P17" s="149">
        <f t="shared" si="2"/>
        <v>-2208.5728813929654</v>
      </c>
      <c r="Q17" s="97"/>
    </row>
    <row r="18" spans="1:17" x14ac:dyDescent="0.2">
      <c r="A18" s="66" t="s">
        <v>122</v>
      </c>
      <c r="B18" s="89">
        <f>'Tong hop NL'!B19</f>
        <v>1739.8176545669955</v>
      </c>
      <c r="C18" s="119">
        <f>NPV('Economic Model'!$B$136,'Tong hop NL'!C19:AA19)</f>
        <v>1518.9603664276985</v>
      </c>
      <c r="D18" s="121">
        <f>'Tong hop NL'!B42</f>
        <v>1518.9603664276985</v>
      </c>
      <c r="E18" s="93"/>
      <c r="F18" s="120">
        <f t="shared" si="3"/>
        <v>0</v>
      </c>
      <c r="G18" s="106"/>
      <c r="H18" s="138">
        <f t="shared" si="1"/>
        <v>1739.8176545669955</v>
      </c>
      <c r="I18" s="139"/>
      <c r="J18" s="139"/>
      <c r="K18" s="140"/>
      <c r="L18" s="139"/>
      <c r="M18" s="140"/>
      <c r="N18" s="139"/>
      <c r="O18" s="140"/>
      <c r="P18" s="149">
        <f t="shared" si="2"/>
        <v>-220.857288139297</v>
      </c>
      <c r="Q18" s="97"/>
    </row>
    <row r="19" spans="1:17" x14ac:dyDescent="0.2">
      <c r="A19" s="66" t="s">
        <v>123</v>
      </c>
      <c r="B19" s="89">
        <f>'Tong hop NL'!B20</f>
        <v>1739.8176545669955</v>
      </c>
      <c r="C19" s="119">
        <f>NPV('Economic Model'!$B$136,'Tong hop NL'!C20:AA20)</f>
        <v>1518.9603664276985</v>
      </c>
      <c r="D19" s="121">
        <f>'Tong hop NL'!B43</f>
        <v>1594.9083847490831</v>
      </c>
      <c r="E19" s="93"/>
      <c r="F19" s="120">
        <f t="shared" si="3"/>
        <v>75.948018321384552</v>
      </c>
      <c r="G19" s="106"/>
      <c r="H19" s="138">
        <f t="shared" si="1"/>
        <v>1739.8176545669955</v>
      </c>
      <c r="I19" s="139"/>
      <c r="J19" s="139"/>
      <c r="K19" s="140"/>
      <c r="L19" s="139"/>
      <c r="M19" s="140"/>
      <c r="N19" s="139"/>
      <c r="O19" s="140">
        <f>F19</f>
        <v>75.948018321384552</v>
      </c>
      <c r="P19" s="149">
        <f t="shared" si="2"/>
        <v>-220.857288139297</v>
      </c>
      <c r="Q19" s="97"/>
    </row>
    <row r="20" spans="1:17" x14ac:dyDescent="0.2">
      <c r="A20" s="66" t="s">
        <v>272</v>
      </c>
      <c r="B20" s="89">
        <f>'Tong hop NL'!B21</f>
        <v>5915.3800255277847</v>
      </c>
      <c r="C20" s="119">
        <f>NPV('Economic Model'!$B$136,'Tong hop NL'!C21:AA21)</f>
        <v>5164.4652458541723</v>
      </c>
      <c r="D20" s="121">
        <f>'Tong hop NL'!B44</f>
        <v>5164.4652458541723</v>
      </c>
      <c r="E20" s="93"/>
      <c r="F20" s="120">
        <f t="shared" si="3"/>
        <v>0</v>
      </c>
      <c r="G20" s="106"/>
      <c r="H20" s="138">
        <f t="shared" si="1"/>
        <v>5915.3800255277847</v>
      </c>
      <c r="I20" s="139"/>
      <c r="J20" s="139"/>
      <c r="K20" s="140"/>
      <c r="L20" s="139"/>
      <c r="M20" s="140"/>
      <c r="N20" s="139"/>
      <c r="O20" s="140"/>
      <c r="P20" s="149">
        <f t="shared" si="2"/>
        <v>-750.91477967361243</v>
      </c>
      <c r="Q20" s="97"/>
    </row>
    <row r="21" spans="1:17" x14ac:dyDescent="0.2">
      <c r="A21" s="66" t="s">
        <v>271</v>
      </c>
      <c r="B21" s="89">
        <f>'Tong hop NL'!B22</f>
        <v>27141.155411245127</v>
      </c>
      <c r="C21" s="119">
        <f>NPV('Economic Model'!$B$136,'Tong hop NL'!C22:AA22)</f>
        <v>23695.781716272089</v>
      </c>
      <c r="D21" s="121">
        <f>'Tong hop NL'!B45</f>
        <v>24880.570802085698</v>
      </c>
      <c r="E21" s="93"/>
      <c r="F21" s="120">
        <f t="shared" si="3"/>
        <v>1184.7890858136088</v>
      </c>
      <c r="G21" s="106"/>
      <c r="H21" s="138">
        <f t="shared" si="1"/>
        <v>27141.155411245127</v>
      </c>
      <c r="I21" s="139"/>
      <c r="J21" s="139"/>
      <c r="K21" s="140"/>
      <c r="L21" s="139"/>
      <c r="M21" s="140"/>
      <c r="N21" s="139"/>
      <c r="O21" s="140">
        <f>F21</f>
        <v>1184.7890858136088</v>
      </c>
      <c r="P21" s="149">
        <f t="shared" si="2"/>
        <v>-3445.3736949730373</v>
      </c>
      <c r="Q21" s="97"/>
    </row>
    <row r="22" spans="1:17" x14ac:dyDescent="0.2">
      <c r="A22" s="66" t="s">
        <v>270</v>
      </c>
      <c r="B22" s="89">
        <f>'Tong hop NL'!B23</f>
        <v>25401.337756678135</v>
      </c>
      <c r="C22" s="119">
        <f>NPV('Economic Model'!$B$136,'Tong hop NL'!C23:AA23)</f>
        <v>22176.821349844391</v>
      </c>
      <c r="D22" s="121">
        <f>'Tong hop NL'!B46</f>
        <v>23285.662417336611</v>
      </c>
      <c r="E22" s="93"/>
      <c r="F22" s="120">
        <f t="shared" si="3"/>
        <v>1108.8410674922197</v>
      </c>
      <c r="G22" s="106"/>
      <c r="H22" s="138">
        <f t="shared" si="1"/>
        <v>25401.337756678135</v>
      </c>
      <c r="I22" s="139"/>
      <c r="J22" s="139"/>
      <c r="K22" s="140"/>
      <c r="L22" s="139"/>
      <c r="M22" s="140"/>
      <c r="N22" s="139"/>
      <c r="O22" s="140">
        <f>F22</f>
        <v>1108.8410674922197</v>
      </c>
      <c r="P22" s="149">
        <f t="shared" si="2"/>
        <v>-3224.5164068337435</v>
      </c>
      <c r="Q22" s="97"/>
    </row>
    <row r="23" spans="1:17" x14ac:dyDescent="0.2">
      <c r="A23" s="66" t="s">
        <v>277</v>
      </c>
      <c r="B23" s="89">
        <f ca="1">'Tong hop NL'!B24</f>
        <v>57785.460267621747</v>
      </c>
      <c r="C23" s="119">
        <f ca="1">NPV('Economic Model'!$B$136,'Tong hop NL'!C24:AA24)</f>
        <v>47988.768217835437</v>
      </c>
      <c r="D23" s="121">
        <f>'Tong hop NL'!B47</f>
        <v>0</v>
      </c>
      <c r="E23" s="93"/>
      <c r="F23" s="120">
        <f t="shared" ca="1" si="3"/>
        <v>-47988.768217835437</v>
      </c>
      <c r="G23" s="106"/>
      <c r="H23" s="138">
        <f t="shared" ca="1" si="1"/>
        <v>57785.460267621747</v>
      </c>
      <c r="I23" s="139"/>
      <c r="J23" s="139"/>
      <c r="K23" s="140"/>
      <c r="L23" s="139"/>
      <c r="M23" s="140"/>
      <c r="N23" s="139">
        <f ca="1">F23</f>
        <v>-47988.768217835437</v>
      </c>
      <c r="O23" s="140"/>
      <c r="P23" s="149">
        <f t="shared" ca="1" si="2"/>
        <v>-9796.6920497863102</v>
      </c>
      <c r="Q23" s="97"/>
    </row>
    <row r="24" spans="1:17" x14ac:dyDescent="0.2">
      <c r="A24" s="156" t="s">
        <v>160</v>
      </c>
      <c r="B24" s="122">
        <f>'Tong hop NL'!B25</f>
        <v>400783.29059645755</v>
      </c>
      <c r="C24" s="123">
        <f>NPV('Economic Model'!$B$136,'Tong hop NL'!C25:AA25)</f>
        <v>388268.70021332992</v>
      </c>
      <c r="D24" s="124">
        <f>'Tong hop NL'!B48</f>
        <v>387851.40364257136</v>
      </c>
      <c r="E24" s="93"/>
      <c r="F24" s="125">
        <f t="shared" si="3"/>
        <v>-417.29657075856812</v>
      </c>
      <c r="G24" s="106"/>
      <c r="H24" s="141">
        <f t="shared" si="1"/>
        <v>400783.29059645755</v>
      </c>
      <c r="I24" s="142">
        <f>'Chi phi dau tu'!B82</f>
        <v>-8355.819069416495</v>
      </c>
      <c r="J24" s="142"/>
      <c r="K24" s="143"/>
      <c r="L24" s="142"/>
      <c r="M24" s="143"/>
      <c r="N24" s="142">
        <f>'Chi phi dau tu'!B80+'Chi phi dau tu'!B85</f>
        <v>-8774.8280931732461</v>
      </c>
      <c r="O24" s="143">
        <f>'Chi phi dau tu'!B73+'Chi phi dau tu'!B74+'Chi phi dau tu'!B75+'Chi phi dau tu'!B78</f>
        <v>16713.350591831182</v>
      </c>
      <c r="P24" s="150">
        <f t="shared" si="2"/>
        <v>-12514.590383127623</v>
      </c>
      <c r="Q24" s="97"/>
    </row>
    <row r="25" spans="1:17" ht="10.95" thickBot="1" x14ac:dyDescent="0.3">
      <c r="A25" s="126" t="s">
        <v>286</v>
      </c>
      <c r="B25" s="127">
        <f t="shared" ref="B25" ca="1" si="4">B6-SUM(B8:B24)</f>
        <v>221510.405192493</v>
      </c>
      <c r="C25" s="128">
        <f ca="1">C6-SUM(C8:C24)</f>
        <v>159307.10745880078</v>
      </c>
      <c r="D25" s="129">
        <f t="shared" ref="D25" si="5">D6-SUM(D8:D24)</f>
        <v>60326.586714240024</v>
      </c>
      <c r="E25" s="93"/>
      <c r="F25" s="130">
        <f ca="1">F6-SUM(F8:F24)</f>
        <v>-98980.520744560723</v>
      </c>
      <c r="G25" s="106"/>
      <c r="H25" s="237">
        <f t="shared" ref="H25:P25" ca="1" si="6">H6-SUM(H8:H24)</f>
        <v>221510.405192493</v>
      </c>
      <c r="I25" s="144">
        <f t="shared" si="6"/>
        <v>8355.819069416495</v>
      </c>
      <c r="J25" s="238">
        <f t="shared" si="6"/>
        <v>-201614.15602966328</v>
      </c>
      <c r="K25" s="146">
        <f t="shared" si="6"/>
        <v>-2655.9377949027203</v>
      </c>
      <c r="L25" s="144">
        <f t="shared" si="6"/>
        <v>3377.2022090872929</v>
      </c>
      <c r="M25" s="145">
        <f t="shared" si="6"/>
        <v>-2617.7220258734433</v>
      </c>
      <c r="N25" s="144">
        <f t="shared" ca="1" si="6"/>
        <v>53677.916521370862</v>
      </c>
      <c r="O25" s="146">
        <f>O6-SUM(O8:O24)</f>
        <v>42496.357306004</v>
      </c>
      <c r="P25" s="151">
        <f t="shared" ca="1" si="6"/>
        <v>-62203.297733692045</v>
      </c>
      <c r="Q25" s="97"/>
    </row>
    <row r="31" spans="1:17" ht="10.5" x14ac:dyDescent="0.25">
      <c r="A31" s="23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Financial Model</vt:lpstr>
      <vt:lpstr>Phi bao hiem</vt:lpstr>
      <vt:lpstr>Gia NH3</vt:lpstr>
      <vt:lpstr>Gia khi</vt:lpstr>
      <vt:lpstr>Chi phi dau tu</vt:lpstr>
      <vt:lpstr>Economic Model</vt:lpstr>
      <vt:lpstr>Tong hop NL</vt:lpstr>
      <vt:lpstr>Phan phoi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xthanh</dc:creator>
  <cp:lastModifiedBy>Truong Minh Hoa</cp:lastModifiedBy>
  <dcterms:created xsi:type="dcterms:W3CDTF">2014-07-01T05:26:22Z</dcterms:created>
  <dcterms:modified xsi:type="dcterms:W3CDTF">2016-08-15T01:40:39Z</dcterms:modified>
</cp:coreProperties>
</file>